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embeddings/oleObject1.bin" ContentType="application/vnd.openxmlformats-officedocument.oleObject"/>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2.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drawings/drawing5.xml" ContentType="application/vnd.openxmlformats-officedocument.drawing+xml"/>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embeddings/oleObject31.bin" ContentType="application/vnd.openxmlformats-officedocument.oleObject"/>
  <Override PartName="/xl/embeddings/oleObject32.bin" ContentType="application/vnd.openxmlformats-officedocument.oleObject"/>
  <Override PartName="/xl/embeddings/oleObject33.bin" ContentType="application/vnd.openxmlformats-officedocument.oleObject"/>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embeddings/oleObject37.bin" ContentType="application/vnd.openxmlformats-officedocument.oleObject"/>
  <Override PartName="/xl/drawings/drawing6.xml" ContentType="application/vnd.openxmlformats-officedocument.drawing+xml"/>
  <Override PartName="/xl/embeddings/oleObject38.bin" ContentType="application/vnd.openxmlformats-officedocument.oleObject"/>
  <Override PartName="/xl/ctrlProps/ctrlProp19.xml" ContentType="application/vnd.ms-excel.controlproperties+xml"/>
  <Override PartName="/xl/ctrlProps/ctrlProp20.xml" ContentType="application/vnd.ms-excel.controlproperties+xml"/>
  <Override PartName="/xl/comments3.xml" ContentType="application/vnd.openxmlformats-officedocument.spreadsheetml.comment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backupFile="1" codeName="ThisWorkbook"/>
  <mc:AlternateContent xmlns:mc="http://schemas.openxmlformats.org/markup-compatibility/2006">
    <mc:Choice Requires="x15">
      <x15ac:absPath xmlns:x15ac="http://schemas.microsoft.com/office/spreadsheetml/2010/11/ac" url="C:\Users\alexi\Documents\scolaire\IPSA\AeroIpsa\SP-02\STABTRAJ\pro24_4_4_new\Alpha\"/>
    </mc:Choice>
  </mc:AlternateContent>
  <xr:revisionPtr revIDLastSave="0" documentId="13_ncr:1_{D975BC33-082A-4771-901B-A641D7A38E46}" xr6:coauthVersionLast="47" xr6:coauthVersionMax="47" xr10:uidLastSave="{00000000-0000-0000-0000-000000000000}"/>
  <bookViews>
    <workbookView xWindow="0" yWindow="0" windowWidth="14400" windowHeight="15750" xr2:uid="{00000000-000D-0000-FFFF-FFFF00000000}"/>
  </bookViews>
  <sheets>
    <sheet name="Stabilito" sheetId="6" r:id="rId1"/>
    <sheet name="Trajecto" sheetId="1" r:id="rId2"/>
    <sheet name="Courbes" sheetId="2" r:id="rId3"/>
    <sheet name="Propu" sheetId="4" r:id="rId4"/>
    <sheet name="Calculs" sheetId="3" r:id="rId5"/>
    <sheet name="Abaco" sheetId="8" r:id="rId6"/>
    <sheet name="Info" sheetId="5" r:id="rId7"/>
    <sheet name="Controle" sheetId="7" r:id="rId8"/>
  </sheets>
  <definedNames>
    <definedName name="_xlnm._FilterDatabase" localSheetId="3" hidden="1">Propu!$O$317:$P$345</definedName>
    <definedName name="a_prop">Abaco!$G$43:$G$69</definedName>
    <definedName name="Acc_max">Trajecto!$L$25</definedName>
    <definedName name="acc_x">Calculs!$D$4:$D$1004</definedName>
    <definedName name="acc_xz">Calculs!$F$4:$F$1004</definedName>
    <definedName name="acc_z">Calculs!$E$4:$E$1004</definedName>
    <definedName name="Alt_para">Trajecto!$I$28</definedName>
    <definedName name="alt_prop">Abaco!$J$43:$J$69</definedName>
    <definedName name="Alt_rampe">Trajecto!$C$21</definedName>
    <definedName name="Alt_sat">Trajecto!$I$26</definedName>
    <definedName name="Altitude_culmi">Trajecto!$I$27</definedName>
    <definedName name="b_bal">Abaco!$I$43:$I$69</definedName>
    <definedName name="b_prop">Abaco!$H$43:$H$69</definedName>
    <definedName name="Beta">Calculs!$M$4:$M$1004</definedName>
    <definedName name="Beta_rampe">Trajecto!$C$20</definedName>
    <definedName name="BetaD">Calculs!$N$4:$N$1004</definedName>
    <definedName name="CdP">Propu!$B$3:$Y$4</definedName>
    <definedName name="CdP_P">Propu!$B$4:$Y$4</definedName>
    <definedName name="CdP_t">Propu!$B$3:$Y$3</definedName>
    <definedName name="Club">Stabilito!$C$9</definedName>
    <definedName name="Cn">Stabilito!$H$28</definedName>
    <definedName name="Cn0">Stabilito!$I$28</definedName>
    <definedName name="Cnai" localSheetId="0">Stabilito!$O$19</definedName>
    <definedName name="Cnai0">Stabilito!$P$19</definedName>
    <definedName name="Cnail" localSheetId="0">Stabilito!$O$20</definedName>
    <definedName name="Cnc" localSheetId="0">Stabilito!$O$21</definedName>
    <definedName name="Cni" localSheetId="0">Stabilito!$O$22</definedName>
    <definedName name="Cni0">Stabilito!$P$22</definedName>
    <definedName name="Cnj" localSheetId="0">Stabilito!$O$23</definedName>
    <definedName name="Cno" localSheetId="0">Stabilito!$O$18</definedName>
    <definedName name="Cnr" localSheetId="0">Stabilito!$O$24</definedName>
    <definedName name="Combustion">Propu!$X$2</definedName>
    <definedName name="CritCnmax" localSheetId="0">Stabilito!$J$28</definedName>
    <definedName name="CritCnmin" localSheetId="0">Stabilito!$G$28</definedName>
    <definedName name="CritFinessemax" localSheetId="0">Stabilito!$J$27</definedName>
    <definedName name="CritFinessemin" localSheetId="0">Stabilito!$G$27</definedName>
    <definedName name="CritMsCnmax" localSheetId="0">Stabilito!$J$30</definedName>
    <definedName name="CritMsCnmin" localSheetId="0">Stabilito!$G$30</definedName>
    <definedName name="CritMsmax" localSheetId="0">Stabilito!$J$29</definedName>
    <definedName name="CritMsmin" localSheetId="0">Stabilito!$G$29</definedName>
    <definedName name="Cx">Trajecto!$C$16</definedName>
    <definedName name="Cx_para">Trajecto!$C$30</definedName>
    <definedName name="Cx_satellite">Trajecto!$D$30</definedName>
    <definedName name="D_ail">Stabilito!$C$35</definedName>
    <definedName name="D_can" localSheetId="0">Stabilito!$D$35</definedName>
    <definedName name="D_int" localSheetId="0">Stabilito!$E$34</definedName>
    <definedName name="D_og">Stabilito!$C$24</definedName>
    <definedName name="D_ref">Stabilito!$C$15</definedName>
    <definedName name="D_var">Abaco!$B$43:$B$69</definedName>
    <definedName name="D1j">Stabilito!$M$7</definedName>
    <definedName name="D1r">Stabilito!$O$7</definedName>
    <definedName name="D2j">Stabilito!$M$8</definedName>
    <definedName name="D2r">Stabilito!$O$8</definedName>
    <definedName name="Débit">Calculs!$R$4:$R$1004</definedName>
    <definedName name="Depotage">Propu!$Z$2</definedName>
    <definedName name="Diam_propu">Propu!$T$2</definedName>
    <definedName name="Dt_para">Trajecto!$C$33</definedName>
    <definedName name="Dt_satellite">Trajecto!$D$33</definedName>
    <definedName name="Dx_para">Trajecto!$C$35</definedName>
    <definedName name="Dx_sat">Trajecto!$D$35</definedName>
    <definedName name="E_ail">Stabilito!$C$31</definedName>
    <definedName name="E_can">Stabilito!$D$31</definedName>
    <definedName name="E_int" localSheetId="0">Stabilito!$E$30</definedName>
    <definedName name="ep_ail">Stabilito!$C$32</definedName>
    <definedName name="ep_can">Stabilito!$D$32</definedName>
    <definedName name="ep_int" localSheetId="0">Stabilito!$E$31</definedName>
    <definedName name="Event">Calculs!$Y$4:$Y$1004</definedName>
    <definedName name="Event_para">Calculs!$Z$4:$Z$1004</definedName>
    <definedName name="Event_sat">Calculs!$AA$4:$AA$1004</definedName>
    <definedName name="f_ail" localSheetId="0">Stabilito!$C$36</definedName>
    <definedName name="f_can" localSheetId="0">Stabilito!$D$36</definedName>
    <definedName name="f_int" localSheetId="0">Stabilito!$E$35</definedName>
    <definedName name="Finesse">Stabilito!$H$27</definedName>
    <definedName name="Forme_ogive">Stabilito!$C$22</definedName>
    <definedName name="g">Info!$E$54</definedName>
    <definedName name="i_P">Calculs!$P$4:$P$1004</definedName>
    <definedName name="I_total">Propu!$D$2</definedName>
    <definedName name="ISP">Propu!$F$2</definedName>
    <definedName name="l_j">Stabilito!$M$6</definedName>
    <definedName name="l_r">Stabilito!$O$6</definedName>
    <definedName name="L_rampe">Trajecto!$C$19</definedName>
    <definedName name="Lang">Stabilito!$M$2</definedName>
    <definedName name="Liste_µfu">Propu!$F$317:$F$346</definedName>
    <definedName name="Liste_fusex">Propu!$R$317:$R$346</definedName>
    <definedName name="Liste_H2O">Propu!$C$317:$D$346</definedName>
    <definedName name="Liste_minif">Propu!$L$317:$M$346</definedName>
    <definedName name="Liste_minifT">Propu!$O$317:$O$346</definedName>
    <definedName name="Liste_propu">Propu!$A$317:$A$324</definedName>
    <definedName name="Liste_RC">Propu!$I$317:$J$346</definedName>
    <definedName name="Liste_Type_para">Trajecto!$I$104:$I$106</definedName>
    <definedName name="Long_ogive">Stabilito!$C$23</definedName>
    <definedName name="Long_propu">Propu!$R$2</definedName>
    <definedName name="Long_tot">Stabilito!$C$14</definedName>
    <definedName name="m">Calculs!$S$4:$S$1004</definedName>
    <definedName name="m_ail">Stabilito!$C$28</definedName>
    <definedName name="m_bal">Abaco!$F$43:$F$69</definedName>
    <definedName name="m_can">Stabilito!$D$28</definedName>
    <definedName name="m_int" localSheetId="0">Stabilito!$E$27</definedName>
    <definedName name="m_poudre">Propu!$J$2</definedName>
    <definedName name="m_prop">Abaco!$E$43:$E$69</definedName>
    <definedName name="m_satellite">Trajecto!$D$25</definedName>
    <definedName name="m_tot">Trajecto!$C$11</definedName>
    <definedName name="m_var">Abaco!$D$43:$D$69</definedName>
    <definedName name="m_vide">Trajecto!$C$25</definedName>
    <definedName name="Masse_ail">Controle!$H$63</definedName>
    <definedName name="MassePlein">Stabilito!$M$14</definedName>
    <definedName name="MasseSans">Stabilito!$P$14</definedName>
    <definedName name="MasseVide">Stabilito!$N$14</definedName>
    <definedName name="Matricule">Stabilito!$E$10</definedName>
    <definedName name="Menu_Empennage">Stabilito!$B$111:$B$112</definedName>
    <definedName name="Menu_Lang">Stabilito!$B$94:$B$95</definedName>
    <definedName name="Menu_Ogive">Stabilito!$B$107:$B$109</definedName>
    <definedName name="Menu_sat">Trajecto!$B$105:$B$106</definedName>
    <definedName name="Menu_Transitions">Stabilito!$B$114:$B$115</definedName>
    <definedName name="Menu_Type">Stabilito!$B$97:$B$100</definedName>
    <definedName name="Menu_with_motor">Stabilito!$B$103:$B$105</definedName>
    <definedName name="MpropuPlein">Propu!$H$2</definedName>
    <definedName name="MpropuVide">Propu!$L$2</definedName>
    <definedName name="MS_Cn_max">Stabilito!$I$30</definedName>
    <definedName name="MS_Cn_max0">Stabilito!#REF!</definedName>
    <definedName name="MS_Cn_min">Stabilito!$H$30</definedName>
    <definedName name="MS_Cn_min0">Stabilito!#REF!</definedName>
    <definedName name="MS_max">Stabilito!$I$29</definedName>
    <definedName name="MS_max0">Stabilito!#REF!</definedName>
    <definedName name="MS_min">Stabilito!$H$29</definedName>
    <definedName name="MS_min0">Stabilito!#REF!</definedName>
    <definedName name="n_ail">Stabilito!$C$29</definedName>
    <definedName name="n_can">Stabilito!$D$29</definedName>
    <definedName name="n_int" localSheetId="0">Stabilito!$E$28</definedName>
    <definedName name="Nb_diam">Stabilito!$M$4</definedName>
    <definedName name="Nb_sat">Trajecto!$D$24</definedName>
    <definedName name="Nom">Stabilito!$C$8</definedName>
    <definedName name="p_ail">Stabilito!$C$30</definedName>
    <definedName name="p_can">Stabilito!$D$30</definedName>
    <definedName name="p_int" localSheetId="0">Stabilito!$E$29</definedName>
    <definedName name="pas">Calculs!$A$4:$A$1004</definedName>
    <definedName name="Poids">Calculs!$T$4:$T$1004</definedName>
    <definedName name="Portee_balistique">Trajecto!$J$29</definedName>
    <definedName name="pos_x">Calculs!$J$4:$J$1004</definedName>
    <definedName name="pos_xz">Calculs!$L$4:$L$1004</definedName>
    <definedName name="pos_z">Calculs!$K$4:$K$1004</definedName>
    <definedName name="pos_z_montant">Calculs!$AE$4:$AE$1004</definedName>
    <definedName name="Poussee">Calculs!$Q$4:$Q$1004</definedName>
    <definedName name="Propu">Stabilito!$C$18</definedName>
    <definedName name="Q_ail">Stabilito!$C$33</definedName>
    <definedName name="Q_can">Stabilito!$D$33</definedName>
    <definedName name="Q_int" localSheetId="0">Stabilito!$E$32</definedName>
    <definedName name="Q_var">Abaco!$C$43:$C$69</definedName>
    <definedName name="R_rampe">Calculs!$U$4:$U$1004</definedName>
    <definedName name="Rho">Calculs!$V$4:$V$1004</definedName>
    <definedName name="Rho_moyen">Info!$E$55</definedName>
    <definedName name="S_ail">Controle!$H$64</definedName>
    <definedName name="S_para">Trajecto!$C$29</definedName>
    <definedName name="S_para_croix">Trajecto!$B$48</definedName>
    <definedName name="S_para_rond">Trajecto!$B$56</definedName>
    <definedName name="S_satellite">Trajecto!$D$29</definedName>
    <definedName name="Sref">Trajecto!$C$15</definedName>
    <definedName name="sS">Trajecto!$F$136</definedName>
    <definedName name="t">Calculs!$B$4:$B$1004</definedName>
    <definedName name="T_balistique">Trajecto!$H$29</definedName>
    <definedName name="T_ini">Trajecto!$H$42</definedName>
    <definedName name="T_para">Trajecto!$C$114</definedName>
    <definedName name="T_satellite">Trajecto!$D$27</definedName>
    <definedName name="Temps_culmi">Trajecto!$H$27</definedName>
    <definedName name="Temps_fin_propu">Propu!$X$3</definedName>
    <definedName name="Trainee">Calculs!$W$4:$W$1004</definedName>
    <definedName name="tT_fus">Trajecto!$F$137</definedName>
    <definedName name="tT_sat">Trajecto!$F$154</definedName>
    <definedName name="Type_fusee">Stabilito!$C$11</definedName>
    <definedName name="Type_masquage" localSheetId="5">Stabilito!$C$27</definedName>
    <definedName name="Type_masquage" localSheetId="0">Stabilito!$C$27</definedName>
    <definedName name="Type_propu">Propu!$V$2</definedName>
    <definedName name="V_ini">Trajecto!$K$42</definedName>
    <definedName name="V_ouv_sat">Trajecto!$K$26</definedName>
    <definedName name="V_ouverture">Trajecto!$K$28</definedName>
    <definedName name="V_para">Trajecto!$C$32</definedName>
    <definedName name="V_prop">Abaco!$K$43:$K$69</definedName>
    <definedName name="V_satellite">Trajecto!$D$32</definedName>
    <definedName name="V_vent">Trajecto!$C$31</definedName>
    <definedName name="V_vent_sat">Trajecto!$D$31</definedName>
    <definedName name="Version" localSheetId="0">Stabilito!$Q$37</definedName>
    <definedName name="Version" localSheetId="1">Trajecto!$N$37</definedName>
    <definedName name="Vit_culmi">Trajecto!$K$27</definedName>
    <definedName name="Vit_max">Trajecto!$K$25</definedName>
    <definedName name="vit_x">Calculs!$G$4:$G$1004</definedName>
    <definedName name="vit_xz">Calculs!$I$4:$I$1004</definedName>
    <definedName name="vit_z">Calculs!$H$4:$H$1004</definedName>
    <definedName name="Vsortie_de_rampe">Trajecto!$K$24</definedName>
    <definedName name="X_ail">Stabilito!$C$34</definedName>
    <definedName name="X_can">Stabilito!$D$34</definedName>
    <definedName name="X_culmi">Trajecto!$J$27</definedName>
    <definedName name="X_ini">Trajecto!$J$42</definedName>
    <definedName name="X_int" localSheetId="0">Stabilito!$E$33</definedName>
    <definedName name="X_j">Stabilito!$M$9</definedName>
    <definedName name="X_para">Trajecto!$J$28</definedName>
    <definedName name="X_r">Stabilito!$O$9</definedName>
    <definedName name="X_satellite">Trajecto!$J$26</definedName>
    <definedName name="XcgPlein">Stabilito!$M$15</definedName>
    <definedName name="XcgSans">Stabilito!$P$15</definedName>
    <definedName name="XcgVide">Stabilito!$N$15</definedName>
    <definedName name="XCp" localSheetId="0">Stabilito!$H$31</definedName>
    <definedName name="XCp0">Stabilito!$I$31</definedName>
    <definedName name="XCpa" localSheetId="0">Stabilito!$M$20</definedName>
    <definedName name="XCpai" localSheetId="0">Stabilito!$M$19</definedName>
    <definedName name="XCpai0">Stabilito!$N$19</definedName>
    <definedName name="XCpc" localSheetId="0">Stabilito!$M$21</definedName>
    <definedName name="XCpi" localSheetId="0">Stabilito!$M$22</definedName>
    <definedName name="XCpi0">Stabilito!$N$22</definedName>
    <definedName name="XCpj" localSheetId="0">Stabilito!$M$23</definedName>
    <definedName name="XCpo" localSheetId="0">Stabilito!$M$18</definedName>
    <definedName name="XCpr" localSheetId="0">Stabilito!$M$24</definedName>
    <definedName name="XpropuPlein">Propu!$N$2</definedName>
    <definedName name="XpropuRef">Stabilito!$C$19</definedName>
    <definedName name="XpropuVide">Propu!$P$2</definedName>
    <definedName name="Z_ini">Trajecto!$I$42</definedName>
    <definedName name="_xlnm.Print_Area" localSheetId="5">Abaco!$A$1:$M$37</definedName>
    <definedName name="_xlnm.Print_Area" localSheetId="2">Courbes!$A$1:$K$78</definedName>
    <definedName name="_xlnm.Print_Area" localSheetId="0">Stabilito!$A$1:$Q$37</definedName>
    <definedName name="_xlnm.Print_Area" localSheetId="1">Trajecto!$A$1:$N$36</definedName>
    <definedName name="zZ_fus">Trajecto!$F$138</definedName>
    <definedName name="zZ_sat">Trajecto!$F$155</definedName>
  </definedNames>
  <calcPr calcId="191029" iterate="1" iterateCount="1000"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5" i="1" l="1"/>
  <c r="B43" i="1"/>
  <c r="C10" i="6"/>
  <c r="E10" i="6" s="1"/>
  <c r="C10" i="8" s="1"/>
  <c r="L324" i="4"/>
  <c r="L323" i="4"/>
  <c r="L322" i="4"/>
  <c r="L321" i="4"/>
  <c r="L320" i="4"/>
  <c r="L319" i="4"/>
  <c r="L318" i="4"/>
  <c r="L317" i="4"/>
  <c r="R319" i="4"/>
  <c r="R318" i="4"/>
  <c r="R317" i="4"/>
  <c r="R320" i="4"/>
  <c r="N294" i="4"/>
  <c r="X307" i="4"/>
  <c r="W307" i="4"/>
  <c r="V307" i="4"/>
  <c r="U307" i="4"/>
  <c r="T307" i="4"/>
  <c r="S307" i="4"/>
  <c r="R307" i="4"/>
  <c r="Q307" i="4"/>
  <c r="P307" i="4"/>
  <c r="O307" i="4"/>
  <c r="N307" i="4"/>
  <c r="M307" i="4"/>
  <c r="L307" i="4"/>
  <c r="K307" i="4"/>
  <c r="J307" i="4"/>
  <c r="I307" i="4"/>
  <c r="H307" i="4"/>
  <c r="G307" i="4"/>
  <c r="F307" i="4"/>
  <c r="E307" i="4"/>
  <c r="D307" i="4"/>
  <c r="C307" i="4"/>
  <c r="B307" i="4"/>
  <c r="J304" i="4"/>
  <c r="B304" i="4"/>
  <c r="K25" i="7"/>
  <c r="H6" i="7"/>
  <c r="C20" i="6"/>
  <c r="I321" i="4"/>
  <c r="I320" i="4"/>
  <c r="I319" i="4"/>
  <c r="I318" i="4"/>
  <c r="I317" i="4"/>
  <c r="X151" i="4"/>
  <c r="W151" i="4"/>
  <c r="V151" i="4"/>
  <c r="U151" i="4"/>
  <c r="T151" i="4"/>
  <c r="S151" i="4"/>
  <c r="R151" i="4"/>
  <c r="Q151" i="4"/>
  <c r="P151" i="4"/>
  <c r="O151" i="4"/>
  <c r="N151" i="4"/>
  <c r="M151" i="4"/>
  <c r="L151" i="4"/>
  <c r="K151" i="4"/>
  <c r="J151" i="4"/>
  <c r="I151" i="4"/>
  <c r="H151" i="4"/>
  <c r="G151" i="4"/>
  <c r="F151" i="4"/>
  <c r="E151" i="4"/>
  <c r="D151" i="4"/>
  <c r="C151" i="4"/>
  <c r="B151" i="4"/>
  <c r="J148" i="4"/>
  <c r="B148" i="4"/>
  <c r="D103" i="4"/>
  <c r="E103" i="4"/>
  <c r="F103" i="4"/>
  <c r="G103" i="4"/>
  <c r="H103" i="4"/>
  <c r="I103" i="4"/>
  <c r="J103" i="4"/>
  <c r="K103" i="4"/>
  <c r="L103" i="4"/>
  <c r="M103" i="4"/>
  <c r="N103" i="4"/>
  <c r="O103" i="4"/>
  <c r="P103" i="4"/>
  <c r="Q103" i="4"/>
  <c r="R103" i="4"/>
  <c r="S103" i="4"/>
  <c r="T103" i="4"/>
  <c r="U103" i="4"/>
  <c r="V103" i="4"/>
  <c r="W103" i="4"/>
  <c r="X103" i="4"/>
  <c r="S98" i="4"/>
  <c r="T98" i="4"/>
  <c r="U98" i="4"/>
  <c r="V98" i="4"/>
  <c r="W98" i="4"/>
  <c r="X98" i="4"/>
  <c r="D98" i="4"/>
  <c r="E98" i="4"/>
  <c r="F98" i="4"/>
  <c r="G98" i="4"/>
  <c r="H98" i="4"/>
  <c r="I98" i="4"/>
  <c r="J98" i="4"/>
  <c r="K98" i="4"/>
  <c r="L98" i="4"/>
  <c r="M98" i="4"/>
  <c r="N98" i="4"/>
  <c r="O98" i="4"/>
  <c r="P98" i="4"/>
  <c r="Q98" i="4"/>
  <c r="R98" i="4"/>
  <c r="C103" i="4"/>
  <c r="C98" i="4"/>
  <c r="X104" i="4"/>
  <c r="W104" i="4"/>
  <c r="V104" i="4"/>
  <c r="U104" i="4"/>
  <c r="T105" i="4" s="1"/>
  <c r="T104" i="4"/>
  <c r="S104" i="4"/>
  <c r="R104" i="4"/>
  <c r="Q104" i="4"/>
  <c r="P104" i="4"/>
  <c r="O104" i="4"/>
  <c r="N105" i="4" s="1"/>
  <c r="N104" i="4"/>
  <c r="M104" i="4"/>
  <c r="L104" i="4"/>
  <c r="K104" i="4"/>
  <c r="J104" i="4"/>
  <c r="I105" i="4" s="1"/>
  <c r="I104" i="4"/>
  <c r="H104" i="4"/>
  <c r="G104" i="4"/>
  <c r="G105" i="4" s="1"/>
  <c r="F104" i="4"/>
  <c r="E104" i="4"/>
  <c r="E105" i="4" s="1"/>
  <c r="D104" i="4"/>
  <c r="C104" i="4"/>
  <c r="B104" i="4"/>
  <c r="L102" i="4"/>
  <c r="H102" i="4"/>
  <c r="B102" i="4"/>
  <c r="X99" i="4"/>
  <c r="W99" i="4"/>
  <c r="V99" i="4"/>
  <c r="U99" i="4"/>
  <c r="T99" i="4"/>
  <c r="S99" i="4"/>
  <c r="R100" i="4" s="1"/>
  <c r="R99" i="4"/>
  <c r="Q99" i="4"/>
  <c r="P99" i="4"/>
  <c r="P100" i="4" s="1"/>
  <c r="O99" i="4"/>
  <c r="N99" i="4"/>
  <c r="M99" i="4"/>
  <c r="L99" i="4"/>
  <c r="K99" i="4"/>
  <c r="J99" i="4"/>
  <c r="J100" i="4" s="1"/>
  <c r="I99" i="4"/>
  <c r="H99" i="4"/>
  <c r="G99" i="4"/>
  <c r="F99" i="4"/>
  <c r="E100" i="4"/>
  <c r="E99" i="4"/>
  <c r="D99" i="4"/>
  <c r="C99" i="4"/>
  <c r="B99" i="4"/>
  <c r="L97" i="4"/>
  <c r="H97" i="4"/>
  <c r="B97" i="4"/>
  <c r="X95" i="4"/>
  <c r="W95" i="4"/>
  <c r="V95" i="4"/>
  <c r="U95" i="4"/>
  <c r="T95" i="4"/>
  <c r="S95" i="4"/>
  <c r="R95" i="4"/>
  <c r="Q95" i="4"/>
  <c r="P95" i="4"/>
  <c r="O95" i="4"/>
  <c r="N95" i="4"/>
  <c r="M95" i="4"/>
  <c r="L95" i="4"/>
  <c r="K95" i="4"/>
  <c r="J95" i="4"/>
  <c r="I95" i="4"/>
  <c r="H95" i="4"/>
  <c r="D92" i="4" s="1"/>
  <c r="F92" i="4" s="1"/>
  <c r="G95" i="4"/>
  <c r="F95" i="4"/>
  <c r="E95" i="4"/>
  <c r="D95" i="4"/>
  <c r="C95" i="4"/>
  <c r="B95" i="4"/>
  <c r="J92" i="4"/>
  <c r="B92" i="4"/>
  <c r="O344" i="4"/>
  <c r="O343" i="4"/>
  <c r="O342" i="4"/>
  <c r="O341" i="4"/>
  <c r="Q206" i="4"/>
  <c r="P206" i="4"/>
  <c r="O206" i="4"/>
  <c r="N206" i="4"/>
  <c r="M206" i="4"/>
  <c r="L206" i="4"/>
  <c r="K206" i="4"/>
  <c r="J206" i="4"/>
  <c r="I206" i="4"/>
  <c r="H206" i="4"/>
  <c r="G206" i="4"/>
  <c r="F206" i="4"/>
  <c r="E206" i="4"/>
  <c r="D206" i="4"/>
  <c r="C206" i="4"/>
  <c r="B206" i="4"/>
  <c r="J203" i="4"/>
  <c r="B203" i="4"/>
  <c r="E5" i="7"/>
  <c r="H7" i="7"/>
  <c r="E7" i="7"/>
  <c r="E6" i="7"/>
  <c r="H9" i="7"/>
  <c r="K26" i="7"/>
  <c r="K23" i="7"/>
  <c r="J26" i="7"/>
  <c r="J25" i="7"/>
  <c r="J23" i="7"/>
  <c r="G27" i="7"/>
  <c r="G26" i="7"/>
  <c r="F26" i="7"/>
  <c r="G25" i="7"/>
  <c r="F25" i="7"/>
  <c r="G24" i="7"/>
  <c r="F24" i="7"/>
  <c r="G23" i="7"/>
  <c r="F23" i="7"/>
  <c r="D27" i="7"/>
  <c r="D24" i="7"/>
  <c r="B32" i="6"/>
  <c r="B31" i="6"/>
  <c r="B30" i="6"/>
  <c r="B29" i="6"/>
  <c r="B28" i="6"/>
  <c r="B36" i="6"/>
  <c r="B35" i="6"/>
  <c r="B34" i="6"/>
  <c r="B33" i="6"/>
  <c r="U35" i="7"/>
  <c r="U34" i="7"/>
  <c r="U33" i="7"/>
  <c r="U32" i="7"/>
  <c r="U31" i="7"/>
  <c r="U30" i="7"/>
  <c r="P32" i="7"/>
  <c r="P31" i="7"/>
  <c r="Q34" i="7"/>
  <c r="P29" i="7"/>
  <c r="U20" i="7"/>
  <c r="Q17" i="7"/>
  <c r="U16" i="7"/>
  <c r="U13" i="7"/>
  <c r="Q12" i="7"/>
  <c r="U11" i="7"/>
  <c r="Q3" i="7"/>
  <c r="E17" i="7"/>
  <c r="E16" i="7"/>
  <c r="E15" i="7"/>
  <c r="E13" i="7"/>
  <c r="B53" i="1"/>
  <c r="B51" i="1"/>
  <c r="B56" i="1"/>
  <c r="D29" i="1"/>
  <c r="I69" i="7" s="1"/>
  <c r="D25" i="1"/>
  <c r="E30" i="1" s="1"/>
  <c r="C19" i="1"/>
  <c r="H8" i="7" s="1"/>
  <c r="C161" i="6"/>
  <c r="C162" i="6"/>
  <c r="C160" i="6"/>
  <c r="C159" i="6"/>
  <c r="C158" i="6"/>
  <c r="C26" i="6"/>
  <c r="M21" i="6"/>
  <c r="C140" i="6"/>
  <c r="D25" i="7"/>
  <c r="F110" i="1"/>
  <c r="C114" i="1" s="1"/>
  <c r="C155" i="1"/>
  <c r="C153" i="1"/>
  <c r="C151" i="1"/>
  <c r="N35" i="1"/>
  <c r="C134" i="1"/>
  <c r="B26" i="1"/>
  <c r="J30" i="6"/>
  <c r="E191" i="6" s="1"/>
  <c r="G30" i="6"/>
  <c r="E182" i="6" s="1"/>
  <c r="J29" i="6"/>
  <c r="B188" i="6" s="1"/>
  <c r="G29" i="6"/>
  <c r="J28" i="6"/>
  <c r="C185" i="6" s="1"/>
  <c r="J27" i="6"/>
  <c r="G28" i="6"/>
  <c r="G27" i="6"/>
  <c r="W35" i="6"/>
  <c r="B100" i="6"/>
  <c r="B98" i="6"/>
  <c r="B99" i="6"/>
  <c r="Q241" i="4"/>
  <c r="P241" i="4"/>
  <c r="O241" i="4"/>
  <c r="N241" i="4"/>
  <c r="M241" i="4"/>
  <c r="L241" i="4"/>
  <c r="K241" i="4"/>
  <c r="J241" i="4"/>
  <c r="I241" i="4"/>
  <c r="H241" i="4"/>
  <c r="G241" i="4"/>
  <c r="F241" i="4"/>
  <c r="E241" i="4"/>
  <c r="D241" i="4"/>
  <c r="C241" i="4"/>
  <c r="B241" i="4"/>
  <c r="S240" i="4"/>
  <c r="T240" i="4" s="1"/>
  <c r="U240" i="4" s="1"/>
  <c r="V240" i="4" s="1"/>
  <c r="W240" i="4" s="1"/>
  <c r="S239" i="4"/>
  <c r="T239" i="4" s="1"/>
  <c r="J238" i="4"/>
  <c r="B238" i="4"/>
  <c r="O321" i="4"/>
  <c r="O320" i="4"/>
  <c r="S131" i="4"/>
  <c r="R131" i="4"/>
  <c r="Q131" i="4"/>
  <c r="P131" i="4"/>
  <c r="O131" i="4"/>
  <c r="N131" i="4"/>
  <c r="M131" i="4"/>
  <c r="L131" i="4"/>
  <c r="K131" i="4"/>
  <c r="J131" i="4"/>
  <c r="I131" i="4"/>
  <c r="H131" i="4"/>
  <c r="G131" i="4"/>
  <c r="F131" i="4"/>
  <c r="E131" i="4"/>
  <c r="D131" i="4"/>
  <c r="C131" i="4"/>
  <c r="B131" i="4"/>
  <c r="V130" i="4"/>
  <c r="U131" i="4" s="1"/>
  <c r="T131" i="4"/>
  <c r="J128" i="4"/>
  <c r="B128" i="4"/>
  <c r="R126" i="4"/>
  <c r="Q126" i="4"/>
  <c r="P126" i="4"/>
  <c r="O126" i="4"/>
  <c r="N126" i="4"/>
  <c r="M126" i="4"/>
  <c r="L126" i="4"/>
  <c r="K126" i="4"/>
  <c r="J126" i="4"/>
  <c r="I126" i="4"/>
  <c r="H126" i="4"/>
  <c r="G126" i="4"/>
  <c r="F126" i="4"/>
  <c r="E126" i="4"/>
  <c r="D126" i="4"/>
  <c r="C126" i="4"/>
  <c r="B126" i="4"/>
  <c r="T125" i="4"/>
  <c r="S126" i="4" s="1"/>
  <c r="J123" i="4"/>
  <c r="B123" i="4"/>
  <c r="O340" i="4"/>
  <c r="T256" i="4"/>
  <c r="S256" i="4"/>
  <c r="R256" i="4"/>
  <c r="Q256" i="4"/>
  <c r="P256" i="4"/>
  <c r="O256" i="4"/>
  <c r="N256" i="4"/>
  <c r="M256" i="4"/>
  <c r="L256" i="4"/>
  <c r="K256" i="4"/>
  <c r="J256" i="4"/>
  <c r="I256" i="4"/>
  <c r="H256" i="4"/>
  <c r="G256" i="4"/>
  <c r="F256" i="4"/>
  <c r="E256" i="4"/>
  <c r="D256" i="4"/>
  <c r="C256" i="4"/>
  <c r="B256" i="4"/>
  <c r="V255" i="4"/>
  <c r="W255" i="4" s="1"/>
  <c r="V254" i="4"/>
  <c r="W254" i="4" s="1"/>
  <c r="X254" i="4" s="1"/>
  <c r="J253" i="4"/>
  <c r="B253" i="4"/>
  <c r="O337" i="4"/>
  <c r="Q236" i="4"/>
  <c r="P236" i="4"/>
  <c r="O236" i="4"/>
  <c r="N236" i="4"/>
  <c r="M236" i="4"/>
  <c r="L236" i="4"/>
  <c r="K236" i="4"/>
  <c r="J236" i="4"/>
  <c r="I236" i="4"/>
  <c r="H236" i="4"/>
  <c r="G236" i="4"/>
  <c r="F236" i="4"/>
  <c r="E236" i="4"/>
  <c r="D236" i="4"/>
  <c r="C236" i="4"/>
  <c r="B236" i="4"/>
  <c r="S235" i="4"/>
  <c r="T235" i="4" s="1"/>
  <c r="S234" i="4"/>
  <c r="R236" i="4" s="1"/>
  <c r="J233" i="4"/>
  <c r="B233" i="4"/>
  <c r="O346" i="4"/>
  <c r="Q211" i="4"/>
  <c r="P211" i="4"/>
  <c r="O211" i="4"/>
  <c r="N211" i="4"/>
  <c r="M211" i="4"/>
  <c r="L211" i="4"/>
  <c r="K211" i="4"/>
  <c r="J211" i="4"/>
  <c r="I211" i="4"/>
  <c r="H211" i="4"/>
  <c r="G211" i="4"/>
  <c r="F211" i="4"/>
  <c r="E211" i="4"/>
  <c r="D211" i="4"/>
  <c r="C211" i="4"/>
  <c r="B211" i="4"/>
  <c r="S211" i="4"/>
  <c r="R211" i="4"/>
  <c r="J208" i="4"/>
  <c r="B208" i="4"/>
  <c r="O336" i="4"/>
  <c r="O335" i="4"/>
  <c r="O334" i="4"/>
  <c r="O333" i="4"/>
  <c r="O338" i="4"/>
  <c r="O339" i="4"/>
  <c r="O345" i="4"/>
  <c r="O323" i="4"/>
  <c r="O324" i="4"/>
  <c r="O325" i="4"/>
  <c r="O326" i="4"/>
  <c r="O327" i="4"/>
  <c r="O319" i="4"/>
  <c r="O322" i="4"/>
  <c r="O328" i="4"/>
  <c r="O329" i="4"/>
  <c r="O330" i="4"/>
  <c r="O331" i="4"/>
  <c r="O332" i="4"/>
  <c r="O318" i="4"/>
  <c r="O317" i="4"/>
  <c r="X231" i="4"/>
  <c r="W231" i="4"/>
  <c r="V231" i="4"/>
  <c r="U231" i="4"/>
  <c r="T231" i="4"/>
  <c r="S231" i="4"/>
  <c r="R231" i="4"/>
  <c r="Q231" i="4"/>
  <c r="P231" i="4"/>
  <c r="O231" i="4"/>
  <c r="N231" i="4"/>
  <c r="M231" i="4"/>
  <c r="L231" i="4"/>
  <c r="K231" i="4"/>
  <c r="J231" i="4"/>
  <c r="I231" i="4"/>
  <c r="H231" i="4"/>
  <c r="G231" i="4"/>
  <c r="D228" i="4" s="1"/>
  <c r="F228" i="4" s="1"/>
  <c r="F231" i="4"/>
  <c r="E231" i="4"/>
  <c r="D231" i="4"/>
  <c r="C231" i="4"/>
  <c r="B231" i="4"/>
  <c r="J228" i="4"/>
  <c r="B228" i="4"/>
  <c r="Q226" i="4"/>
  <c r="P226" i="4"/>
  <c r="O226" i="4"/>
  <c r="N226" i="4"/>
  <c r="M226" i="4"/>
  <c r="L226" i="4"/>
  <c r="K226" i="4"/>
  <c r="J226" i="4"/>
  <c r="I226" i="4"/>
  <c r="H226" i="4"/>
  <c r="G226" i="4"/>
  <c r="F226" i="4"/>
  <c r="E226" i="4"/>
  <c r="D226" i="4"/>
  <c r="C226" i="4"/>
  <c r="B226" i="4"/>
  <c r="T225" i="4"/>
  <c r="U225" i="4" s="1"/>
  <c r="R226" i="4"/>
  <c r="T224" i="4"/>
  <c r="U224" i="4" s="1"/>
  <c r="V224" i="4" s="1"/>
  <c r="W224" i="4" s="1"/>
  <c r="J223" i="4"/>
  <c r="B223" i="4"/>
  <c r="V249" i="4"/>
  <c r="W249" i="4" s="1"/>
  <c r="W244" i="4"/>
  <c r="Q251" i="4"/>
  <c r="P251" i="4"/>
  <c r="O251" i="4"/>
  <c r="N251" i="4"/>
  <c r="M251" i="4"/>
  <c r="L251" i="4"/>
  <c r="K251" i="4"/>
  <c r="J251" i="4"/>
  <c r="I251" i="4"/>
  <c r="H251" i="4"/>
  <c r="G251" i="4"/>
  <c r="F251" i="4"/>
  <c r="E251" i="4"/>
  <c r="D251" i="4"/>
  <c r="C251" i="4"/>
  <c r="B251" i="4"/>
  <c r="J248" i="4"/>
  <c r="B248" i="4"/>
  <c r="J246" i="4"/>
  <c r="I246" i="4"/>
  <c r="H246" i="4"/>
  <c r="G246" i="4"/>
  <c r="F246" i="4"/>
  <c r="E246" i="4"/>
  <c r="D246" i="4"/>
  <c r="C246" i="4"/>
  <c r="B246" i="4"/>
  <c r="J243" i="4"/>
  <c r="B243" i="4"/>
  <c r="L194" i="4"/>
  <c r="M194" i="4" s="1"/>
  <c r="R334" i="4"/>
  <c r="R335" i="4"/>
  <c r="R336" i="4"/>
  <c r="R337" i="4"/>
  <c r="R338" i="4"/>
  <c r="R339" i="4"/>
  <c r="S195" i="4"/>
  <c r="T195" i="4"/>
  <c r="U195" i="4" s="1"/>
  <c r="V195" i="4" s="1"/>
  <c r="W195" i="4" s="1"/>
  <c r="X195" i="4" s="1"/>
  <c r="X196" i="4" s="1"/>
  <c r="J196" i="4"/>
  <c r="I196" i="4"/>
  <c r="H196" i="4"/>
  <c r="G196" i="4"/>
  <c r="F196" i="4"/>
  <c r="E196" i="4"/>
  <c r="D196" i="4"/>
  <c r="C196" i="4"/>
  <c r="B196" i="4"/>
  <c r="J193" i="4"/>
  <c r="B193" i="4"/>
  <c r="S200" i="4"/>
  <c r="T200" i="4" s="1"/>
  <c r="S199" i="4"/>
  <c r="T199" i="4" s="1"/>
  <c r="U199" i="4" s="1"/>
  <c r="V199" i="4" s="1"/>
  <c r="W199" i="4" s="1"/>
  <c r="X199" i="4" s="1"/>
  <c r="Q201" i="4"/>
  <c r="P201" i="4"/>
  <c r="O201" i="4"/>
  <c r="N201" i="4"/>
  <c r="M201" i="4"/>
  <c r="L201" i="4"/>
  <c r="K201" i="4"/>
  <c r="J201" i="4"/>
  <c r="I201" i="4"/>
  <c r="H201" i="4"/>
  <c r="G201" i="4"/>
  <c r="F201" i="4"/>
  <c r="E201" i="4"/>
  <c r="D201" i="4"/>
  <c r="C201" i="4"/>
  <c r="B201" i="4"/>
  <c r="J198" i="4"/>
  <c r="B198" i="4"/>
  <c r="B213" i="4"/>
  <c r="B216" i="4"/>
  <c r="C216" i="4"/>
  <c r="D216" i="4"/>
  <c r="E216" i="4"/>
  <c r="F216" i="4"/>
  <c r="G216" i="4"/>
  <c r="H216" i="4"/>
  <c r="I216" i="4"/>
  <c r="J216" i="4"/>
  <c r="K216" i="4"/>
  <c r="L216" i="4"/>
  <c r="M216" i="4"/>
  <c r="N216" i="4"/>
  <c r="O216" i="4"/>
  <c r="P216" i="4"/>
  <c r="Q216" i="4"/>
  <c r="S215" i="4"/>
  <c r="T215" i="4" s="1"/>
  <c r="S214" i="4"/>
  <c r="J213" i="4"/>
  <c r="A2" i="4"/>
  <c r="B133" i="4"/>
  <c r="B4" i="3"/>
  <c r="AC4" i="3" s="1"/>
  <c r="B136" i="4"/>
  <c r="C136" i="4"/>
  <c r="D136" i="4"/>
  <c r="D133" i="4" s="1"/>
  <c r="F133" i="4" s="1"/>
  <c r="E136" i="4"/>
  <c r="F136" i="4"/>
  <c r="G136" i="4"/>
  <c r="H136" i="4"/>
  <c r="I136" i="4"/>
  <c r="J136" i="4"/>
  <c r="K136" i="4"/>
  <c r="L136" i="4"/>
  <c r="M136" i="4"/>
  <c r="N136" i="4"/>
  <c r="O136" i="4"/>
  <c r="P136" i="4"/>
  <c r="Q136" i="4"/>
  <c r="R136" i="4"/>
  <c r="S136" i="4"/>
  <c r="T136" i="4"/>
  <c r="U136" i="4"/>
  <c r="V136" i="4"/>
  <c r="W136" i="4"/>
  <c r="X136" i="4"/>
  <c r="J133" i="4"/>
  <c r="N4" i="3"/>
  <c r="M4" i="3" s="1"/>
  <c r="J4" i="3"/>
  <c r="K4" i="3"/>
  <c r="V4" i="3" s="1"/>
  <c r="I4" i="3"/>
  <c r="B113" i="4"/>
  <c r="C36" i="6"/>
  <c r="M18" i="6"/>
  <c r="B116" i="4"/>
  <c r="C116" i="4"/>
  <c r="D116" i="4"/>
  <c r="E116" i="4"/>
  <c r="F116" i="4"/>
  <c r="G116" i="4"/>
  <c r="H116" i="4"/>
  <c r="I116" i="4"/>
  <c r="J116" i="4"/>
  <c r="K116" i="4"/>
  <c r="L116" i="4"/>
  <c r="M116" i="4"/>
  <c r="N116" i="4"/>
  <c r="O116" i="4"/>
  <c r="P116" i="4"/>
  <c r="Q116" i="4"/>
  <c r="R116" i="4"/>
  <c r="S116" i="4"/>
  <c r="U115" i="4"/>
  <c r="T116" i="4" s="1"/>
  <c r="J113" i="4"/>
  <c r="B166" i="4"/>
  <c r="C166" i="4"/>
  <c r="D166" i="4"/>
  <c r="E166" i="4"/>
  <c r="F166" i="4"/>
  <c r="G166" i="4"/>
  <c r="H166" i="4"/>
  <c r="I166" i="4"/>
  <c r="J166" i="4"/>
  <c r="K166" i="4"/>
  <c r="L166" i="4"/>
  <c r="M166" i="4"/>
  <c r="N166" i="4"/>
  <c r="O166" i="4"/>
  <c r="P166" i="4"/>
  <c r="Q166" i="4"/>
  <c r="R166" i="4"/>
  <c r="T165" i="4"/>
  <c r="S166" i="4" s="1"/>
  <c r="X164" i="4"/>
  <c r="L163" i="4"/>
  <c r="J163" i="4" s="1"/>
  <c r="B48" i="1"/>
  <c r="C29" i="1" s="1"/>
  <c r="E127" i="7" s="1"/>
  <c r="D31" i="1"/>
  <c r="B29" i="4"/>
  <c r="C29" i="4"/>
  <c r="D29" i="4"/>
  <c r="E29" i="4"/>
  <c r="F29" i="4"/>
  <c r="G29" i="4"/>
  <c r="H29" i="4"/>
  <c r="I29" i="4"/>
  <c r="J29" i="4"/>
  <c r="K29" i="4"/>
  <c r="L29" i="4"/>
  <c r="M29" i="4"/>
  <c r="N29" i="4"/>
  <c r="O29" i="4"/>
  <c r="P29" i="4"/>
  <c r="Q29" i="4"/>
  <c r="R29" i="4"/>
  <c r="S29" i="4"/>
  <c r="T29" i="4"/>
  <c r="U29" i="4"/>
  <c r="V29" i="4"/>
  <c r="W29" i="4"/>
  <c r="X29" i="4"/>
  <c r="J26" i="4"/>
  <c r="B34" i="4"/>
  <c r="C34" i="4"/>
  <c r="D34" i="4"/>
  <c r="E34" i="4"/>
  <c r="F34" i="4"/>
  <c r="G34" i="4"/>
  <c r="H34" i="4"/>
  <c r="I34" i="4"/>
  <c r="J34" i="4"/>
  <c r="K34" i="4"/>
  <c r="L34" i="4"/>
  <c r="M34" i="4"/>
  <c r="N34" i="4"/>
  <c r="O34" i="4"/>
  <c r="P34" i="4"/>
  <c r="Q34" i="4"/>
  <c r="R34" i="4"/>
  <c r="S34" i="4"/>
  <c r="T34" i="4"/>
  <c r="U34" i="4"/>
  <c r="V34" i="4"/>
  <c r="W34" i="4"/>
  <c r="X34" i="4"/>
  <c r="J31" i="4"/>
  <c r="B39" i="4"/>
  <c r="C39" i="4"/>
  <c r="D39" i="4"/>
  <c r="E39" i="4"/>
  <c r="F39" i="4"/>
  <c r="G39" i="4"/>
  <c r="H39" i="4"/>
  <c r="I39" i="4"/>
  <c r="J39" i="4"/>
  <c r="K39" i="4"/>
  <c r="L39" i="4"/>
  <c r="M39" i="4"/>
  <c r="N39" i="4"/>
  <c r="O39" i="4"/>
  <c r="P39" i="4"/>
  <c r="Q39" i="4"/>
  <c r="R39" i="4"/>
  <c r="S39" i="4"/>
  <c r="T39" i="4"/>
  <c r="U39" i="4"/>
  <c r="V39" i="4"/>
  <c r="W39" i="4"/>
  <c r="X39" i="4"/>
  <c r="J36" i="4"/>
  <c r="B44" i="4"/>
  <c r="C44" i="4"/>
  <c r="D44" i="4"/>
  <c r="E44" i="4"/>
  <c r="F44" i="4"/>
  <c r="G44" i="4"/>
  <c r="H44" i="4"/>
  <c r="I44" i="4"/>
  <c r="J44" i="4"/>
  <c r="K44" i="4"/>
  <c r="L44" i="4"/>
  <c r="M44" i="4"/>
  <c r="N44" i="4"/>
  <c r="O44" i="4"/>
  <c r="P44" i="4"/>
  <c r="Q44" i="4"/>
  <c r="R44" i="4"/>
  <c r="S44" i="4"/>
  <c r="T44" i="4"/>
  <c r="U44" i="4"/>
  <c r="V44" i="4"/>
  <c r="W44" i="4"/>
  <c r="X44" i="4"/>
  <c r="J41" i="4"/>
  <c r="B49" i="4"/>
  <c r="C49" i="4"/>
  <c r="D49" i="4"/>
  <c r="E49" i="4"/>
  <c r="F49" i="4"/>
  <c r="G49" i="4"/>
  <c r="H49" i="4"/>
  <c r="I49" i="4"/>
  <c r="J49" i="4"/>
  <c r="K49" i="4"/>
  <c r="L49" i="4"/>
  <c r="M49" i="4"/>
  <c r="N49" i="4"/>
  <c r="O49" i="4"/>
  <c r="P49" i="4"/>
  <c r="Q49" i="4"/>
  <c r="R49" i="4"/>
  <c r="S49" i="4"/>
  <c r="T49" i="4"/>
  <c r="U49" i="4"/>
  <c r="V49" i="4"/>
  <c r="W49" i="4"/>
  <c r="X49" i="4"/>
  <c r="J46" i="4"/>
  <c r="B54" i="4"/>
  <c r="C54" i="4"/>
  <c r="D54" i="4"/>
  <c r="E54" i="4"/>
  <c r="F54" i="4"/>
  <c r="G54" i="4"/>
  <c r="H54" i="4"/>
  <c r="I54" i="4"/>
  <c r="J54" i="4"/>
  <c r="K54" i="4"/>
  <c r="L54" i="4"/>
  <c r="M54" i="4"/>
  <c r="N54" i="4"/>
  <c r="O54" i="4"/>
  <c r="P54" i="4"/>
  <c r="Q54" i="4"/>
  <c r="D51" i="4" s="1"/>
  <c r="F51" i="4" s="1"/>
  <c r="R54" i="4"/>
  <c r="S54" i="4"/>
  <c r="T54" i="4"/>
  <c r="U54" i="4"/>
  <c r="V54" i="4"/>
  <c r="W54" i="4"/>
  <c r="X54" i="4"/>
  <c r="J51" i="4"/>
  <c r="B59" i="4"/>
  <c r="C59" i="4"/>
  <c r="D59" i="4"/>
  <c r="E59" i="4"/>
  <c r="F59" i="4"/>
  <c r="G59" i="4"/>
  <c r="H59" i="4"/>
  <c r="I59" i="4"/>
  <c r="J59" i="4"/>
  <c r="K59" i="4"/>
  <c r="L59" i="4"/>
  <c r="M59" i="4"/>
  <c r="N59" i="4"/>
  <c r="O59" i="4"/>
  <c r="P59" i="4"/>
  <c r="Q59" i="4"/>
  <c r="R59" i="4"/>
  <c r="S59" i="4"/>
  <c r="T59" i="4"/>
  <c r="U59" i="4"/>
  <c r="V59" i="4"/>
  <c r="W59" i="4"/>
  <c r="X59" i="4"/>
  <c r="D56" i="4" s="1"/>
  <c r="F56" i="4" s="1"/>
  <c r="J56" i="4"/>
  <c r="B64" i="4"/>
  <c r="C64" i="4"/>
  <c r="D64" i="4"/>
  <c r="E64" i="4"/>
  <c r="F64" i="4"/>
  <c r="G64" i="4"/>
  <c r="H64" i="4"/>
  <c r="I64" i="4"/>
  <c r="J64" i="4"/>
  <c r="K64" i="4"/>
  <c r="L64" i="4"/>
  <c r="M64" i="4"/>
  <c r="N64" i="4"/>
  <c r="O64" i="4"/>
  <c r="P64" i="4"/>
  <c r="Q64" i="4"/>
  <c r="R64" i="4"/>
  <c r="S64" i="4"/>
  <c r="T64" i="4"/>
  <c r="U64" i="4"/>
  <c r="V64" i="4"/>
  <c r="W64" i="4"/>
  <c r="X64" i="4"/>
  <c r="J61" i="4"/>
  <c r="B70" i="4"/>
  <c r="C70" i="4"/>
  <c r="D70" i="4"/>
  <c r="E70" i="4"/>
  <c r="F70" i="4"/>
  <c r="G70" i="4"/>
  <c r="H70" i="4"/>
  <c r="I70" i="4"/>
  <c r="J70" i="4"/>
  <c r="K70" i="4"/>
  <c r="L70" i="4"/>
  <c r="M70" i="4"/>
  <c r="N70" i="4"/>
  <c r="O70" i="4"/>
  <c r="P70" i="4"/>
  <c r="Q70" i="4"/>
  <c r="R70" i="4"/>
  <c r="S70" i="4"/>
  <c r="T70" i="4"/>
  <c r="U70" i="4"/>
  <c r="V70" i="4"/>
  <c r="W70" i="4"/>
  <c r="X70" i="4"/>
  <c r="J67" i="4"/>
  <c r="B75" i="4"/>
  <c r="C75" i="4"/>
  <c r="D75" i="4"/>
  <c r="E75" i="4"/>
  <c r="F75" i="4"/>
  <c r="G75" i="4"/>
  <c r="H75" i="4"/>
  <c r="I75" i="4"/>
  <c r="J75" i="4"/>
  <c r="K75" i="4"/>
  <c r="L75" i="4"/>
  <c r="M75" i="4"/>
  <c r="N75" i="4"/>
  <c r="O75" i="4"/>
  <c r="D72" i="4" s="1"/>
  <c r="F72" i="4" s="1"/>
  <c r="P75" i="4"/>
  <c r="Q75" i="4"/>
  <c r="R75" i="4"/>
  <c r="S75" i="4"/>
  <c r="T75" i="4"/>
  <c r="U75" i="4"/>
  <c r="V75" i="4"/>
  <c r="W75" i="4"/>
  <c r="X75" i="4"/>
  <c r="J72" i="4"/>
  <c r="B80" i="4"/>
  <c r="C80" i="4"/>
  <c r="D80" i="4"/>
  <c r="E80" i="4"/>
  <c r="F80" i="4"/>
  <c r="G80" i="4"/>
  <c r="H80" i="4"/>
  <c r="I80" i="4"/>
  <c r="J80" i="4"/>
  <c r="K80" i="4"/>
  <c r="L80" i="4"/>
  <c r="M80" i="4"/>
  <c r="N80" i="4"/>
  <c r="O80" i="4"/>
  <c r="P80" i="4"/>
  <c r="Q80" i="4"/>
  <c r="R80" i="4"/>
  <c r="S80" i="4"/>
  <c r="T80" i="4"/>
  <c r="U80" i="4"/>
  <c r="V80" i="4"/>
  <c r="W80" i="4"/>
  <c r="D77" i="4" s="1"/>
  <c r="F77" i="4" s="1"/>
  <c r="X80" i="4"/>
  <c r="J77" i="4"/>
  <c r="C84" i="4"/>
  <c r="B84" i="4"/>
  <c r="B85" i="4" s="1"/>
  <c r="D84" i="4"/>
  <c r="E84" i="4"/>
  <c r="F84" i="4"/>
  <c r="E85" i="4" s="1"/>
  <c r="G84" i="4"/>
  <c r="F85" i="4" s="1"/>
  <c r="H84" i="4"/>
  <c r="H85" i="4" s="1"/>
  <c r="I84" i="4"/>
  <c r="J84" i="4"/>
  <c r="K84" i="4"/>
  <c r="L84" i="4"/>
  <c r="L85" i="4" s="1"/>
  <c r="M84" i="4"/>
  <c r="N84" i="4"/>
  <c r="M85" i="4" s="1"/>
  <c r="O84" i="4"/>
  <c r="P84" i="4"/>
  <c r="Q84" i="4"/>
  <c r="P85" i="4" s="1"/>
  <c r="R84" i="4"/>
  <c r="S84" i="4"/>
  <c r="S85" i="4" s="1"/>
  <c r="T84" i="4"/>
  <c r="U84" i="4"/>
  <c r="V84" i="4"/>
  <c r="W84" i="4"/>
  <c r="V85" i="4" s="1"/>
  <c r="X84" i="4"/>
  <c r="W85" i="4" s="1"/>
  <c r="H82" i="4"/>
  <c r="L82" i="4"/>
  <c r="C89" i="4"/>
  <c r="B89" i="4"/>
  <c r="D89" i="4"/>
  <c r="D90" i="4" s="1"/>
  <c r="E89" i="4"/>
  <c r="F89" i="4"/>
  <c r="G89" i="4"/>
  <c r="F90" i="4" s="1"/>
  <c r="H89" i="4"/>
  <c r="I89" i="4"/>
  <c r="J89" i="4"/>
  <c r="J90" i="4" s="1"/>
  <c r="K89" i="4"/>
  <c r="L89" i="4"/>
  <c r="M89" i="4"/>
  <c r="N89" i="4"/>
  <c r="O89" i="4"/>
  <c r="O90" i="4" s="1"/>
  <c r="P89" i="4"/>
  <c r="Q89" i="4"/>
  <c r="R89" i="4"/>
  <c r="S89" i="4"/>
  <c r="R90" i="4" s="1"/>
  <c r="T89" i="4"/>
  <c r="U89" i="4"/>
  <c r="U90" i="4" s="1"/>
  <c r="V89" i="4"/>
  <c r="V90" i="4" s="1"/>
  <c r="W89" i="4"/>
  <c r="X89" i="4"/>
  <c r="X90" i="4" s="1"/>
  <c r="H87" i="4"/>
  <c r="L87" i="4"/>
  <c r="B111" i="4"/>
  <c r="C111" i="4"/>
  <c r="D111" i="4"/>
  <c r="E111" i="4"/>
  <c r="F111" i="4"/>
  <c r="G111" i="4"/>
  <c r="H111" i="4"/>
  <c r="I111" i="4"/>
  <c r="J111" i="4"/>
  <c r="K111" i="4"/>
  <c r="L111" i="4"/>
  <c r="M111" i="4"/>
  <c r="N111" i="4"/>
  <c r="O111" i="4"/>
  <c r="P111" i="4"/>
  <c r="Q111" i="4"/>
  <c r="R111" i="4"/>
  <c r="T110" i="4"/>
  <c r="S111" i="4" s="1"/>
  <c r="J108" i="4"/>
  <c r="B121" i="4"/>
  <c r="C121" i="4"/>
  <c r="D121" i="4"/>
  <c r="E121" i="4"/>
  <c r="F121" i="4"/>
  <c r="G121" i="4"/>
  <c r="H121" i="4"/>
  <c r="I121" i="4"/>
  <c r="J121" i="4"/>
  <c r="K121" i="4"/>
  <c r="L121" i="4"/>
  <c r="M121" i="4"/>
  <c r="N121" i="4"/>
  <c r="O121" i="4"/>
  <c r="P121" i="4"/>
  <c r="Q121" i="4"/>
  <c r="R121" i="4"/>
  <c r="T120" i="4"/>
  <c r="S121" i="4" s="1"/>
  <c r="J118" i="4"/>
  <c r="B141" i="4"/>
  <c r="D138" i="4" s="1"/>
  <c r="F138" i="4" s="1"/>
  <c r="C141" i="4"/>
  <c r="D141" i="4"/>
  <c r="E141" i="4"/>
  <c r="F141" i="4"/>
  <c r="G141" i="4"/>
  <c r="H141" i="4"/>
  <c r="I141" i="4"/>
  <c r="J141" i="4"/>
  <c r="K141" i="4"/>
  <c r="L141" i="4"/>
  <c r="M141" i="4"/>
  <c r="N141" i="4"/>
  <c r="O141" i="4"/>
  <c r="P141" i="4"/>
  <c r="Q141" i="4"/>
  <c r="R141" i="4"/>
  <c r="S141" i="4"/>
  <c r="T141" i="4"/>
  <c r="U141" i="4"/>
  <c r="V141" i="4"/>
  <c r="W141" i="4"/>
  <c r="X141" i="4"/>
  <c r="J138" i="4"/>
  <c r="B146" i="4"/>
  <c r="C146" i="4"/>
  <c r="D146" i="4"/>
  <c r="E146" i="4"/>
  <c r="F146" i="4"/>
  <c r="G146" i="4"/>
  <c r="H146" i="4"/>
  <c r="I146" i="4"/>
  <c r="J146" i="4"/>
  <c r="K146" i="4"/>
  <c r="L146" i="4"/>
  <c r="M146" i="4"/>
  <c r="N146" i="4"/>
  <c r="O146" i="4"/>
  <c r="P146" i="4"/>
  <c r="Q146" i="4"/>
  <c r="R146" i="4"/>
  <c r="S146" i="4"/>
  <c r="T146" i="4"/>
  <c r="U146" i="4"/>
  <c r="V146" i="4"/>
  <c r="W146" i="4"/>
  <c r="X146" i="4"/>
  <c r="J143" i="4"/>
  <c r="B156" i="4"/>
  <c r="C156" i="4"/>
  <c r="D156" i="4"/>
  <c r="E156" i="4"/>
  <c r="F156" i="4"/>
  <c r="G156" i="4"/>
  <c r="H156" i="4"/>
  <c r="I156" i="4"/>
  <c r="D153" i="4" s="1"/>
  <c r="F153" i="4" s="1"/>
  <c r="J156" i="4"/>
  <c r="K156" i="4"/>
  <c r="L156" i="4"/>
  <c r="M156" i="4"/>
  <c r="N156" i="4"/>
  <c r="O156" i="4"/>
  <c r="P156" i="4"/>
  <c r="Q156" i="4"/>
  <c r="R156" i="4"/>
  <c r="S156" i="4"/>
  <c r="T156" i="4"/>
  <c r="U156" i="4"/>
  <c r="V156" i="4"/>
  <c r="W156" i="4"/>
  <c r="X156" i="4"/>
  <c r="J153" i="4"/>
  <c r="B161" i="4"/>
  <c r="C161" i="4"/>
  <c r="D161" i="4"/>
  <c r="E161" i="4"/>
  <c r="F161" i="4"/>
  <c r="G161" i="4"/>
  <c r="H161" i="4"/>
  <c r="I161" i="4"/>
  <c r="J161" i="4"/>
  <c r="K161" i="4"/>
  <c r="L161" i="4"/>
  <c r="M161" i="4"/>
  <c r="N161" i="4"/>
  <c r="O161" i="4"/>
  <c r="P161" i="4"/>
  <c r="Q161" i="4"/>
  <c r="R161" i="4"/>
  <c r="S161" i="4"/>
  <c r="T161" i="4"/>
  <c r="U161" i="4"/>
  <c r="V161" i="4"/>
  <c r="W161" i="4"/>
  <c r="X161" i="4"/>
  <c r="J158" i="4"/>
  <c r="B171" i="4"/>
  <c r="C171" i="4"/>
  <c r="D171" i="4"/>
  <c r="E171" i="4"/>
  <c r="F171" i="4"/>
  <c r="G171" i="4"/>
  <c r="H171" i="4"/>
  <c r="I171" i="4"/>
  <c r="J171" i="4"/>
  <c r="K171" i="4"/>
  <c r="L171" i="4"/>
  <c r="M171" i="4"/>
  <c r="N171" i="4"/>
  <c r="O171" i="4"/>
  <c r="P171" i="4"/>
  <c r="Q171" i="4"/>
  <c r="R171" i="4"/>
  <c r="S171" i="4"/>
  <c r="T171" i="4"/>
  <c r="U171" i="4"/>
  <c r="V171" i="4"/>
  <c r="W171" i="4"/>
  <c r="X171" i="4"/>
  <c r="J168" i="4"/>
  <c r="B176" i="4"/>
  <c r="C176" i="4"/>
  <c r="D176" i="4"/>
  <c r="E176" i="4"/>
  <c r="F176" i="4"/>
  <c r="G176" i="4"/>
  <c r="H176" i="4"/>
  <c r="I176" i="4"/>
  <c r="J176" i="4"/>
  <c r="K176" i="4"/>
  <c r="L176" i="4"/>
  <c r="D173" i="4" s="1"/>
  <c r="F173" i="4" s="1"/>
  <c r="M176" i="4"/>
  <c r="N176" i="4"/>
  <c r="O176" i="4"/>
  <c r="P176" i="4"/>
  <c r="Q176" i="4"/>
  <c r="R176" i="4"/>
  <c r="S176" i="4"/>
  <c r="T176" i="4"/>
  <c r="U176" i="4"/>
  <c r="V176" i="4"/>
  <c r="W176" i="4"/>
  <c r="X176" i="4"/>
  <c r="J173" i="4"/>
  <c r="B181" i="4"/>
  <c r="C181" i="4"/>
  <c r="D181" i="4"/>
  <c r="E181" i="4"/>
  <c r="F181" i="4"/>
  <c r="G181" i="4"/>
  <c r="H181" i="4"/>
  <c r="I181" i="4"/>
  <c r="J181" i="4"/>
  <c r="K181" i="4"/>
  <c r="L181" i="4"/>
  <c r="M181" i="4"/>
  <c r="N181" i="4"/>
  <c r="O181" i="4"/>
  <c r="P181" i="4"/>
  <c r="Q181" i="4"/>
  <c r="R181" i="4"/>
  <c r="S181" i="4"/>
  <c r="T181" i="4"/>
  <c r="U181" i="4"/>
  <c r="V181" i="4"/>
  <c r="W181" i="4"/>
  <c r="X181" i="4"/>
  <c r="J178" i="4"/>
  <c r="B186" i="4"/>
  <c r="D183" i="4" s="1"/>
  <c r="F183" i="4" s="1"/>
  <c r="C186" i="4"/>
  <c r="D186" i="4"/>
  <c r="E186" i="4"/>
  <c r="F186" i="4"/>
  <c r="G186" i="4"/>
  <c r="H186" i="4"/>
  <c r="I186" i="4"/>
  <c r="J186" i="4"/>
  <c r="K186" i="4"/>
  <c r="L186" i="4"/>
  <c r="M186" i="4"/>
  <c r="N186" i="4"/>
  <c r="O186" i="4"/>
  <c r="P186" i="4"/>
  <c r="Q186" i="4"/>
  <c r="R186" i="4"/>
  <c r="S186" i="4"/>
  <c r="T186" i="4"/>
  <c r="U186" i="4"/>
  <c r="V186" i="4"/>
  <c r="W186" i="4"/>
  <c r="X186" i="4"/>
  <c r="J183" i="4"/>
  <c r="B191" i="4"/>
  <c r="C191" i="4"/>
  <c r="D191" i="4"/>
  <c r="E191" i="4"/>
  <c r="F191" i="4"/>
  <c r="G191" i="4"/>
  <c r="H191" i="4"/>
  <c r="I191" i="4"/>
  <c r="J191" i="4"/>
  <c r="K191" i="4"/>
  <c r="L191" i="4"/>
  <c r="M191" i="4"/>
  <c r="N191" i="4"/>
  <c r="O191" i="4"/>
  <c r="P191" i="4"/>
  <c r="Q191" i="4"/>
  <c r="R191" i="4"/>
  <c r="T190" i="4"/>
  <c r="U190" i="4" s="1"/>
  <c r="X189" i="4"/>
  <c r="L188" i="4"/>
  <c r="J188" i="4" s="1"/>
  <c r="B221" i="4"/>
  <c r="C221" i="4"/>
  <c r="D221" i="4"/>
  <c r="E221" i="4"/>
  <c r="F221" i="4"/>
  <c r="G221" i="4"/>
  <c r="H221" i="4"/>
  <c r="I221" i="4"/>
  <c r="J221" i="4"/>
  <c r="K221" i="4"/>
  <c r="L221" i="4"/>
  <c r="M221" i="4"/>
  <c r="N221" i="4"/>
  <c r="O221" i="4"/>
  <c r="P221" i="4"/>
  <c r="Q221" i="4"/>
  <c r="R221" i="4"/>
  <c r="S221" i="4"/>
  <c r="T221" i="4"/>
  <c r="U221" i="4"/>
  <c r="V221" i="4"/>
  <c r="W221" i="4"/>
  <c r="X221" i="4"/>
  <c r="J218" i="4"/>
  <c r="B261" i="4"/>
  <c r="C261" i="4"/>
  <c r="D261" i="4"/>
  <c r="E261" i="4"/>
  <c r="F261" i="4"/>
  <c r="G261" i="4"/>
  <c r="H261" i="4"/>
  <c r="I261" i="4"/>
  <c r="J261" i="4"/>
  <c r="K261" i="4"/>
  <c r="L261" i="4"/>
  <c r="M261" i="4"/>
  <c r="N261" i="4"/>
  <c r="O261" i="4"/>
  <c r="P261" i="4"/>
  <c r="Q261" i="4"/>
  <c r="R261" i="4"/>
  <c r="S261" i="4"/>
  <c r="T261" i="4"/>
  <c r="U261" i="4"/>
  <c r="V261" i="4"/>
  <c r="W261" i="4"/>
  <c r="X261" i="4"/>
  <c r="J258" i="4"/>
  <c r="B266" i="4"/>
  <c r="D263" i="4" s="1"/>
  <c r="F263" i="4" s="1"/>
  <c r="C266" i="4"/>
  <c r="D266" i="4"/>
  <c r="E266" i="4"/>
  <c r="F266" i="4"/>
  <c r="G266" i="4"/>
  <c r="H266" i="4"/>
  <c r="I266" i="4"/>
  <c r="J266" i="4"/>
  <c r="K266" i="4"/>
  <c r="L266" i="4"/>
  <c r="M266" i="4"/>
  <c r="N266" i="4"/>
  <c r="O266" i="4"/>
  <c r="P266" i="4"/>
  <c r="Q266" i="4"/>
  <c r="R266" i="4"/>
  <c r="S266" i="4"/>
  <c r="T266" i="4"/>
  <c r="U266" i="4"/>
  <c r="V266" i="4"/>
  <c r="W266" i="4"/>
  <c r="X266" i="4"/>
  <c r="J263" i="4"/>
  <c r="B272" i="4"/>
  <c r="C272" i="4"/>
  <c r="D272" i="4"/>
  <c r="E272" i="4"/>
  <c r="F272" i="4"/>
  <c r="G272" i="4"/>
  <c r="H272" i="4"/>
  <c r="I272" i="4"/>
  <c r="J272" i="4"/>
  <c r="K272" i="4"/>
  <c r="L272" i="4"/>
  <c r="M272" i="4"/>
  <c r="N272" i="4"/>
  <c r="O272" i="4"/>
  <c r="P272" i="4"/>
  <c r="Q272" i="4"/>
  <c r="R272" i="4"/>
  <c r="S272" i="4"/>
  <c r="T272" i="4"/>
  <c r="U272" i="4"/>
  <c r="V272" i="4"/>
  <c r="W272" i="4"/>
  <c r="X272" i="4"/>
  <c r="J269" i="4"/>
  <c r="B277" i="4"/>
  <c r="C277" i="4"/>
  <c r="D277" i="4"/>
  <c r="E277" i="4"/>
  <c r="F277" i="4"/>
  <c r="G277" i="4"/>
  <c r="H277" i="4"/>
  <c r="I277" i="4"/>
  <c r="J277" i="4"/>
  <c r="K277" i="4"/>
  <c r="L277" i="4"/>
  <c r="M277" i="4"/>
  <c r="N277" i="4"/>
  <c r="O277" i="4"/>
  <c r="P277" i="4"/>
  <c r="Q277" i="4"/>
  <c r="R277" i="4"/>
  <c r="S277" i="4"/>
  <c r="T277" i="4"/>
  <c r="U277" i="4"/>
  <c r="V277" i="4"/>
  <c r="W277" i="4"/>
  <c r="X277" i="4"/>
  <c r="J274" i="4"/>
  <c r="B282" i="4"/>
  <c r="C282" i="4"/>
  <c r="D282" i="4"/>
  <c r="E282" i="4"/>
  <c r="F282" i="4"/>
  <c r="G282" i="4"/>
  <c r="H282" i="4"/>
  <c r="I282" i="4"/>
  <c r="J282" i="4"/>
  <c r="K282" i="4"/>
  <c r="L282" i="4"/>
  <c r="M282" i="4"/>
  <c r="N282" i="4"/>
  <c r="O282" i="4"/>
  <c r="P282" i="4"/>
  <c r="Q282" i="4"/>
  <c r="R282" i="4"/>
  <c r="S282" i="4"/>
  <c r="T282" i="4"/>
  <c r="U282" i="4"/>
  <c r="V282" i="4"/>
  <c r="W282" i="4"/>
  <c r="X282" i="4"/>
  <c r="J279" i="4"/>
  <c r="B287" i="4"/>
  <c r="C287" i="4"/>
  <c r="D287" i="4"/>
  <c r="E287" i="4"/>
  <c r="F287" i="4"/>
  <c r="G287" i="4"/>
  <c r="H287" i="4"/>
  <c r="I287" i="4"/>
  <c r="J287" i="4"/>
  <c r="K287" i="4"/>
  <c r="L287" i="4"/>
  <c r="M287" i="4"/>
  <c r="N287" i="4"/>
  <c r="O287" i="4"/>
  <c r="P287" i="4"/>
  <c r="Q287" i="4"/>
  <c r="R287" i="4"/>
  <c r="S287" i="4"/>
  <c r="T287" i="4"/>
  <c r="U287" i="4"/>
  <c r="V287" i="4"/>
  <c r="W287" i="4"/>
  <c r="X287" i="4"/>
  <c r="J284" i="4"/>
  <c r="B292" i="4"/>
  <c r="C292" i="4"/>
  <c r="D292" i="4"/>
  <c r="E292" i="4"/>
  <c r="F292" i="4"/>
  <c r="G292" i="4"/>
  <c r="H292" i="4"/>
  <c r="I292" i="4"/>
  <c r="J292" i="4"/>
  <c r="K292" i="4"/>
  <c r="L292" i="4"/>
  <c r="M292" i="4"/>
  <c r="N292" i="4"/>
  <c r="O292" i="4"/>
  <c r="P292" i="4"/>
  <c r="Q292" i="4"/>
  <c r="R292" i="4"/>
  <c r="S292" i="4"/>
  <c r="T292" i="4"/>
  <c r="U292" i="4"/>
  <c r="V292" i="4"/>
  <c r="W292" i="4"/>
  <c r="X292" i="4"/>
  <c r="J289" i="4"/>
  <c r="B297" i="4"/>
  <c r="C297" i="4"/>
  <c r="D297" i="4"/>
  <c r="E297" i="4"/>
  <c r="F297" i="4"/>
  <c r="G297" i="4"/>
  <c r="H297" i="4"/>
  <c r="I297" i="4"/>
  <c r="J297" i="4"/>
  <c r="K297" i="4"/>
  <c r="L297" i="4"/>
  <c r="M297" i="4"/>
  <c r="N297" i="4"/>
  <c r="O297" i="4"/>
  <c r="P297" i="4"/>
  <c r="Q297" i="4"/>
  <c r="R297" i="4"/>
  <c r="S297" i="4"/>
  <c r="T297" i="4"/>
  <c r="U297" i="4"/>
  <c r="V297" i="4"/>
  <c r="W297" i="4"/>
  <c r="X297" i="4"/>
  <c r="J294" i="4"/>
  <c r="B302" i="4"/>
  <c r="C302" i="4"/>
  <c r="D302" i="4"/>
  <c r="E302" i="4"/>
  <c r="F302" i="4"/>
  <c r="G302" i="4"/>
  <c r="H302" i="4"/>
  <c r="I302" i="4"/>
  <c r="J302" i="4"/>
  <c r="K302" i="4"/>
  <c r="L302" i="4"/>
  <c r="M302" i="4"/>
  <c r="N302" i="4"/>
  <c r="O302" i="4"/>
  <c r="P302" i="4"/>
  <c r="Q302" i="4"/>
  <c r="R302" i="4"/>
  <c r="S302" i="4"/>
  <c r="T302" i="4"/>
  <c r="U302" i="4"/>
  <c r="V302" i="4"/>
  <c r="W302" i="4"/>
  <c r="X302" i="4"/>
  <c r="J299" i="4"/>
  <c r="B312" i="4"/>
  <c r="C312" i="4"/>
  <c r="D312" i="4"/>
  <c r="E312" i="4"/>
  <c r="F312" i="4"/>
  <c r="G312" i="4"/>
  <c r="H312" i="4"/>
  <c r="I312" i="4"/>
  <c r="J312" i="4"/>
  <c r="K312" i="4"/>
  <c r="L312" i="4"/>
  <c r="M312" i="4"/>
  <c r="N312" i="4"/>
  <c r="O312" i="4"/>
  <c r="P312" i="4"/>
  <c r="Q312" i="4"/>
  <c r="R312" i="4"/>
  <c r="S312" i="4"/>
  <c r="T312" i="4"/>
  <c r="U312" i="4"/>
  <c r="V312" i="4"/>
  <c r="W312" i="4"/>
  <c r="X312" i="4"/>
  <c r="J309" i="4"/>
  <c r="A316" i="4"/>
  <c r="B26" i="4"/>
  <c r="N26" i="4"/>
  <c r="B31" i="4"/>
  <c r="N31" i="4"/>
  <c r="B36" i="4"/>
  <c r="N36" i="4"/>
  <c r="B41" i="4"/>
  <c r="N41" i="4"/>
  <c r="B46" i="4"/>
  <c r="N46" i="4"/>
  <c r="B51" i="4"/>
  <c r="N51" i="4"/>
  <c r="B56" i="4"/>
  <c r="N56" i="4"/>
  <c r="B61" i="4"/>
  <c r="N61" i="4"/>
  <c r="B67" i="4"/>
  <c r="B72" i="4"/>
  <c r="B77" i="4"/>
  <c r="B82" i="4"/>
  <c r="B87" i="4"/>
  <c r="B108" i="4"/>
  <c r="B118" i="4"/>
  <c r="B138" i="4"/>
  <c r="B143" i="4"/>
  <c r="B153" i="4"/>
  <c r="B158" i="4"/>
  <c r="B163" i="4"/>
  <c r="B168" i="4"/>
  <c r="B173" i="4"/>
  <c r="B178" i="4"/>
  <c r="B183" i="4"/>
  <c r="B188" i="4"/>
  <c r="B218" i="4"/>
  <c r="B258" i="4"/>
  <c r="B263" i="4"/>
  <c r="B269" i="4"/>
  <c r="B274" i="4"/>
  <c r="B279" i="4"/>
  <c r="B284" i="4"/>
  <c r="B289" i="4"/>
  <c r="B294" i="4"/>
  <c r="B299" i="4"/>
  <c r="B309" i="4"/>
  <c r="E116" i="7"/>
  <c r="F85" i="7"/>
  <c r="H118" i="7"/>
  <c r="H111" i="7"/>
  <c r="E102" i="7"/>
  <c r="E103" i="7"/>
  <c r="E104" i="7"/>
  <c r="E100" i="7"/>
  <c r="H105" i="7"/>
  <c r="J105" i="7"/>
  <c r="J101" i="7"/>
  <c r="J97" i="7"/>
  <c r="F97" i="7"/>
  <c r="J92" i="7"/>
  <c r="J88" i="7"/>
  <c r="J86" i="7"/>
  <c r="J84" i="7"/>
  <c r="F90" i="7"/>
  <c r="F82" i="7"/>
  <c r="D85" i="7"/>
  <c r="D83" i="7"/>
  <c r="D81" i="7"/>
  <c r="D80" i="7"/>
  <c r="B20" i="6"/>
  <c r="F321" i="4"/>
  <c r="F320" i="4"/>
  <c r="C21" i="5"/>
  <c r="C20" i="5"/>
  <c r="C26" i="5"/>
  <c r="C22" i="5"/>
  <c r="C17" i="5"/>
  <c r="C19" i="5"/>
  <c r="C16" i="5"/>
  <c r="C15" i="5"/>
  <c r="L2" i="6"/>
  <c r="C317" i="4"/>
  <c r="F317" i="4"/>
  <c r="C318" i="4"/>
  <c r="F318" i="4"/>
  <c r="C319" i="4"/>
  <c r="F319" i="4"/>
  <c r="C320" i="4"/>
  <c r="C321" i="4"/>
  <c r="C322" i="4"/>
  <c r="C323" i="4"/>
  <c r="C324" i="4"/>
  <c r="B146" i="2"/>
  <c r="B37" i="1"/>
  <c r="B37" i="6"/>
  <c r="B16" i="8"/>
  <c r="B76" i="2"/>
  <c r="B12" i="8"/>
  <c r="B108" i="1"/>
  <c r="F42" i="5"/>
  <c r="B73" i="8"/>
  <c r="B80" i="8"/>
  <c r="C5" i="8"/>
  <c r="B78" i="8"/>
  <c r="B76" i="8"/>
  <c r="B75" i="8"/>
  <c r="B11" i="8"/>
  <c r="C4" i="8"/>
  <c r="C17" i="8"/>
  <c r="C15" i="8"/>
  <c r="C13" i="8"/>
  <c r="B13" i="8"/>
  <c r="C9" i="8"/>
  <c r="C8" i="8"/>
  <c r="B8" i="8"/>
  <c r="C7" i="8"/>
  <c r="N37" i="6"/>
  <c r="C53" i="5"/>
  <c r="C55" i="5"/>
  <c r="T18" i="6"/>
  <c r="S17" i="6"/>
  <c r="S19" i="6"/>
  <c r="S18" i="6"/>
  <c r="S13" i="6"/>
  <c r="S14" i="6"/>
  <c r="S12" i="6"/>
  <c r="T16" i="6"/>
  <c r="T11" i="6"/>
  <c r="L39" i="6"/>
  <c r="B94" i="1"/>
  <c r="B79" i="2"/>
  <c r="H64" i="7"/>
  <c r="H63" i="7" s="1"/>
  <c r="E59" i="7"/>
  <c r="E55" i="7"/>
  <c r="H52" i="7"/>
  <c r="E45" i="7"/>
  <c r="D45" i="7"/>
  <c r="E44" i="7"/>
  <c r="D44" i="7"/>
  <c r="E46" i="7"/>
  <c r="D46" i="7"/>
  <c r="E43" i="7"/>
  <c r="D43" i="7"/>
  <c r="E41" i="7"/>
  <c r="E50" i="7"/>
  <c r="E48" i="7"/>
  <c r="E47" i="7"/>
  <c r="H50" i="7"/>
  <c r="E51" i="7"/>
  <c r="C31" i="7"/>
  <c r="C5" i="5"/>
  <c r="C6" i="5"/>
  <c r="C7" i="5"/>
  <c r="C8" i="5"/>
  <c r="C10" i="5"/>
  <c r="C11" i="5"/>
  <c r="C12" i="5"/>
  <c r="C13" i="5"/>
  <c r="C23" i="5"/>
  <c r="C25" i="5"/>
  <c r="C28" i="5"/>
  <c r="C33" i="5"/>
  <c r="F34" i="5"/>
  <c r="F35" i="5"/>
  <c r="F36" i="5"/>
  <c r="F37" i="5"/>
  <c r="F38" i="5"/>
  <c r="F39" i="5"/>
  <c r="F40" i="5"/>
  <c r="C54" i="5"/>
  <c r="A1" i="4"/>
  <c r="A3" i="4"/>
  <c r="A4" i="4"/>
  <c r="B77" i="2"/>
  <c r="B78" i="2"/>
  <c r="B131" i="2"/>
  <c r="B133" i="2"/>
  <c r="B134" i="2"/>
  <c r="B135" i="2"/>
  <c r="B137" i="2"/>
  <c r="B138" i="2"/>
  <c r="B140" i="2"/>
  <c r="B141" i="2"/>
  <c r="B144" i="2"/>
  <c r="C4" i="1"/>
  <c r="C6" i="1"/>
  <c r="C7" i="1"/>
  <c r="C24" i="1" s="1"/>
  <c r="B8" i="1"/>
  <c r="C8" i="1"/>
  <c r="C9" i="1"/>
  <c r="B11" i="1"/>
  <c r="B12" i="1"/>
  <c r="C12" i="1"/>
  <c r="C14" i="1"/>
  <c r="C18" i="1"/>
  <c r="B19" i="1"/>
  <c r="B20" i="1"/>
  <c r="C23" i="1"/>
  <c r="G23" i="1"/>
  <c r="H23" i="1"/>
  <c r="J23" i="1"/>
  <c r="K23" i="1"/>
  <c r="F24" i="1"/>
  <c r="B25" i="1"/>
  <c r="F25" i="1"/>
  <c r="B27" i="1"/>
  <c r="F26" i="1"/>
  <c r="H26" i="1"/>
  <c r="F28" i="1"/>
  <c r="B31" i="1"/>
  <c r="F29" i="1"/>
  <c r="B32" i="1"/>
  <c r="B33" i="1"/>
  <c r="H33" i="1"/>
  <c r="B34" i="1"/>
  <c r="F34" i="1"/>
  <c r="B35" i="1"/>
  <c r="F35" i="1"/>
  <c r="F36" i="1"/>
  <c r="A40" i="1"/>
  <c r="F40" i="1"/>
  <c r="H40" i="1"/>
  <c r="J40" i="1"/>
  <c r="K40" i="1"/>
  <c r="F42" i="1"/>
  <c r="M42" i="1"/>
  <c r="F43" i="1"/>
  <c r="F44" i="1"/>
  <c r="F45" i="1"/>
  <c r="F47" i="1"/>
  <c r="F48" i="1"/>
  <c r="F49" i="1"/>
  <c r="L49" i="1"/>
  <c r="F50" i="1"/>
  <c r="H50" i="1"/>
  <c r="F51" i="1"/>
  <c r="I51" i="1"/>
  <c r="L51" i="1"/>
  <c r="M51" i="1"/>
  <c r="B103" i="1"/>
  <c r="B110" i="1"/>
  <c r="B111" i="1"/>
  <c r="B112" i="1"/>
  <c r="B113" i="1"/>
  <c r="B114" i="1"/>
  <c r="B118" i="1"/>
  <c r="C143" i="1"/>
  <c r="C145" i="1"/>
  <c r="C147" i="1"/>
  <c r="B149" i="1"/>
  <c r="C4" i="6"/>
  <c r="C6" i="6"/>
  <c r="L6" i="6"/>
  <c r="C7" i="6"/>
  <c r="L7" i="6"/>
  <c r="B8" i="6"/>
  <c r="L8" i="6"/>
  <c r="L9" i="6"/>
  <c r="B12" i="6"/>
  <c r="M11" i="6"/>
  <c r="N11" i="6"/>
  <c r="P11" i="6"/>
  <c r="B13" i="6"/>
  <c r="L12" i="6"/>
  <c r="B14" i="6"/>
  <c r="L13" i="6"/>
  <c r="B15" i="6"/>
  <c r="L14" i="6"/>
  <c r="L15" i="6"/>
  <c r="C17" i="6"/>
  <c r="B19" i="6"/>
  <c r="L18" i="6"/>
  <c r="L19" i="6"/>
  <c r="C21" i="6"/>
  <c r="L20" i="6"/>
  <c r="B22" i="6"/>
  <c r="L21" i="6"/>
  <c r="B23" i="6"/>
  <c r="L22" i="6"/>
  <c r="B24" i="6"/>
  <c r="D26" i="6"/>
  <c r="F26" i="6"/>
  <c r="H26" i="6"/>
  <c r="E27" i="6"/>
  <c r="F28" i="6"/>
  <c r="F29" i="6"/>
  <c r="F30" i="6"/>
  <c r="E31" i="6"/>
  <c r="E32" i="6"/>
  <c r="D36" i="6"/>
  <c r="B92" i="6"/>
  <c r="B97" i="6"/>
  <c r="B103" i="6"/>
  <c r="B104" i="6"/>
  <c r="B105" i="6"/>
  <c r="B107" i="6"/>
  <c r="B108" i="6"/>
  <c r="B109" i="6"/>
  <c r="B114" i="6"/>
  <c r="B115" i="6"/>
  <c r="B117" i="6"/>
  <c r="B118" i="6"/>
  <c r="B119" i="6"/>
  <c r="B121" i="6"/>
  <c r="C124" i="6"/>
  <c r="E124" i="6"/>
  <c r="C125" i="6"/>
  <c r="C126" i="6" s="1"/>
  <c r="C127" i="6" s="1"/>
  <c r="C128" i="6" s="1"/>
  <c r="C129" i="6" s="1"/>
  <c r="D125" i="6"/>
  <c r="E125" i="6" s="1"/>
  <c r="C130" i="6"/>
  <c r="C131" i="6"/>
  <c r="E131" i="6"/>
  <c r="B137" i="6"/>
  <c r="B140" i="6"/>
  <c r="B143" i="6"/>
  <c r="B146" i="6"/>
  <c r="B155" i="6"/>
  <c r="E175" i="6"/>
  <c r="C176" i="6"/>
  <c r="F176" i="6"/>
  <c r="G176" i="6"/>
  <c r="D176" i="6" s="1"/>
  <c r="E176" i="6" s="1"/>
  <c r="H176" i="6"/>
  <c r="C177" i="6"/>
  <c r="F177" i="6"/>
  <c r="G177" i="6"/>
  <c r="D177" i="6" s="1"/>
  <c r="E177" i="6" s="1"/>
  <c r="H177" i="6"/>
  <c r="C178" i="6"/>
  <c r="F178" i="6"/>
  <c r="G178" i="6"/>
  <c r="H178" i="6"/>
  <c r="C179" i="6"/>
  <c r="F179" i="6"/>
  <c r="G179" i="6"/>
  <c r="D179" i="6" s="1"/>
  <c r="E179" i="6" s="1"/>
  <c r="H179" i="6"/>
  <c r="C180" i="6"/>
  <c r="D180" i="6"/>
  <c r="E180" i="6" s="1"/>
  <c r="F180" i="6"/>
  <c r="G180" i="6"/>
  <c r="H180" i="6"/>
  <c r="U120" i="4"/>
  <c r="T121" i="4" s="1"/>
  <c r="U85" i="4"/>
  <c r="O85" i="4"/>
  <c r="R216" i="4"/>
  <c r="V115" i="4"/>
  <c r="J87" i="4"/>
  <c r="S90" i="4"/>
  <c r="Q90" i="4"/>
  <c r="K90" i="4"/>
  <c r="I90" i="4"/>
  <c r="G90" i="4"/>
  <c r="T214" i="4"/>
  <c r="U214" i="4" s="1"/>
  <c r="V214" i="4" s="1"/>
  <c r="W214" i="4" s="1"/>
  <c r="D269" i="4"/>
  <c r="F269" i="4" s="1"/>
  <c r="X85" i="4"/>
  <c r="T85" i="4"/>
  <c r="R85" i="4"/>
  <c r="J85" i="4"/>
  <c r="D85" i="4"/>
  <c r="L90" i="4"/>
  <c r="D36" i="4"/>
  <c r="F36" i="4" s="1"/>
  <c r="D31" i="4"/>
  <c r="F31" i="4" s="1"/>
  <c r="U165" i="4"/>
  <c r="T166" i="4" s="1"/>
  <c r="R201" i="4"/>
  <c r="K196" i="4"/>
  <c r="T211" i="4"/>
  <c r="S226" i="4"/>
  <c r="S251" i="4"/>
  <c r="L246" i="4"/>
  <c r="K246" i="4"/>
  <c r="R251" i="4"/>
  <c r="U116" i="4"/>
  <c r="W115" i="4"/>
  <c r="X115" i="4" s="1"/>
  <c r="V116" i="4"/>
  <c r="U211" i="4"/>
  <c r="M246" i="4"/>
  <c r="V250" i="4"/>
  <c r="T251" i="4"/>
  <c r="V211" i="4"/>
  <c r="N246" i="4"/>
  <c r="X245" i="4"/>
  <c r="W211" i="4"/>
  <c r="X211" i="4"/>
  <c r="O246" i="4"/>
  <c r="P246" i="4"/>
  <c r="Q246" i="4"/>
  <c r="R246" i="4"/>
  <c r="S246" i="4"/>
  <c r="T246" i="4"/>
  <c r="U246" i="4"/>
  <c r="X244" i="4"/>
  <c r="V246" i="4"/>
  <c r="W130" i="4"/>
  <c r="V131" i="4" s="1"/>
  <c r="U125" i="4"/>
  <c r="V125" i="4" s="1"/>
  <c r="R241" i="4"/>
  <c r="C133" i="6"/>
  <c r="D161" i="6"/>
  <c r="E161" i="6" s="1"/>
  <c r="D158" i="6"/>
  <c r="E158" i="6" s="1"/>
  <c r="D162" i="6"/>
  <c r="E162" i="6" s="1"/>
  <c r="D160" i="6"/>
  <c r="E160" i="6" s="1"/>
  <c r="D159" i="6"/>
  <c r="E159" i="6" s="1"/>
  <c r="S206" i="4"/>
  <c r="R206" i="4"/>
  <c r="T206" i="4"/>
  <c r="U206" i="4"/>
  <c r="X205" i="4"/>
  <c r="W206" i="4" s="1"/>
  <c r="V206" i="4"/>
  <c r="X100" i="4"/>
  <c r="L105" i="4"/>
  <c r="C105" i="4"/>
  <c r="K105" i="4"/>
  <c r="O105" i="4"/>
  <c r="S100" i="4"/>
  <c r="U100" i="4"/>
  <c r="H100" i="4"/>
  <c r="Q100" i="4"/>
  <c r="Q105" i="4"/>
  <c r="I38" i="7" l="1"/>
  <c r="B81" i="8"/>
  <c r="L4" i="3"/>
  <c r="H4" i="3"/>
  <c r="E8" i="7"/>
  <c r="C198" i="6"/>
  <c r="C197" i="6"/>
  <c r="B197" i="6" s="1"/>
  <c r="C182" i="6"/>
  <c r="E188" i="6"/>
  <c r="B189" i="6"/>
  <c r="C184" i="6"/>
  <c r="E192" i="6"/>
  <c r="D284" i="4"/>
  <c r="F284" i="4" s="1"/>
  <c r="N194" i="4"/>
  <c r="L196" i="4"/>
  <c r="C90" i="4"/>
  <c r="D67" i="4"/>
  <c r="F67" i="4" s="1"/>
  <c r="D46" i="4"/>
  <c r="F46" i="4" s="1"/>
  <c r="W90" i="4"/>
  <c r="D168" i="4"/>
  <c r="F168" i="4" s="1"/>
  <c r="J82" i="4"/>
  <c r="J105" i="4"/>
  <c r="N90" i="4"/>
  <c r="H69" i="7"/>
  <c r="G100" i="4"/>
  <c r="X246" i="4"/>
  <c r="S191" i="4"/>
  <c r="U251" i="4"/>
  <c r="V120" i="4"/>
  <c r="W120" i="4" s="1"/>
  <c r="X120" i="4" s="1"/>
  <c r="G85" i="4"/>
  <c r="T90" i="4"/>
  <c r="C136" i="6"/>
  <c r="V165" i="4"/>
  <c r="U166" i="4" s="1"/>
  <c r="D143" i="4"/>
  <c r="F143" i="4" s="1"/>
  <c r="Q85" i="4"/>
  <c r="T234" i="4"/>
  <c r="U234" i="4" s="1"/>
  <c r="V234" i="4" s="1"/>
  <c r="W234" i="4" s="1"/>
  <c r="L100" i="4"/>
  <c r="P105" i="4"/>
  <c r="R105" i="4"/>
  <c r="N85" i="4"/>
  <c r="S105" i="4"/>
  <c r="D274" i="4"/>
  <c r="F274" i="4" s="1"/>
  <c r="D218" i="4"/>
  <c r="F218" i="4" s="1"/>
  <c r="M20" i="6"/>
  <c r="K85" i="4"/>
  <c r="X105" i="4"/>
  <c r="B79" i="8"/>
  <c r="C148" i="6"/>
  <c r="D178" i="4"/>
  <c r="F178" i="4" s="1"/>
  <c r="P90" i="4"/>
  <c r="I85" i="4"/>
  <c r="T126" i="4"/>
  <c r="V100" i="4"/>
  <c r="D279" i="4"/>
  <c r="F279" i="4" s="1"/>
  <c r="D258" i="4"/>
  <c r="F258" i="4" s="1"/>
  <c r="M90" i="4"/>
  <c r="D61" i="4"/>
  <c r="F61" i="4" s="1"/>
  <c r="D41" i="4"/>
  <c r="F41" i="4" s="1"/>
  <c r="D158" i="4"/>
  <c r="F158" i="4" s="1"/>
  <c r="H90" i="4"/>
  <c r="B105" i="4"/>
  <c r="U256" i="4"/>
  <c r="E90" i="4"/>
  <c r="B100" i="4"/>
  <c r="D26" i="4"/>
  <c r="F26" i="4" s="1"/>
  <c r="E185" i="6"/>
  <c r="W116" i="4"/>
  <c r="X116" i="4"/>
  <c r="U239" i="4"/>
  <c r="V239" i="4" s="1"/>
  <c r="W239" i="4" s="1"/>
  <c r="X239" i="4" s="1"/>
  <c r="S241" i="4"/>
  <c r="U126" i="4"/>
  <c r="W125" i="4"/>
  <c r="S216" i="4"/>
  <c r="U215" i="4"/>
  <c r="T216" i="4" s="1"/>
  <c r="D309" i="4"/>
  <c r="F309" i="4" s="1"/>
  <c r="D299" i="4"/>
  <c r="F299" i="4" s="1"/>
  <c r="D294" i="4"/>
  <c r="F294" i="4" s="1"/>
  <c r="D208" i="4"/>
  <c r="F208" i="4" s="1"/>
  <c r="B90" i="4"/>
  <c r="U121" i="4"/>
  <c r="U110" i="4"/>
  <c r="J97" i="4"/>
  <c r="F100" i="4"/>
  <c r="N100" i="4"/>
  <c r="T100" i="4"/>
  <c r="V105" i="4"/>
  <c r="T241" i="4"/>
  <c r="C100" i="4"/>
  <c r="W100" i="4"/>
  <c r="H105" i="4"/>
  <c r="U105" i="4"/>
  <c r="D126" i="6"/>
  <c r="W250" i="4"/>
  <c r="X250" i="4" s="1"/>
  <c r="X251" i="4" s="1"/>
  <c r="D289" i="4"/>
  <c r="F289" i="4" s="1"/>
  <c r="X130" i="4"/>
  <c r="W246" i="4"/>
  <c r="C85" i="4"/>
  <c r="B199" i="6"/>
  <c r="D100" i="4"/>
  <c r="J102" i="4"/>
  <c r="F105" i="4"/>
  <c r="M105" i="4"/>
  <c r="E186" i="6"/>
  <c r="E187" i="6"/>
  <c r="J24" i="7"/>
  <c r="D304" i="4"/>
  <c r="F304" i="4" s="1"/>
  <c r="U200" i="4"/>
  <c r="S201" i="4"/>
  <c r="T191" i="4"/>
  <c r="V190" i="4"/>
  <c r="T226" i="4"/>
  <c r="V225" i="4"/>
  <c r="X255" i="4"/>
  <c r="V256" i="4"/>
  <c r="X240" i="4"/>
  <c r="V241" i="4"/>
  <c r="U235" i="4"/>
  <c r="S236" i="4"/>
  <c r="D113" i="4"/>
  <c r="F113" i="4" s="1"/>
  <c r="K100" i="4"/>
  <c r="M100" i="4"/>
  <c r="O100" i="4"/>
  <c r="D105" i="4"/>
  <c r="W105" i="4"/>
  <c r="I100" i="4"/>
  <c r="X206" i="4"/>
  <c r="D203" i="4" s="1"/>
  <c r="F203" i="4" s="1"/>
  <c r="B2" i="4"/>
  <c r="M24" i="6"/>
  <c r="K24" i="7"/>
  <c r="F94" i="7"/>
  <c r="M23" i="6"/>
  <c r="B59" i="8"/>
  <c r="C59" i="8" s="1"/>
  <c r="C15" i="1"/>
  <c r="H51" i="7" s="1"/>
  <c r="B61" i="8"/>
  <c r="C61" i="8" s="1"/>
  <c r="D178" i="6"/>
  <c r="E178" i="6" s="1"/>
  <c r="E56" i="7"/>
  <c r="B63" i="8"/>
  <c r="C63" i="8" s="1"/>
  <c r="E40" i="7"/>
  <c r="O23" i="6"/>
  <c r="O24" i="6"/>
  <c r="B55" i="8"/>
  <c r="C55" i="8" s="1"/>
  <c r="B65" i="8"/>
  <c r="C65" i="8" s="1"/>
  <c r="B69" i="8"/>
  <c r="C69" i="8" s="1"/>
  <c r="B64" i="8"/>
  <c r="C64" i="8" s="1"/>
  <c r="B67" i="8"/>
  <c r="C67" i="8" s="1"/>
  <c r="H27" i="6"/>
  <c r="H45" i="7" s="1"/>
  <c r="C16" i="8"/>
  <c r="B68" i="8"/>
  <c r="C68" i="8" s="1"/>
  <c r="B56" i="8"/>
  <c r="C56" i="8" s="1"/>
  <c r="B58" i="8"/>
  <c r="C58" i="8" s="1"/>
  <c r="B62" i="8"/>
  <c r="C62" i="8" s="1"/>
  <c r="O18" i="6"/>
  <c r="D35" i="6"/>
  <c r="O21" i="6" s="1"/>
  <c r="B54" i="8"/>
  <c r="C54" i="8" s="1"/>
  <c r="D26" i="7"/>
  <c r="B53" i="8"/>
  <c r="C53" i="8" s="1"/>
  <c r="B60" i="8"/>
  <c r="C60" i="8" s="1"/>
  <c r="B66" i="8"/>
  <c r="C66" i="8" s="1"/>
  <c r="B52" i="8"/>
  <c r="C52" i="8" s="1"/>
  <c r="B57" i="8"/>
  <c r="C57" i="8" s="1"/>
  <c r="T14" i="6"/>
  <c r="C173" i="6"/>
  <c r="C172" i="6"/>
  <c r="C195" i="6"/>
  <c r="A317" i="4" a="1"/>
  <c r="A341" i="4" s="1"/>
  <c r="D148" i="4"/>
  <c r="F148" i="4" s="1"/>
  <c r="H28" i="1"/>
  <c r="H67" i="7"/>
  <c r="H17" i="7"/>
  <c r="B107" i="1"/>
  <c r="E24" i="1"/>
  <c r="B109" i="1"/>
  <c r="H48" i="1"/>
  <c r="B158" i="1"/>
  <c r="B132" i="1"/>
  <c r="G4" i="3"/>
  <c r="C139" i="6"/>
  <c r="C134" i="6"/>
  <c r="C143" i="6"/>
  <c r="C146" i="6"/>
  <c r="AD4" i="3"/>
  <c r="E190" i="6"/>
  <c r="D32" i="1"/>
  <c r="I68" i="7" s="1"/>
  <c r="AE4" i="3"/>
  <c r="T19" i="6"/>
  <c r="C142" i="6"/>
  <c r="C141" i="6"/>
  <c r="C145" i="6"/>
  <c r="I71" i="7"/>
  <c r="B77" i="8"/>
  <c r="C196" i="6"/>
  <c r="B196" i="6" s="1"/>
  <c r="C147" i="6"/>
  <c r="E42" i="7"/>
  <c r="E193" i="6"/>
  <c r="E189" i="6"/>
  <c r="C183" i="6"/>
  <c r="J90" i="7"/>
  <c r="F118" i="7" s="1"/>
  <c r="C132" i="6"/>
  <c r="F27" i="7"/>
  <c r="C137" i="6"/>
  <c r="C135" i="6"/>
  <c r="C138" i="6"/>
  <c r="E33" i="6"/>
  <c r="C144" i="6"/>
  <c r="T17" i="6"/>
  <c r="E14" i="7"/>
  <c r="B201" i="6"/>
  <c r="C201" i="6" s="1"/>
  <c r="B186" i="6"/>
  <c r="B200" i="6"/>
  <c r="C200" i="6" s="1"/>
  <c r="E183" i="6"/>
  <c r="B187" i="6"/>
  <c r="E184" i="6"/>
  <c r="B202" i="6"/>
  <c r="T3" i="4"/>
  <c r="Q3" i="4"/>
  <c r="Y4" i="4"/>
  <c r="C163" i="6" l="1"/>
  <c r="C166" i="6"/>
  <c r="C167" i="6"/>
  <c r="E4" i="7"/>
  <c r="V215" i="4"/>
  <c r="W215" i="4" s="1"/>
  <c r="V121" i="4"/>
  <c r="U241" i="4"/>
  <c r="D82" i="4"/>
  <c r="F82" i="4" s="1"/>
  <c r="D97" i="4"/>
  <c r="F97" i="4" s="1"/>
  <c r="D243" i="4"/>
  <c r="F243" i="4" s="1"/>
  <c r="W251" i="4"/>
  <c r="W165" i="4"/>
  <c r="D87" i="4"/>
  <c r="F87" i="4" s="1"/>
  <c r="O194" i="4"/>
  <c r="M196" i="4"/>
  <c r="V166" i="4"/>
  <c r="X165" i="4"/>
  <c r="V126" i="4"/>
  <c r="X125" i="4"/>
  <c r="V251" i="4"/>
  <c r="D248" i="4" s="1"/>
  <c r="F248" i="4" s="1"/>
  <c r="X131" i="4"/>
  <c r="W131" i="4"/>
  <c r="D128" i="4" s="1"/>
  <c r="V110" i="4"/>
  <c r="T111" i="4"/>
  <c r="D102" i="4"/>
  <c r="F102" i="4" s="1"/>
  <c r="E126" i="6"/>
  <c r="D127" i="6"/>
  <c r="W121" i="4"/>
  <c r="X121" i="4"/>
  <c r="W225" i="4"/>
  <c r="U226" i="4"/>
  <c r="X256" i="4"/>
  <c r="W256" i="4"/>
  <c r="D253" i="4" s="1"/>
  <c r="T201" i="4"/>
  <c r="V200" i="4"/>
  <c r="T236" i="4"/>
  <c r="V235" i="4"/>
  <c r="X241" i="4"/>
  <c r="W241" i="4"/>
  <c r="U191" i="4"/>
  <c r="W190" i="4"/>
  <c r="D157" i="6"/>
  <c r="D137" i="6"/>
  <c r="W4" i="3"/>
  <c r="D139" i="6"/>
  <c r="D133" i="6"/>
  <c r="E133" i="6" s="1"/>
  <c r="D156" i="6"/>
  <c r="D135" i="6"/>
  <c r="E135" i="6" s="1"/>
  <c r="E52" i="7"/>
  <c r="D140" i="6"/>
  <c r="E30" i="6"/>
  <c r="E34" i="6"/>
  <c r="D138" i="6"/>
  <c r="D145" i="6"/>
  <c r="D148" i="6"/>
  <c r="D143" i="6"/>
  <c r="D141" i="6"/>
  <c r="D134" i="6"/>
  <c r="E134" i="6" s="1"/>
  <c r="O20" i="6"/>
  <c r="I28" i="6" s="1"/>
  <c r="D136" i="6"/>
  <c r="E136" i="6" s="1"/>
  <c r="D147" i="6"/>
  <c r="E57" i="7"/>
  <c r="D142" i="6"/>
  <c r="D155" i="6"/>
  <c r="D132" i="6"/>
  <c r="E132" i="6" s="1"/>
  <c r="C168" i="6"/>
  <c r="C169" i="6" s="1"/>
  <c r="D168" i="6"/>
  <c r="D169" i="6" s="1"/>
  <c r="D144" i="6"/>
  <c r="E53" i="7"/>
  <c r="D146" i="6"/>
  <c r="S27" i="6"/>
  <c r="H12" i="7"/>
  <c r="I16" i="7"/>
  <c r="K51" i="1"/>
  <c r="R28" i="1"/>
  <c r="A323" i="4"/>
  <c r="A330" i="4"/>
  <c r="A331" i="4"/>
  <c r="A343" i="4"/>
  <c r="A339" i="4"/>
  <c r="A327" i="4"/>
  <c r="A338" i="4"/>
  <c r="A320" i="4"/>
  <c r="A332" i="4"/>
  <c r="A337" i="4"/>
  <c r="A340" i="4"/>
  <c r="A318" i="4"/>
  <c r="A333" i="4"/>
  <c r="A328" i="4"/>
  <c r="A342" i="4"/>
  <c r="A325" i="4"/>
  <c r="A336" i="4"/>
  <c r="A317" i="4"/>
  <c r="A346" i="4"/>
  <c r="A322" i="4"/>
  <c r="A329" i="4"/>
  <c r="A321" i="4"/>
  <c r="A326" i="4"/>
  <c r="A345" i="4"/>
  <c r="A319" i="4"/>
  <c r="A324" i="4"/>
  <c r="A335" i="4"/>
  <c r="A344" i="4"/>
  <c r="A334" i="4"/>
  <c r="B4" i="4"/>
  <c r="V3" i="4"/>
  <c r="R3" i="4"/>
  <c r="D3" i="4"/>
  <c r="N3" i="4"/>
  <c r="V4" i="4"/>
  <c r="H3" i="4"/>
  <c r="O3" i="4"/>
  <c r="N2" i="4"/>
  <c r="W4" i="4"/>
  <c r="G4" i="4"/>
  <c r="L2" i="4"/>
  <c r="U3" i="4"/>
  <c r="Z2" i="4"/>
  <c r="F4" i="4"/>
  <c r="R2" i="4"/>
  <c r="J3" i="4"/>
  <c r="X4" i="4"/>
  <c r="E4" i="4"/>
  <c r="Y3" i="4"/>
  <c r="J4" i="4"/>
  <c r="O4" i="4"/>
  <c r="P3" i="4"/>
  <c r="C4" i="4"/>
  <c r="S3" i="4"/>
  <c r="K4" i="4"/>
  <c r="H2" i="4"/>
  <c r="E3" i="4"/>
  <c r="L4" i="4"/>
  <c r="M4" i="4"/>
  <c r="M3" i="4"/>
  <c r="H4" i="4"/>
  <c r="V2" i="4"/>
  <c r="U4" i="4"/>
  <c r="X3" i="4"/>
  <c r="G3" i="4"/>
  <c r="J2" i="4"/>
  <c r="L3" i="4"/>
  <c r="B3" i="4"/>
  <c r="D4" i="4"/>
  <c r="P2" i="4"/>
  <c r="I3" i="4"/>
  <c r="R4" i="4"/>
  <c r="T2" i="4"/>
  <c r="X2" i="4"/>
  <c r="I4" i="4"/>
  <c r="Q4" i="4"/>
  <c r="N4" i="4"/>
  <c r="S4" i="4"/>
  <c r="T4" i="4"/>
  <c r="F3" i="4"/>
  <c r="K3" i="4"/>
  <c r="C3" i="4"/>
  <c r="W3" i="4"/>
  <c r="P4" i="4"/>
  <c r="P14" i="6" l="1"/>
  <c r="N14" i="6" s="1"/>
  <c r="I41" i="7" s="1"/>
  <c r="D166" i="6"/>
  <c r="E166" i="6" s="1"/>
  <c r="D167" i="6"/>
  <c r="E167" i="6" s="1"/>
  <c r="D163" i="6"/>
  <c r="E163" i="6" s="1"/>
  <c r="E28" i="6"/>
  <c r="D164" i="6"/>
  <c r="E164" i="6" s="1"/>
  <c r="D165" i="6"/>
  <c r="E165" i="6" s="1"/>
  <c r="A5" i="3"/>
  <c r="B5" i="3" s="1"/>
  <c r="Z5" i="3" s="1"/>
  <c r="N12" i="6"/>
  <c r="N13" i="6"/>
  <c r="C206" i="6"/>
  <c r="C205" i="6"/>
  <c r="C207" i="6"/>
  <c r="C209" i="6"/>
  <c r="C208" i="6"/>
  <c r="C210" i="6"/>
  <c r="N196" i="4"/>
  <c r="P194" i="4"/>
  <c r="D238" i="4"/>
  <c r="U216" i="4"/>
  <c r="F108" i="1"/>
  <c r="F107" i="1"/>
  <c r="F106" i="1"/>
  <c r="H18" i="7"/>
  <c r="F109" i="1"/>
  <c r="F105" i="1"/>
  <c r="E101" i="7"/>
  <c r="C171" i="6"/>
  <c r="C170" i="6"/>
  <c r="E49" i="7"/>
  <c r="E18" i="7"/>
  <c r="T13" i="6"/>
  <c r="T12" i="6"/>
  <c r="C174" i="6"/>
  <c r="M13" i="6"/>
  <c r="D171" i="6"/>
  <c r="B50" i="8"/>
  <c r="C50" i="8" s="1"/>
  <c r="D174" i="6"/>
  <c r="B45" i="8"/>
  <c r="C45" i="8" s="1"/>
  <c r="B51" i="8"/>
  <c r="C51" i="8" s="1"/>
  <c r="B43" i="8"/>
  <c r="C43" i="8" s="1"/>
  <c r="B44" i="8"/>
  <c r="C44" i="8" s="1"/>
  <c r="B46" i="8"/>
  <c r="C46" i="8" s="1"/>
  <c r="D172" i="6"/>
  <c r="D170" i="6"/>
  <c r="D173" i="6"/>
  <c r="B48" i="8"/>
  <c r="C48" i="8" s="1"/>
  <c r="B49" i="8"/>
  <c r="C49" i="8" s="1"/>
  <c r="B47" i="8"/>
  <c r="C47" i="8" s="1"/>
  <c r="M12" i="6"/>
  <c r="W166" i="4"/>
  <c r="X166" i="4"/>
  <c r="E127" i="6"/>
  <c r="D128" i="6"/>
  <c r="W110" i="4"/>
  <c r="U111" i="4"/>
  <c r="X126" i="4"/>
  <c r="W126" i="4"/>
  <c r="D123" i="4" s="1"/>
  <c r="D118" i="4"/>
  <c r="F118" i="4" s="1"/>
  <c r="D163" i="4"/>
  <c r="F163" i="4" s="1"/>
  <c r="W235" i="4"/>
  <c r="U236" i="4"/>
  <c r="W200" i="4"/>
  <c r="U201" i="4"/>
  <c r="X215" i="4"/>
  <c r="V216" i="4"/>
  <c r="V226" i="4"/>
  <c r="X225" i="4"/>
  <c r="X190" i="4"/>
  <c r="V191" i="4"/>
  <c r="I31" i="6"/>
  <c r="C154" i="6" s="1"/>
  <c r="E29" i="6"/>
  <c r="C191" i="6"/>
  <c r="D153" i="6"/>
  <c r="C192" i="6"/>
  <c r="D62" i="8" l="1"/>
  <c r="F62" i="8" s="1"/>
  <c r="I62" i="8" s="1"/>
  <c r="D69" i="8"/>
  <c r="F69" i="8" s="1"/>
  <c r="I69" i="8" s="1"/>
  <c r="D64" i="8"/>
  <c r="E64" i="8" s="1"/>
  <c r="H64" i="8" s="1"/>
  <c r="D56" i="8"/>
  <c r="F56" i="8" s="1"/>
  <c r="I56" i="8" s="1"/>
  <c r="D54" i="8"/>
  <c r="E54" i="8" s="1"/>
  <c r="H54" i="8" s="1"/>
  <c r="D63" i="8"/>
  <c r="E63" i="8" s="1"/>
  <c r="H63" i="8" s="1"/>
  <c r="D60" i="8"/>
  <c r="E60" i="8" s="1"/>
  <c r="H60" i="8" s="1"/>
  <c r="D49" i="8"/>
  <c r="E49" i="8" s="1"/>
  <c r="H49" i="8" s="1"/>
  <c r="D55" i="8"/>
  <c r="F55" i="8" s="1"/>
  <c r="I55" i="8" s="1"/>
  <c r="D45" i="8"/>
  <c r="E45" i="8" s="1"/>
  <c r="H45" i="8" s="1"/>
  <c r="D43" i="8"/>
  <c r="E43" i="8" s="1"/>
  <c r="H43" i="8" s="1"/>
  <c r="D61" i="8"/>
  <c r="F61" i="8" s="1"/>
  <c r="I61" i="8" s="1"/>
  <c r="D47" i="8"/>
  <c r="E47" i="8" s="1"/>
  <c r="H47" i="8" s="1"/>
  <c r="D58" i="8"/>
  <c r="F58" i="8" s="1"/>
  <c r="I58" i="8" s="1"/>
  <c r="D48" i="8"/>
  <c r="F48" i="8" s="1"/>
  <c r="I48" i="8" s="1"/>
  <c r="D67" i="8"/>
  <c r="E67" i="8" s="1"/>
  <c r="H67" i="8" s="1"/>
  <c r="M14" i="6"/>
  <c r="F107" i="7" s="1"/>
  <c r="D51" i="8"/>
  <c r="E51" i="8" s="1"/>
  <c r="H51" i="8" s="1"/>
  <c r="D50" i="8"/>
  <c r="F50" i="8" s="1"/>
  <c r="I50" i="8" s="1"/>
  <c r="D44" i="8"/>
  <c r="E44" i="8" s="1"/>
  <c r="H44" i="8" s="1"/>
  <c r="D53" i="8"/>
  <c r="E53" i="8" s="1"/>
  <c r="H53" i="8" s="1"/>
  <c r="D46" i="8"/>
  <c r="F46" i="8" s="1"/>
  <c r="I46" i="8" s="1"/>
  <c r="D66" i="8"/>
  <c r="E66" i="8" s="1"/>
  <c r="H66" i="8" s="1"/>
  <c r="D68" i="8"/>
  <c r="F68" i="8" s="1"/>
  <c r="I68" i="8" s="1"/>
  <c r="D52" i="8"/>
  <c r="F52" i="8" s="1"/>
  <c r="I52" i="8" s="1"/>
  <c r="D57" i="8"/>
  <c r="E57" i="8" s="1"/>
  <c r="H57" i="8" s="1"/>
  <c r="D65" i="8"/>
  <c r="E65" i="8" s="1"/>
  <c r="H65" i="8" s="1"/>
  <c r="D59" i="8"/>
  <c r="E59" i="8" s="1"/>
  <c r="H59" i="8" s="1"/>
  <c r="E11" i="7"/>
  <c r="C11" i="8"/>
  <c r="H5" i="7"/>
  <c r="H41" i="7"/>
  <c r="E107" i="7"/>
  <c r="P15" i="6"/>
  <c r="E35" i="6"/>
  <c r="O22" i="6" s="1"/>
  <c r="O19" i="6" s="1"/>
  <c r="H28" i="6" s="1"/>
  <c r="C190" i="6" s="1"/>
  <c r="M22" i="6"/>
  <c r="C164" i="6"/>
  <c r="C165" i="6"/>
  <c r="AC5" i="3"/>
  <c r="P5" i="3"/>
  <c r="Q5" i="3" s="1"/>
  <c r="A6" i="3"/>
  <c r="B6" i="3" s="1"/>
  <c r="AC6" i="3" s="1"/>
  <c r="E110" i="7"/>
  <c r="C25" i="1"/>
  <c r="C32" i="1" s="1"/>
  <c r="K49" i="1" s="1"/>
  <c r="AA5" i="3"/>
  <c r="AD5" i="3"/>
  <c r="C204" i="6"/>
  <c r="Q194" i="4"/>
  <c r="O196" i="4"/>
  <c r="V111" i="4"/>
  <c r="X110" i="4"/>
  <c r="E128" i="6"/>
  <c r="D129" i="6"/>
  <c r="X200" i="4"/>
  <c r="V201" i="4"/>
  <c r="W226" i="4"/>
  <c r="X226" i="4"/>
  <c r="X191" i="4"/>
  <c r="W191" i="4"/>
  <c r="W216" i="4"/>
  <c r="X216" i="4"/>
  <c r="V236" i="4"/>
  <c r="X235" i="4"/>
  <c r="C153" i="6"/>
  <c r="F63" i="8" l="1"/>
  <c r="I63" i="8" s="1"/>
  <c r="M15" i="6"/>
  <c r="J42" i="7" s="1"/>
  <c r="E69" i="8"/>
  <c r="H69" i="8" s="1"/>
  <c r="E62" i="8"/>
  <c r="H62" i="8" s="1"/>
  <c r="F60" i="8"/>
  <c r="I60" i="8" s="1"/>
  <c r="E46" i="8"/>
  <c r="H46" i="8" s="1"/>
  <c r="E58" i="8"/>
  <c r="H58" i="8" s="1"/>
  <c r="F53" i="8"/>
  <c r="I53" i="8" s="1"/>
  <c r="F54" i="8"/>
  <c r="I54" i="8" s="1"/>
  <c r="F47" i="8"/>
  <c r="I47" i="8" s="1"/>
  <c r="F49" i="8"/>
  <c r="I49" i="8" s="1"/>
  <c r="E68" i="8"/>
  <c r="H68" i="8" s="1"/>
  <c r="F67" i="8"/>
  <c r="I67" i="8" s="1"/>
  <c r="F43" i="8"/>
  <c r="I43" i="8" s="1"/>
  <c r="F45" i="8"/>
  <c r="I45" i="8" s="1"/>
  <c r="F64" i="8"/>
  <c r="I64" i="8" s="1"/>
  <c r="E61" i="8"/>
  <c r="H61" i="8" s="1"/>
  <c r="E55" i="8"/>
  <c r="H55" i="8" s="1"/>
  <c r="E56" i="8"/>
  <c r="H56" i="8" s="1"/>
  <c r="E52" i="8"/>
  <c r="H52" i="8" s="1"/>
  <c r="E50" i="8"/>
  <c r="H50" i="8" s="1"/>
  <c r="J41" i="7"/>
  <c r="C11" i="1"/>
  <c r="S4" i="3" s="1"/>
  <c r="T4" i="3" s="1"/>
  <c r="U4" i="3" s="1"/>
  <c r="E58" i="7"/>
  <c r="H65" i="7" s="1"/>
  <c r="C12" i="8"/>
  <c r="F51" i="8"/>
  <c r="I51" i="8" s="1"/>
  <c r="F66" i="8"/>
  <c r="I66" i="8" s="1"/>
  <c r="F59" i="8"/>
  <c r="I59" i="8" s="1"/>
  <c r="E48" i="8"/>
  <c r="H48" i="8" s="1"/>
  <c r="F44" i="8"/>
  <c r="I44" i="8" s="1"/>
  <c r="F57" i="8"/>
  <c r="I57" i="8" s="1"/>
  <c r="F65" i="8"/>
  <c r="I65" i="8" s="1"/>
  <c r="N15" i="6"/>
  <c r="I42" i="7" s="1"/>
  <c r="H42" i="7"/>
  <c r="E108" i="7"/>
  <c r="D23" i="7"/>
  <c r="M19" i="6"/>
  <c r="H31" i="6" s="1"/>
  <c r="AA6" i="3"/>
  <c r="P29" i="1"/>
  <c r="A7" i="3"/>
  <c r="B7" i="3" s="1"/>
  <c r="P7" i="3" s="1"/>
  <c r="Q7" i="3" s="1"/>
  <c r="AD6" i="3"/>
  <c r="P6" i="3"/>
  <c r="Q6" i="3" s="1"/>
  <c r="H71" i="7"/>
  <c r="Z6" i="3"/>
  <c r="H68" i="7"/>
  <c r="H16" i="7"/>
  <c r="P28" i="1"/>
  <c r="H46" i="7"/>
  <c r="D152" i="6"/>
  <c r="H13" i="7"/>
  <c r="R194" i="4"/>
  <c r="P196" i="4"/>
  <c r="D213" i="4"/>
  <c r="F213" i="4" s="1"/>
  <c r="C194" i="6"/>
  <c r="D223" i="4"/>
  <c r="F223" i="4" s="1"/>
  <c r="X111" i="4"/>
  <c r="W111" i="4"/>
  <c r="D108" i="4" s="1"/>
  <c r="D188" i="4"/>
  <c r="F188" i="4" s="1"/>
  <c r="D130" i="6"/>
  <c r="E130" i="6" s="1"/>
  <c r="E129" i="6"/>
  <c r="S28" i="6"/>
  <c r="C193" i="6"/>
  <c r="X236" i="4"/>
  <c r="W236" i="4"/>
  <c r="W201" i="4"/>
  <c r="X201" i="4"/>
  <c r="D198" i="4" s="1"/>
  <c r="D2" i="4"/>
  <c r="B191" i="6" l="1"/>
  <c r="C149" i="6"/>
  <c r="F108" i="7"/>
  <c r="H29" i="6"/>
  <c r="H47" i="7" s="1"/>
  <c r="C155" i="6"/>
  <c r="I29" i="6"/>
  <c r="I47" i="7" s="1"/>
  <c r="C150" i="6"/>
  <c r="B192" i="6"/>
  <c r="B193" i="6"/>
  <c r="H32" i="6"/>
  <c r="I32" i="6"/>
  <c r="C157" i="6"/>
  <c r="C152" i="6"/>
  <c r="C151" i="6"/>
  <c r="G57" i="8"/>
  <c r="G65" i="8"/>
  <c r="G49" i="8"/>
  <c r="G59" i="8"/>
  <c r="G51" i="8"/>
  <c r="G64" i="8"/>
  <c r="G54" i="8"/>
  <c r="G63" i="8"/>
  <c r="G44" i="8"/>
  <c r="G45" i="8"/>
  <c r="G53" i="8"/>
  <c r="G43" i="8"/>
  <c r="G60" i="8"/>
  <c r="G47" i="8"/>
  <c r="G66" i="8"/>
  <c r="G67" i="8"/>
  <c r="G48" i="8"/>
  <c r="K48" i="8" s="1"/>
  <c r="M48" i="8" s="1"/>
  <c r="G52" i="8"/>
  <c r="J52" i="8" s="1"/>
  <c r="G68" i="8"/>
  <c r="J68" i="8" s="1"/>
  <c r="G56" i="8"/>
  <c r="J56" i="8" s="1"/>
  <c r="G50" i="8"/>
  <c r="K50" i="8" s="1"/>
  <c r="G61" i="8"/>
  <c r="K61" i="8" s="1"/>
  <c r="M61" i="8" s="1"/>
  <c r="G46" i="8"/>
  <c r="K46" i="8" s="1"/>
  <c r="M46" i="8" s="1"/>
  <c r="G62" i="8"/>
  <c r="J62" i="8" s="1"/>
  <c r="G58" i="8"/>
  <c r="K58" i="8" s="1"/>
  <c r="M58" i="8" s="1"/>
  <c r="G69" i="8"/>
  <c r="J69" i="8" s="1"/>
  <c r="G55" i="8"/>
  <c r="K55" i="8" s="1"/>
  <c r="M55" i="8" s="1"/>
  <c r="F198" i="4"/>
  <c r="A8" i="3"/>
  <c r="B8" i="3" s="1"/>
  <c r="Z8" i="3" s="1"/>
  <c r="Z7" i="3"/>
  <c r="AD7" i="3"/>
  <c r="AA7" i="3"/>
  <c r="AC7" i="3"/>
  <c r="S194" i="4"/>
  <c r="Q196" i="4"/>
  <c r="F108" i="4"/>
  <c r="D233" i="4"/>
  <c r="F233" i="4" s="1"/>
  <c r="F2" i="4"/>
  <c r="H14" i="7" l="1"/>
  <c r="B194" i="6"/>
  <c r="B190" i="6"/>
  <c r="H30" i="6"/>
  <c r="H48" i="7" s="1"/>
  <c r="S29" i="6"/>
  <c r="I30" i="6"/>
  <c r="I48" i="7" s="1"/>
  <c r="I14" i="7"/>
  <c r="C156" i="6"/>
  <c r="J58" i="8"/>
  <c r="L58" i="8" s="1"/>
  <c r="J61" i="8"/>
  <c r="L61" i="8" s="1"/>
  <c r="J46" i="8"/>
  <c r="L46" i="8" s="1"/>
  <c r="J50" i="8"/>
  <c r="L50" i="8" s="1"/>
  <c r="K62" i="8"/>
  <c r="M62" i="8" s="1"/>
  <c r="K69" i="8"/>
  <c r="M69" i="8" s="1"/>
  <c r="J55" i="8"/>
  <c r="L55" i="8" s="1"/>
  <c r="R5" i="3"/>
  <c r="S5" i="3" s="1"/>
  <c r="T5" i="3" s="1"/>
  <c r="R6" i="3"/>
  <c r="R7" i="3"/>
  <c r="K67" i="8"/>
  <c r="M67" i="8" s="1"/>
  <c r="J67" i="8"/>
  <c r="K43" i="8"/>
  <c r="M43" i="8" s="1"/>
  <c r="J43" i="8"/>
  <c r="J48" i="8"/>
  <c r="L48" i="8" s="1"/>
  <c r="J44" i="8"/>
  <c r="K44" i="8"/>
  <c r="M44" i="8" s="1"/>
  <c r="K54" i="8"/>
  <c r="M54" i="8" s="1"/>
  <c r="J54" i="8"/>
  <c r="K51" i="8"/>
  <c r="M51" i="8" s="1"/>
  <c r="J51" i="8"/>
  <c r="K65" i="8"/>
  <c r="M65" i="8" s="1"/>
  <c r="J65" i="8"/>
  <c r="K66" i="8"/>
  <c r="M66" i="8" s="1"/>
  <c r="J66" i="8"/>
  <c r="J47" i="8"/>
  <c r="K47" i="8"/>
  <c r="M47" i="8" s="1"/>
  <c r="J60" i="8"/>
  <c r="K60" i="8"/>
  <c r="M60" i="8" s="1"/>
  <c r="J53" i="8"/>
  <c r="K53" i="8"/>
  <c r="M53" i="8" s="1"/>
  <c r="K56" i="8"/>
  <c r="M56" i="8" s="1"/>
  <c r="J45" i="8"/>
  <c r="K45" i="8"/>
  <c r="M45" i="8" s="1"/>
  <c r="J63" i="8"/>
  <c r="K63" i="8"/>
  <c r="M63" i="8" s="1"/>
  <c r="K52" i="8"/>
  <c r="M52" i="8" s="1"/>
  <c r="J64" i="8"/>
  <c r="K64" i="8"/>
  <c r="M64" i="8" s="1"/>
  <c r="K68" i="8"/>
  <c r="M68" i="8" s="1"/>
  <c r="J59" i="8"/>
  <c r="K59" i="8"/>
  <c r="K49" i="8"/>
  <c r="M49" i="8" s="1"/>
  <c r="J49" i="8"/>
  <c r="J57" i="8"/>
  <c r="K57" i="8"/>
  <c r="M57" i="8" s="1"/>
  <c r="AC8" i="3"/>
  <c r="A9" i="3"/>
  <c r="B9" i="3" s="1"/>
  <c r="P9" i="3" s="1"/>
  <c r="Q9" i="3" s="1"/>
  <c r="R9" i="3" s="1"/>
  <c r="P8" i="3"/>
  <c r="Q8" i="3" s="1"/>
  <c r="R8" i="3" s="1"/>
  <c r="AD8" i="3"/>
  <c r="AA8" i="3"/>
  <c r="M50" i="8"/>
  <c r="R196" i="4"/>
  <c r="T194" i="4"/>
  <c r="H15" i="7" l="1"/>
  <c r="S30" i="6"/>
  <c r="H33" i="6"/>
  <c r="I15" i="7"/>
  <c r="L49" i="8"/>
  <c r="L65" i="8"/>
  <c r="L67" i="8"/>
  <c r="L51" i="8"/>
  <c r="S6" i="3"/>
  <c r="T6" i="3" s="1"/>
  <c r="L66" i="8"/>
  <c r="L43" i="8"/>
  <c r="L56" i="8"/>
  <c r="L68" i="8"/>
  <c r="L69" i="8"/>
  <c r="L62" i="8"/>
  <c r="L52" i="8"/>
  <c r="L54" i="8"/>
  <c r="L44" i="8"/>
  <c r="L57" i="8"/>
  <c r="L63" i="8"/>
  <c r="L45" i="8"/>
  <c r="L53" i="8"/>
  <c r="L60" i="8"/>
  <c r="L47" i="8"/>
  <c r="L59" i="8"/>
  <c r="M59" i="8"/>
  <c r="L64" i="8"/>
  <c r="AG5" i="3"/>
  <c r="AH5" i="3"/>
  <c r="D5" i="3"/>
  <c r="E5" i="3"/>
  <c r="H5" i="3" s="1"/>
  <c r="K5" i="3" s="1"/>
  <c r="AC9" i="3"/>
  <c r="AA9" i="3"/>
  <c r="AD9" i="3"/>
  <c r="Z9" i="3"/>
  <c r="A10" i="3"/>
  <c r="B10" i="3" s="1"/>
  <c r="A11" i="3" s="1"/>
  <c r="B11" i="3" s="1"/>
  <c r="AC11" i="3" s="1"/>
  <c r="U194" i="4"/>
  <c r="S196" i="4"/>
  <c r="S7" i="3" l="1"/>
  <c r="T7" i="3" s="1"/>
  <c r="V5" i="3"/>
  <c r="AE5" i="3"/>
  <c r="G5" i="3"/>
  <c r="F5" i="3"/>
  <c r="AA10" i="3"/>
  <c r="Z10" i="3"/>
  <c r="AD11" i="3"/>
  <c r="A12" i="3"/>
  <c r="B12" i="3" s="1"/>
  <c r="A13" i="3" s="1"/>
  <c r="B13" i="3" s="1"/>
  <c r="Z11" i="3"/>
  <c r="P11" i="3"/>
  <c r="Q11" i="3" s="1"/>
  <c r="R11" i="3" s="1"/>
  <c r="AA11" i="3"/>
  <c r="AD10" i="3"/>
  <c r="P10" i="3"/>
  <c r="Q10" i="3" s="1"/>
  <c r="R10" i="3" s="1"/>
  <c r="AC10" i="3"/>
  <c r="T196" i="4"/>
  <c r="V194" i="4"/>
  <c r="S8" i="3" l="1"/>
  <c r="T8" i="3" s="1"/>
  <c r="I5" i="3"/>
  <c r="W5" i="3" s="1"/>
  <c r="J5" i="3"/>
  <c r="L5" i="3" s="1"/>
  <c r="M5" i="3"/>
  <c r="N5" i="3" s="1"/>
  <c r="P12" i="3"/>
  <c r="Q12" i="3" s="1"/>
  <c r="R12" i="3" s="1"/>
  <c r="AC12" i="3"/>
  <c r="AA12" i="3"/>
  <c r="AD12" i="3"/>
  <c r="Z12" i="3"/>
  <c r="U196" i="4"/>
  <c r="W194" i="4"/>
  <c r="P13" i="3"/>
  <c r="Q13" i="3" s="1"/>
  <c r="R13" i="3" s="1"/>
  <c r="A14" i="3"/>
  <c r="B14" i="3" s="1"/>
  <c r="AC13" i="3"/>
  <c r="AD13" i="3"/>
  <c r="AA13" i="3"/>
  <c r="Z13" i="3"/>
  <c r="S9" i="3" l="1"/>
  <c r="T9" i="3" s="1"/>
  <c r="U5" i="3"/>
  <c r="D6" i="3" s="1"/>
  <c r="G6" i="3" s="1"/>
  <c r="J6" i="3" s="1"/>
  <c r="AG6" i="3"/>
  <c r="AH6" i="3"/>
  <c r="V196" i="4"/>
  <c r="W196" i="4"/>
  <c r="A15" i="3"/>
  <c r="B15" i="3" s="1"/>
  <c r="P14" i="3"/>
  <c r="Q14" i="3" s="1"/>
  <c r="R14" i="3" s="1"/>
  <c r="AD14" i="3"/>
  <c r="AA14" i="3"/>
  <c r="Z14" i="3"/>
  <c r="AC14" i="3"/>
  <c r="S10" i="3" l="1"/>
  <c r="T10" i="3" s="1"/>
  <c r="E6" i="3"/>
  <c r="H6" i="3" s="1"/>
  <c r="K6" i="3" s="1"/>
  <c r="L6" i="3" s="1"/>
  <c r="D193" i="4"/>
  <c r="AA15" i="3"/>
  <c r="P15" i="3"/>
  <c r="Q15" i="3" s="1"/>
  <c r="R15" i="3" s="1"/>
  <c r="AC15" i="3"/>
  <c r="Z15" i="3"/>
  <c r="AD15" i="3"/>
  <c r="A16" i="3"/>
  <c r="B16" i="3" s="1"/>
  <c r="M6" i="3" l="1"/>
  <c r="N6" i="3" s="1"/>
  <c r="S11" i="3"/>
  <c r="T11" i="3" s="1"/>
  <c r="V6" i="3"/>
  <c r="AE6" i="3"/>
  <c r="F6" i="3"/>
  <c r="I6" i="3"/>
  <c r="F193" i="4"/>
  <c r="AA16" i="3"/>
  <c r="AD16" i="3"/>
  <c r="AC16" i="3"/>
  <c r="P16" i="3"/>
  <c r="Q16" i="3" s="1"/>
  <c r="R16" i="3" s="1"/>
  <c r="Z16" i="3"/>
  <c r="A17" i="3"/>
  <c r="B17" i="3" s="1"/>
  <c r="Y5" i="3"/>
  <c r="U6" i="3" l="1"/>
  <c r="N36" i="1"/>
  <c r="M37" i="6"/>
  <c r="S12" i="3"/>
  <c r="S13" i="3" s="1"/>
  <c r="W6" i="3"/>
  <c r="P17" i="3"/>
  <c r="Q17" i="3" s="1"/>
  <c r="R17" i="3" s="1"/>
  <c r="A18" i="3"/>
  <c r="B18" i="3" s="1"/>
  <c r="AC17" i="3"/>
  <c r="Z17" i="3"/>
  <c r="AD17" i="3"/>
  <c r="AA17" i="3"/>
  <c r="E7" i="3" l="1"/>
  <c r="H7" i="3" s="1"/>
  <c r="K7" i="3" s="1"/>
  <c r="T12" i="3"/>
  <c r="AH7" i="3"/>
  <c r="AG7" i="3"/>
  <c r="D7" i="3"/>
  <c r="G7" i="3" s="1"/>
  <c r="M7" i="3" s="1"/>
  <c r="N7" i="3" s="1"/>
  <c r="S14" i="3"/>
  <c r="T13" i="3"/>
  <c r="AA18" i="3"/>
  <c r="P18" i="3"/>
  <c r="Q18" i="3" s="1"/>
  <c r="R18" i="3" s="1"/>
  <c r="AC18" i="3"/>
  <c r="A19" i="3"/>
  <c r="B19" i="3" s="1"/>
  <c r="AD18" i="3"/>
  <c r="Z18" i="3"/>
  <c r="J7" i="3" l="1"/>
  <c r="L7" i="3" s="1"/>
  <c r="I7" i="3"/>
  <c r="F7" i="3"/>
  <c r="S15" i="3"/>
  <c r="T14" i="3"/>
  <c r="P19" i="3"/>
  <c r="Q19" i="3" s="1"/>
  <c r="R19" i="3" s="1"/>
  <c r="A20" i="3"/>
  <c r="B20" i="3" s="1"/>
  <c r="Z19" i="3"/>
  <c r="AD19" i="3"/>
  <c r="AA19" i="3"/>
  <c r="AC19" i="3"/>
  <c r="V7" i="3"/>
  <c r="AE7" i="3"/>
  <c r="W7" i="3" l="1"/>
  <c r="AH8" i="3" s="1"/>
  <c r="T15" i="3"/>
  <c r="S16" i="3"/>
  <c r="U7" i="3"/>
  <c r="Y6" i="3"/>
  <c r="P20" i="3"/>
  <c r="Q20" i="3" s="1"/>
  <c r="R20" i="3" s="1"/>
  <c r="A21" i="3"/>
  <c r="B21" i="3" s="1"/>
  <c r="AA20" i="3"/>
  <c r="Z20" i="3"/>
  <c r="AD20" i="3"/>
  <c r="AC20" i="3"/>
  <c r="AG8" i="3" l="1"/>
  <c r="D8" i="3"/>
  <c r="G8" i="3" s="1"/>
  <c r="T16" i="3"/>
  <c r="S17" i="3"/>
  <c r="E8" i="3"/>
  <c r="H8" i="3" s="1"/>
  <c r="K8" i="3" s="1"/>
  <c r="AD21" i="3"/>
  <c r="P21" i="3"/>
  <c r="Q21" i="3" s="1"/>
  <c r="R21" i="3" s="1"/>
  <c r="AC21" i="3"/>
  <c r="AA21" i="3"/>
  <c r="Z21" i="3"/>
  <c r="A22" i="3"/>
  <c r="B22" i="3" s="1"/>
  <c r="T17" i="3" l="1"/>
  <c r="S18" i="3"/>
  <c r="F8" i="3"/>
  <c r="AC22" i="3"/>
  <c r="A23" i="3"/>
  <c r="B23" i="3" s="1"/>
  <c r="AD22" i="3"/>
  <c r="AA22" i="3"/>
  <c r="Z22" i="3"/>
  <c r="P22" i="3"/>
  <c r="Q22" i="3" s="1"/>
  <c r="R22" i="3" s="1"/>
  <c r="I8" i="3"/>
  <c r="J8" i="3"/>
  <c r="M8" i="3"/>
  <c r="N8" i="3" s="1"/>
  <c r="V8" i="3"/>
  <c r="AE8" i="3"/>
  <c r="S19" i="3" l="1"/>
  <c r="T18" i="3"/>
  <c r="W8" i="3"/>
  <c r="A24" i="3"/>
  <c r="B24" i="3" s="1"/>
  <c r="Z23" i="3"/>
  <c r="AA23" i="3"/>
  <c r="AC23" i="3"/>
  <c r="AD23" i="3"/>
  <c r="P23" i="3"/>
  <c r="Q23" i="3" s="1"/>
  <c r="R23" i="3" s="1"/>
  <c r="L8" i="3"/>
  <c r="S20" i="3" l="1"/>
  <c r="T19" i="3"/>
  <c r="U8" i="3"/>
  <c r="D9" i="3" s="1"/>
  <c r="AH9" i="3"/>
  <c r="AG9" i="3"/>
  <c r="Y7" i="3"/>
  <c r="AA24" i="3"/>
  <c r="Z24" i="3"/>
  <c r="AC24" i="3"/>
  <c r="AD24" i="3"/>
  <c r="A25" i="3"/>
  <c r="B25" i="3" s="1"/>
  <c r="P24" i="3"/>
  <c r="Q24" i="3" s="1"/>
  <c r="R24" i="3" s="1"/>
  <c r="S21" i="3" l="1"/>
  <c r="T20" i="3"/>
  <c r="E9" i="3"/>
  <c r="H9" i="3" s="1"/>
  <c r="K9" i="3" s="1"/>
  <c r="P25" i="3"/>
  <c r="Q25" i="3" s="1"/>
  <c r="R25" i="3" s="1"/>
  <c r="Z25" i="3"/>
  <c r="A26" i="3"/>
  <c r="B26" i="3" s="1"/>
  <c r="AC25" i="3"/>
  <c r="AA25" i="3"/>
  <c r="AD25" i="3"/>
  <c r="G9" i="3"/>
  <c r="T21" i="3" l="1"/>
  <c r="S22" i="3"/>
  <c r="F9" i="3"/>
  <c r="AD26" i="3"/>
  <c r="P26" i="3"/>
  <c r="Q26" i="3" s="1"/>
  <c r="R26" i="3" s="1"/>
  <c r="A27" i="3"/>
  <c r="B27" i="3" s="1"/>
  <c r="AA26" i="3"/>
  <c r="Z26" i="3"/>
  <c r="AC26" i="3"/>
  <c r="V9" i="3"/>
  <c r="AE9" i="3"/>
  <c r="I9" i="3"/>
  <c r="J9" i="3"/>
  <c r="M9" i="3"/>
  <c r="N9" i="3" s="1"/>
  <c r="T22" i="3" l="1"/>
  <c r="S23" i="3"/>
  <c r="W9" i="3"/>
  <c r="P27" i="3"/>
  <c r="Q27" i="3" s="1"/>
  <c r="R27" i="3" s="1"/>
  <c r="Z27" i="3"/>
  <c r="AA27" i="3"/>
  <c r="AD27" i="3"/>
  <c r="A28" i="3"/>
  <c r="B28" i="3" s="1"/>
  <c r="AC27" i="3"/>
  <c r="L9" i="3"/>
  <c r="S24" i="3" l="1"/>
  <c r="T23" i="3"/>
  <c r="Z28" i="3"/>
  <c r="P28" i="3"/>
  <c r="Q28" i="3" s="1"/>
  <c r="R28" i="3" s="1"/>
  <c r="A29" i="3"/>
  <c r="B29" i="3" s="1"/>
  <c r="AA28" i="3"/>
  <c r="AC28" i="3"/>
  <c r="AD28" i="3"/>
  <c r="AH10" i="3"/>
  <c r="U9" i="3"/>
  <c r="E10" i="3" s="1"/>
  <c r="H10" i="3" s="1"/>
  <c r="AG10" i="3"/>
  <c r="Y8" i="3"/>
  <c r="S25" i="3" l="1"/>
  <c r="T24" i="3"/>
  <c r="K10" i="3"/>
  <c r="AC29" i="3"/>
  <c r="P29" i="3"/>
  <c r="Q29" i="3" s="1"/>
  <c r="R29" i="3" s="1"/>
  <c r="A30" i="3"/>
  <c r="B30" i="3" s="1"/>
  <c r="AD29" i="3"/>
  <c r="Z29" i="3"/>
  <c r="AA29" i="3"/>
  <c r="D10" i="3"/>
  <c r="T25" i="3" l="1"/>
  <c r="S26" i="3"/>
  <c r="Z30" i="3"/>
  <c r="P30" i="3"/>
  <c r="Q30" i="3" s="1"/>
  <c r="R30" i="3" s="1"/>
  <c r="AC30" i="3"/>
  <c r="AA30" i="3"/>
  <c r="AD30" i="3"/>
  <c r="A31" i="3"/>
  <c r="B31" i="3" s="1"/>
  <c r="F10" i="3"/>
  <c r="G10" i="3"/>
  <c r="V10" i="3"/>
  <c r="AE10" i="3"/>
  <c r="T26" i="3" l="1"/>
  <c r="S27" i="3"/>
  <c r="I10" i="3"/>
  <c r="W10" i="3" s="1"/>
  <c r="J10" i="3"/>
  <c r="M10" i="3"/>
  <c r="N10" i="3" s="1"/>
  <c r="AC31" i="3"/>
  <c r="A32" i="3"/>
  <c r="B32" i="3" s="1"/>
  <c r="Z31" i="3"/>
  <c r="P31" i="3"/>
  <c r="Q31" i="3" s="1"/>
  <c r="R31" i="3" s="1"/>
  <c r="AD31" i="3"/>
  <c r="AA31" i="3"/>
  <c r="S28" i="3" l="1"/>
  <c r="T27" i="3"/>
  <c r="A33" i="3"/>
  <c r="B33" i="3" s="1"/>
  <c r="Z32" i="3"/>
  <c r="P32" i="3"/>
  <c r="Q32" i="3" s="1"/>
  <c r="R32" i="3" s="1"/>
  <c r="AD32" i="3"/>
  <c r="AC32" i="3"/>
  <c r="AA32" i="3"/>
  <c r="L10" i="3"/>
  <c r="S29" i="3" l="1"/>
  <c r="T28" i="3"/>
  <c r="P33" i="3"/>
  <c r="Q33" i="3" s="1"/>
  <c r="R33" i="3" s="1"/>
  <c r="AC33" i="3"/>
  <c r="A34" i="3"/>
  <c r="B34" i="3" s="1"/>
  <c r="AA33" i="3"/>
  <c r="Z33" i="3"/>
  <c r="AD33" i="3"/>
  <c r="AG11" i="3"/>
  <c r="AH11" i="3"/>
  <c r="U10" i="3"/>
  <c r="E11" i="3" s="1"/>
  <c r="H11" i="3" s="1"/>
  <c r="Y9" i="3"/>
  <c r="T29" i="3" l="1"/>
  <c r="S30" i="3"/>
  <c r="K11" i="3"/>
  <c r="Z34" i="3"/>
  <c r="P34" i="3"/>
  <c r="Q34" i="3" s="1"/>
  <c r="R34" i="3" s="1"/>
  <c r="AC34" i="3"/>
  <c r="A35" i="3"/>
  <c r="B35" i="3" s="1"/>
  <c r="AA34" i="3"/>
  <c r="D11" i="3"/>
  <c r="S31" i="3" l="1"/>
  <c r="T30" i="3"/>
  <c r="V11" i="3"/>
  <c r="AE11" i="3"/>
  <c r="A36" i="3"/>
  <c r="B36" i="3" s="1"/>
  <c r="Z35" i="3"/>
  <c r="AD35" i="3"/>
  <c r="AA35" i="3"/>
  <c r="AC35" i="3"/>
  <c r="P35" i="3"/>
  <c r="Q35" i="3" s="1"/>
  <c r="R35" i="3" s="1"/>
  <c r="F11" i="3"/>
  <c r="G11" i="3"/>
  <c r="T31" i="3" l="1"/>
  <c r="S32" i="3"/>
  <c r="AD36" i="3"/>
  <c r="AA36" i="3"/>
  <c r="P36" i="3"/>
  <c r="Q36" i="3" s="1"/>
  <c r="R36" i="3" s="1"/>
  <c r="Z36" i="3"/>
  <c r="A37" i="3"/>
  <c r="B37" i="3" s="1"/>
  <c r="AC36" i="3"/>
  <c r="I11" i="3"/>
  <c r="W11" i="3" s="1"/>
  <c r="J11" i="3"/>
  <c r="M11" i="3"/>
  <c r="N11" i="3" s="1"/>
  <c r="T32" i="3" l="1"/>
  <c r="S33" i="3"/>
  <c r="AD37" i="3"/>
  <c r="Z37" i="3"/>
  <c r="AA37" i="3"/>
  <c r="AC37" i="3"/>
  <c r="P37" i="3"/>
  <c r="Q37" i="3" s="1"/>
  <c r="R37" i="3" s="1"/>
  <c r="A38" i="3"/>
  <c r="B38" i="3" s="1"/>
  <c r="L11" i="3"/>
  <c r="S34" i="3" l="1"/>
  <c r="T33" i="3"/>
  <c r="P38" i="3"/>
  <c r="Q38" i="3" s="1"/>
  <c r="R38" i="3" s="1"/>
  <c r="A39" i="3"/>
  <c r="B39" i="3" s="1"/>
  <c r="AC38" i="3"/>
  <c r="AA38" i="3"/>
  <c r="AD38" i="3"/>
  <c r="Z38" i="3"/>
  <c r="AH12" i="3"/>
  <c r="U11" i="3"/>
  <c r="E12" i="3" s="1"/>
  <c r="H12" i="3" s="1"/>
  <c r="AG12" i="3"/>
  <c r="Y10" i="3"/>
  <c r="S35" i="3" l="1"/>
  <c r="T34" i="3"/>
  <c r="D12" i="3"/>
  <c r="G12" i="3" s="1"/>
  <c r="K12" i="3"/>
  <c r="AC39" i="3"/>
  <c r="P39" i="3"/>
  <c r="Q39" i="3" s="1"/>
  <c r="R39" i="3" s="1"/>
  <c r="AD39" i="3"/>
  <c r="Z39" i="3"/>
  <c r="A40" i="3"/>
  <c r="B40" i="3" s="1"/>
  <c r="AA39" i="3"/>
  <c r="T35" i="3" l="1"/>
  <c r="S36" i="3"/>
  <c r="F12" i="3"/>
  <c r="P40" i="3"/>
  <c r="Q40" i="3" s="1"/>
  <c r="R40" i="3" s="1"/>
  <c r="AA40" i="3"/>
  <c r="A41" i="3"/>
  <c r="B41" i="3" s="1"/>
  <c r="AC40" i="3"/>
  <c r="Z40" i="3"/>
  <c r="AD40" i="3"/>
  <c r="V12" i="3"/>
  <c r="AE12" i="3"/>
  <c r="I12" i="3"/>
  <c r="J12" i="3"/>
  <c r="M12" i="3"/>
  <c r="N12" i="3" s="1"/>
  <c r="T36" i="3" l="1"/>
  <c r="S37" i="3"/>
  <c r="W12" i="3"/>
  <c r="P41" i="3"/>
  <c r="Q41" i="3" s="1"/>
  <c r="R41" i="3" s="1"/>
  <c r="AC41" i="3"/>
  <c r="A42" i="3"/>
  <c r="B42" i="3" s="1"/>
  <c r="AA41" i="3"/>
  <c r="Z41" i="3"/>
  <c r="AD41" i="3"/>
  <c r="L12" i="3"/>
  <c r="S38" i="3" l="1"/>
  <c r="T37" i="3"/>
  <c r="AG13" i="3"/>
  <c r="U12" i="3"/>
  <c r="E13" i="3" s="1"/>
  <c r="H13" i="3" s="1"/>
  <c r="AH13" i="3"/>
  <c r="Y11" i="3"/>
  <c r="P42" i="3"/>
  <c r="Q42" i="3" s="1"/>
  <c r="R42" i="3" s="1"/>
  <c r="Z42" i="3"/>
  <c r="AA42" i="3"/>
  <c r="A43" i="3"/>
  <c r="B43" i="3" s="1"/>
  <c r="AD42" i="3"/>
  <c r="AC42" i="3"/>
  <c r="S39" i="3" l="1"/>
  <c r="T38" i="3"/>
  <c r="D13" i="3"/>
  <c r="F13" i="3" s="1"/>
  <c r="K13" i="3"/>
  <c r="AC43" i="3"/>
  <c r="P43" i="3"/>
  <c r="Q43" i="3" s="1"/>
  <c r="R43" i="3" s="1"/>
  <c r="AD43" i="3"/>
  <c r="Z43" i="3"/>
  <c r="A44" i="3"/>
  <c r="B44" i="3" s="1"/>
  <c r="AA43" i="3"/>
  <c r="S40" i="3" l="1"/>
  <c r="T39" i="3"/>
  <c r="G13" i="3"/>
  <c r="I13" i="3" s="1"/>
  <c r="AA44" i="3"/>
  <c r="P44" i="3"/>
  <c r="Q44" i="3" s="1"/>
  <c r="R44" i="3" s="1"/>
  <c r="A45" i="3"/>
  <c r="B45" i="3" s="1"/>
  <c r="Z44" i="3"/>
  <c r="AC44" i="3"/>
  <c r="V13" i="3"/>
  <c r="AE13" i="3"/>
  <c r="S41" i="3" l="1"/>
  <c r="T40" i="3"/>
  <c r="J13" i="3"/>
  <c r="L13" i="3" s="1"/>
  <c r="M13" i="3"/>
  <c r="N13" i="3" s="1"/>
  <c r="P45" i="3"/>
  <c r="Q45" i="3" s="1"/>
  <c r="R45" i="3" s="1"/>
  <c r="A46" i="3"/>
  <c r="B46" i="3" s="1"/>
  <c r="AA45" i="3"/>
  <c r="AD45" i="3"/>
  <c r="Z45" i="3"/>
  <c r="AC45" i="3"/>
  <c r="W13" i="3"/>
  <c r="T41" i="3" l="1"/>
  <c r="S42" i="3"/>
  <c r="P46" i="3"/>
  <c r="Q46" i="3" s="1"/>
  <c r="R46" i="3" s="1"/>
  <c r="AA46" i="3"/>
  <c r="AD46" i="3"/>
  <c r="A47" i="3"/>
  <c r="B47" i="3" s="1"/>
  <c r="Z46" i="3"/>
  <c r="AC46" i="3"/>
  <c r="AH14" i="3"/>
  <c r="AG14" i="3"/>
  <c r="U13" i="3"/>
  <c r="D14" i="3" s="1"/>
  <c r="Y12" i="3"/>
  <c r="S43" i="3" l="1"/>
  <c r="T42" i="3"/>
  <c r="E14" i="3"/>
  <c r="H14" i="3" s="1"/>
  <c r="K14" i="3" s="1"/>
  <c r="AD47" i="3"/>
  <c r="AA47" i="3"/>
  <c r="P47" i="3"/>
  <c r="Q47" i="3" s="1"/>
  <c r="R47" i="3" s="1"/>
  <c r="A48" i="3"/>
  <c r="B48" i="3" s="1"/>
  <c r="Z47" i="3"/>
  <c r="AC47" i="3"/>
  <c r="G14" i="3"/>
  <c r="S44" i="3" l="1"/>
  <c r="T43" i="3"/>
  <c r="F14" i="3"/>
  <c r="AC48" i="3"/>
  <c r="Z48" i="3"/>
  <c r="AA48" i="3"/>
  <c r="A49" i="3"/>
  <c r="B49" i="3" s="1"/>
  <c r="AD48" i="3"/>
  <c r="P48" i="3"/>
  <c r="Q48" i="3" s="1"/>
  <c r="R48" i="3" s="1"/>
  <c r="V14" i="3"/>
  <c r="AE14" i="3"/>
  <c r="I14" i="3"/>
  <c r="J14" i="3"/>
  <c r="M14" i="3"/>
  <c r="N14" i="3" s="1"/>
  <c r="S45" i="3" l="1"/>
  <c r="T44" i="3"/>
  <c r="A50" i="3"/>
  <c r="B50" i="3" s="1"/>
  <c r="P49" i="3"/>
  <c r="Q49" i="3" s="1"/>
  <c r="R49" i="3" s="1"/>
  <c r="AC49" i="3"/>
  <c r="AD49" i="3"/>
  <c r="AA49" i="3"/>
  <c r="Z49" i="3"/>
  <c r="W14" i="3"/>
  <c r="L14" i="3"/>
  <c r="T45" i="3" l="1"/>
  <c r="S46" i="3"/>
  <c r="U14" i="3"/>
  <c r="E15" i="3" s="1"/>
  <c r="H15" i="3" s="1"/>
  <c r="AG15" i="3"/>
  <c r="AH15" i="3"/>
  <c r="Y13" i="3"/>
  <c r="Z50" i="3"/>
  <c r="AA50" i="3"/>
  <c r="P50" i="3"/>
  <c r="Q50" i="3" s="1"/>
  <c r="R50" i="3" s="1"/>
  <c r="A51" i="3"/>
  <c r="B51" i="3" s="1"/>
  <c r="AD50" i="3"/>
  <c r="AC50" i="3"/>
  <c r="T46" i="3" l="1"/>
  <c r="S47" i="3"/>
  <c r="D15" i="3"/>
  <c r="F15" i="3" s="1"/>
  <c r="AD51" i="3"/>
  <c r="A52" i="3"/>
  <c r="B52" i="3" s="1"/>
  <c r="P51" i="3"/>
  <c r="Q51" i="3" s="1"/>
  <c r="R51" i="3" s="1"/>
  <c r="AA51" i="3"/>
  <c r="Z51" i="3"/>
  <c r="AC51" i="3"/>
  <c r="K15" i="3"/>
  <c r="T47" i="3" l="1"/>
  <c r="S48" i="3"/>
  <c r="G15" i="3"/>
  <c r="I15" i="3" s="1"/>
  <c r="A53" i="3"/>
  <c r="B53" i="3" s="1"/>
  <c r="AC52" i="3"/>
  <c r="P52" i="3"/>
  <c r="Q52" i="3" s="1"/>
  <c r="R52" i="3" s="1"/>
  <c r="AA52" i="3"/>
  <c r="AD52" i="3"/>
  <c r="Z52" i="3"/>
  <c r="V15" i="3"/>
  <c r="AE15" i="3"/>
  <c r="T48" i="3" l="1"/>
  <c r="S49" i="3"/>
  <c r="J15" i="3"/>
  <c r="L15" i="3" s="1"/>
  <c r="M15" i="3"/>
  <c r="N15" i="3" s="1"/>
  <c r="A54" i="3"/>
  <c r="B54" i="3" s="1"/>
  <c r="AD53" i="3"/>
  <c r="P53" i="3"/>
  <c r="Q53" i="3" s="1"/>
  <c r="R53" i="3" s="1"/>
  <c r="AA53" i="3"/>
  <c r="AC53" i="3"/>
  <c r="Z53" i="3"/>
  <c r="W15" i="3"/>
  <c r="S50" i="3" l="1"/>
  <c r="T49" i="3"/>
  <c r="AC54" i="3"/>
  <c r="P54" i="3"/>
  <c r="Q54" i="3" s="1"/>
  <c r="R54" i="3" s="1"/>
  <c r="A55" i="3"/>
  <c r="B55" i="3" s="1"/>
  <c r="AA54" i="3"/>
  <c r="Z54" i="3"/>
  <c r="AD54" i="3"/>
  <c r="U15" i="3"/>
  <c r="D16" i="3" s="1"/>
  <c r="AG16" i="3"/>
  <c r="AH16" i="3"/>
  <c r="Y14" i="3"/>
  <c r="S51" i="3" l="1"/>
  <c r="T50" i="3"/>
  <c r="E16" i="3"/>
  <c r="H16" i="3" s="1"/>
  <c r="K16" i="3" s="1"/>
  <c r="G16" i="3"/>
  <c r="P55" i="3"/>
  <c r="Q55" i="3" s="1"/>
  <c r="R55" i="3" s="1"/>
  <c r="A56" i="3"/>
  <c r="B56" i="3" s="1"/>
  <c r="AC55" i="3"/>
  <c r="AA55" i="3"/>
  <c r="Z55" i="3"/>
  <c r="AD55" i="3"/>
  <c r="T51" i="3" l="1"/>
  <c r="S52" i="3"/>
  <c r="F16" i="3"/>
  <c r="P56" i="3"/>
  <c r="Q56" i="3" s="1"/>
  <c r="R56" i="3" s="1"/>
  <c r="AA56" i="3"/>
  <c r="A57" i="3"/>
  <c r="B57" i="3" s="1"/>
  <c r="AD56" i="3"/>
  <c r="Z56" i="3"/>
  <c r="AC56" i="3"/>
  <c r="I16" i="3"/>
  <c r="J16" i="3"/>
  <c r="M16" i="3"/>
  <c r="N16" i="3" s="1"/>
  <c r="V16" i="3"/>
  <c r="AE16" i="3"/>
  <c r="S53" i="3" l="1"/>
  <c r="T52" i="3"/>
  <c r="AD57" i="3"/>
  <c r="AA57" i="3"/>
  <c r="A58" i="3"/>
  <c r="B58" i="3" s="1"/>
  <c r="AC57" i="3"/>
  <c r="P57" i="3"/>
  <c r="Q57" i="3" s="1"/>
  <c r="R57" i="3" s="1"/>
  <c r="Z57" i="3"/>
  <c r="L16" i="3"/>
  <c r="W16" i="3"/>
  <c r="S54" i="3" l="1"/>
  <c r="T53" i="3"/>
  <c r="Z58" i="3"/>
  <c r="AD58" i="3"/>
  <c r="AA58" i="3"/>
  <c r="P58" i="3"/>
  <c r="Q58" i="3" s="1"/>
  <c r="R58" i="3" s="1"/>
  <c r="A59" i="3"/>
  <c r="B59" i="3" s="1"/>
  <c r="AC58" i="3"/>
  <c r="U16" i="3"/>
  <c r="D17" i="3" s="1"/>
  <c r="AG17" i="3"/>
  <c r="AH17" i="3"/>
  <c r="Y15" i="3"/>
  <c r="S55" i="3" l="1"/>
  <c r="T54" i="3"/>
  <c r="G17" i="3"/>
  <c r="P59" i="3"/>
  <c r="Q59" i="3" s="1"/>
  <c r="R59" i="3" s="1"/>
  <c r="A60" i="3"/>
  <c r="B60" i="3" s="1"/>
  <c r="AC59" i="3"/>
  <c r="AD59" i="3"/>
  <c r="Z59" i="3"/>
  <c r="AA59" i="3"/>
  <c r="E17" i="3"/>
  <c r="H17" i="3" s="1"/>
  <c r="S56" i="3" l="1"/>
  <c r="T55" i="3"/>
  <c r="AC60" i="3"/>
  <c r="AD60" i="3"/>
  <c r="Z60" i="3"/>
  <c r="P60" i="3"/>
  <c r="Q60" i="3" s="1"/>
  <c r="R60" i="3" s="1"/>
  <c r="A61" i="3"/>
  <c r="B61" i="3" s="1"/>
  <c r="AA60" i="3"/>
  <c r="F17" i="3"/>
  <c r="I17" i="3"/>
  <c r="J17" i="3"/>
  <c r="M17" i="3"/>
  <c r="N17" i="3" s="1"/>
  <c r="K17" i="3"/>
  <c r="S57" i="3" l="1"/>
  <c r="T56" i="3"/>
  <c r="A62" i="3"/>
  <c r="B62" i="3" s="1"/>
  <c r="Z61" i="3"/>
  <c r="AD61" i="3"/>
  <c r="AC61" i="3"/>
  <c r="P61" i="3"/>
  <c r="Q61" i="3" s="1"/>
  <c r="R61" i="3" s="1"/>
  <c r="AA61" i="3"/>
  <c r="V17" i="3"/>
  <c r="W17" i="3" s="1"/>
  <c r="AE17" i="3"/>
  <c r="L17" i="3"/>
  <c r="S58" i="3" l="1"/>
  <c r="T57" i="3"/>
  <c r="AD62" i="3"/>
  <c r="P62" i="3"/>
  <c r="Q62" i="3" s="1"/>
  <c r="R62" i="3" s="1"/>
  <c r="Z62" i="3"/>
  <c r="AA62" i="3"/>
  <c r="AC62" i="3"/>
  <c r="A63" i="3"/>
  <c r="B63" i="3" s="1"/>
  <c r="U17" i="3"/>
  <c r="E18" i="3" s="1"/>
  <c r="H18" i="3" s="1"/>
  <c r="AG18" i="3"/>
  <c r="AH18" i="3"/>
  <c r="Y16" i="3"/>
  <c r="S59" i="3" l="1"/>
  <c r="T58" i="3"/>
  <c r="D18" i="3"/>
  <c r="G18" i="3" s="1"/>
  <c r="K18" i="3"/>
  <c r="AC63" i="3"/>
  <c r="AA63" i="3"/>
  <c r="A64" i="3"/>
  <c r="B64" i="3" s="1"/>
  <c r="AD63" i="3"/>
  <c r="P63" i="3"/>
  <c r="Q63" i="3" s="1"/>
  <c r="R63" i="3" s="1"/>
  <c r="Z63" i="3"/>
  <c r="T59" i="3" l="1"/>
  <c r="S60" i="3"/>
  <c r="F18" i="3"/>
  <c r="I18" i="3"/>
  <c r="J18" i="3"/>
  <c r="M18" i="3"/>
  <c r="N18" i="3" s="1"/>
  <c r="A65" i="3"/>
  <c r="B65" i="3" s="1"/>
  <c r="Z64" i="3"/>
  <c r="AA64" i="3"/>
  <c r="AC64" i="3"/>
  <c r="AD64" i="3"/>
  <c r="P64" i="3"/>
  <c r="Q64" i="3" s="1"/>
  <c r="R64" i="3" s="1"/>
  <c r="V18" i="3"/>
  <c r="AE18" i="3"/>
  <c r="T60" i="3" l="1"/>
  <c r="S61" i="3"/>
  <c r="Z65" i="3"/>
  <c r="AA65" i="3"/>
  <c r="A66" i="3"/>
  <c r="B66" i="3" s="1"/>
  <c r="AC65" i="3"/>
  <c r="P65" i="3"/>
  <c r="Q65" i="3" s="1"/>
  <c r="R65" i="3" s="1"/>
  <c r="AD65" i="3"/>
  <c r="L18" i="3"/>
  <c r="W18" i="3"/>
  <c r="T61" i="3" l="1"/>
  <c r="S62" i="3"/>
  <c r="A67" i="3"/>
  <c r="B67" i="3" s="1"/>
  <c r="P66" i="3"/>
  <c r="Q66" i="3" s="1"/>
  <c r="R66" i="3" s="1"/>
  <c r="AC66" i="3"/>
  <c r="Z66" i="3"/>
  <c r="AD66" i="3"/>
  <c r="AA66" i="3"/>
  <c r="U18" i="3"/>
  <c r="D19" i="3" s="1"/>
  <c r="AH19" i="3"/>
  <c r="AG19" i="3"/>
  <c r="Y17" i="3"/>
  <c r="S63" i="3" l="1"/>
  <c r="T62" i="3"/>
  <c r="G19" i="3"/>
  <c r="E19" i="3"/>
  <c r="H19" i="3" s="1"/>
  <c r="AA67" i="3"/>
  <c r="Z67" i="3"/>
  <c r="AD67" i="3"/>
  <c r="AC67" i="3"/>
  <c r="P67" i="3"/>
  <c r="Q67" i="3" s="1"/>
  <c r="R67" i="3" s="1"/>
  <c r="A68" i="3"/>
  <c r="B68" i="3" s="1"/>
  <c r="T63" i="3" l="1"/>
  <c r="S64" i="3"/>
  <c r="F19" i="3"/>
  <c r="AD68" i="3"/>
  <c r="AC68" i="3"/>
  <c r="Z68" i="3"/>
  <c r="AA68" i="3"/>
  <c r="A69" i="3"/>
  <c r="B69" i="3" s="1"/>
  <c r="P68" i="3"/>
  <c r="Q68" i="3" s="1"/>
  <c r="R68" i="3" s="1"/>
  <c r="I19" i="3"/>
  <c r="J19" i="3"/>
  <c r="M19" i="3"/>
  <c r="N19" i="3" s="1"/>
  <c r="K19" i="3"/>
  <c r="S65" i="3" l="1"/>
  <c r="T64" i="3"/>
  <c r="Z69" i="3"/>
  <c r="AC69" i="3"/>
  <c r="P69" i="3"/>
  <c r="Q69" i="3" s="1"/>
  <c r="R69" i="3" s="1"/>
  <c r="AA69" i="3"/>
  <c r="AD69" i="3"/>
  <c r="A70" i="3"/>
  <c r="B70" i="3" s="1"/>
  <c r="V19" i="3"/>
  <c r="W19" i="3" s="1"/>
  <c r="AE19" i="3"/>
  <c r="L19" i="3"/>
  <c r="T65" i="3" l="1"/>
  <c r="S66" i="3"/>
  <c r="AH20" i="3"/>
  <c r="U19" i="3"/>
  <c r="E20" i="3" s="1"/>
  <c r="H20" i="3" s="1"/>
  <c r="AG20" i="3"/>
  <c r="Y18" i="3"/>
  <c r="A71" i="3"/>
  <c r="B71" i="3" s="1"/>
  <c r="AC70" i="3"/>
  <c r="AA70" i="3"/>
  <c r="AD70" i="3"/>
  <c r="P70" i="3"/>
  <c r="Q70" i="3" s="1"/>
  <c r="R70" i="3" s="1"/>
  <c r="Z70" i="3"/>
  <c r="S67" i="3" l="1"/>
  <c r="T66" i="3"/>
  <c r="D20" i="3"/>
  <c r="G20" i="3" s="1"/>
  <c r="K20" i="3"/>
  <c r="AA71" i="3"/>
  <c r="A72" i="3"/>
  <c r="B72" i="3" s="1"/>
  <c r="AC71" i="3"/>
  <c r="Z71" i="3"/>
  <c r="AD71" i="3"/>
  <c r="P71" i="3"/>
  <c r="Q71" i="3" s="1"/>
  <c r="R71" i="3" s="1"/>
  <c r="S68" i="3" l="1"/>
  <c r="T67" i="3"/>
  <c r="F20" i="3"/>
  <c r="A73" i="3"/>
  <c r="B73" i="3" s="1"/>
  <c r="Z72" i="3"/>
  <c r="P72" i="3"/>
  <c r="Q72" i="3" s="1"/>
  <c r="R72" i="3" s="1"/>
  <c r="AD72" i="3"/>
  <c r="AA72" i="3"/>
  <c r="AC72" i="3"/>
  <c r="V20" i="3"/>
  <c r="AE20" i="3"/>
  <c r="I20" i="3"/>
  <c r="J20" i="3"/>
  <c r="M20" i="3"/>
  <c r="N20" i="3" s="1"/>
  <c r="S69" i="3" l="1"/>
  <c r="T68" i="3"/>
  <c r="AC73" i="3"/>
  <c r="A74" i="3"/>
  <c r="B74" i="3" s="1"/>
  <c r="Z73" i="3"/>
  <c r="AA73" i="3"/>
  <c r="AD73" i="3"/>
  <c r="P73" i="3"/>
  <c r="Q73" i="3" s="1"/>
  <c r="R73" i="3" s="1"/>
  <c r="L20" i="3"/>
  <c r="W20" i="3"/>
  <c r="T69" i="3" l="1"/>
  <c r="S70" i="3"/>
  <c r="AD74" i="3"/>
  <c r="P74" i="3"/>
  <c r="Q74" i="3" s="1"/>
  <c r="R74" i="3" s="1"/>
  <c r="AC74" i="3"/>
  <c r="A75" i="3"/>
  <c r="B75" i="3" s="1"/>
  <c r="AA74" i="3"/>
  <c r="Z74" i="3"/>
  <c r="AG21" i="3"/>
  <c r="U20" i="3"/>
  <c r="E21" i="3" s="1"/>
  <c r="H21" i="3" s="1"/>
  <c r="AH21" i="3"/>
  <c r="Y19" i="3"/>
  <c r="T70" i="3" l="1"/>
  <c r="S71" i="3"/>
  <c r="D21" i="3"/>
  <c r="G21" i="3" s="1"/>
  <c r="K21" i="3"/>
  <c r="P75" i="3"/>
  <c r="Q75" i="3" s="1"/>
  <c r="R75" i="3" s="1"/>
  <c r="Z75" i="3"/>
  <c r="A76" i="3"/>
  <c r="B76" i="3" s="1"/>
  <c r="AA75" i="3"/>
  <c r="AC75" i="3"/>
  <c r="AD75" i="3"/>
  <c r="S72" i="3" l="1"/>
  <c r="T71" i="3"/>
  <c r="F21" i="3"/>
  <c r="AC76" i="3"/>
  <c r="Z76" i="3"/>
  <c r="AD76" i="3"/>
  <c r="AA76" i="3"/>
  <c r="A77" i="3"/>
  <c r="B77" i="3" s="1"/>
  <c r="P76" i="3"/>
  <c r="Q76" i="3" s="1"/>
  <c r="R76" i="3" s="1"/>
  <c r="I21" i="3"/>
  <c r="J21" i="3"/>
  <c r="M21" i="3"/>
  <c r="N21" i="3" s="1"/>
  <c r="V21" i="3"/>
  <c r="AE21" i="3"/>
  <c r="S73" i="3" l="1"/>
  <c r="T72" i="3"/>
  <c r="W21" i="3"/>
  <c r="A78" i="3"/>
  <c r="B78" i="3" s="1"/>
  <c r="AA77" i="3"/>
  <c r="Z77" i="3"/>
  <c r="P77" i="3"/>
  <c r="Q77" i="3" s="1"/>
  <c r="R77" i="3" s="1"/>
  <c r="AD77" i="3"/>
  <c r="AC77" i="3"/>
  <c r="L21" i="3"/>
  <c r="T73" i="3" l="1"/>
  <c r="S74" i="3"/>
  <c r="AG22" i="3"/>
  <c r="U21" i="3"/>
  <c r="D22" i="3" s="1"/>
  <c r="AH22" i="3"/>
  <c r="Y20" i="3"/>
  <c r="A79" i="3"/>
  <c r="B79" i="3" s="1"/>
  <c r="AD78" i="3"/>
  <c r="P78" i="3"/>
  <c r="Q78" i="3" s="1"/>
  <c r="R78" i="3" s="1"/>
  <c r="AC78" i="3"/>
  <c r="AA78" i="3"/>
  <c r="Z78" i="3"/>
  <c r="S75" i="3" l="1"/>
  <c r="T74" i="3"/>
  <c r="G22" i="3"/>
  <c r="E22" i="3"/>
  <c r="H22" i="3" s="1"/>
  <c r="P79" i="3"/>
  <c r="Q79" i="3" s="1"/>
  <c r="R79" i="3" s="1"/>
  <c r="A80" i="3"/>
  <c r="B80" i="3" s="1"/>
  <c r="Z79" i="3"/>
  <c r="AC79" i="3"/>
  <c r="AA79" i="3"/>
  <c r="AD79" i="3"/>
  <c r="T75" i="3" l="1"/>
  <c r="S76" i="3"/>
  <c r="AA80" i="3"/>
  <c r="A81" i="3"/>
  <c r="B81" i="3" s="1"/>
  <c r="AD80" i="3"/>
  <c r="AC80" i="3"/>
  <c r="P80" i="3"/>
  <c r="Q80" i="3" s="1"/>
  <c r="R80" i="3" s="1"/>
  <c r="Z80" i="3"/>
  <c r="I22" i="3"/>
  <c r="J22" i="3"/>
  <c r="M22" i="3"/>
  <c r="N22" i="3" s="1"/>
  <c r="K22" i="3"/>
  <c r="F22" i="3"/>
  <c r="S77" i="3" l="1"/>
  <c r="T76" i="3"/>
  <c r="L22" i="3"/>
  <c r="Z81" i="3"/>
  <c r="AC81" i="3"/>
  <c r="A82" i="3"/>
  <c r="B82" i="3" s="1"/>
  <c r="AA81" i="3"/>
  <c r="AD81" i="3"/>
  <c r="P81" i="3"/>
  <c r="Q81" i="3" s="1"/>
  <c r="R81" i="3" s="1"/>
  <c r="V22" i="3"/>
  <c r="W22" i="3" s="1"/>
  <c r="AE22" i="3"/>
  <c r="T77" i="3" l="1"/>
  <c r="S78" i="3"/>
  <c r="U22" i="3"/>
  <c r="E23" i="3" s="1"/>
  <c r="H23" i="3" s="1"/>
  <c r="AH23" i="3"/>
  <c r="AG23" i="3"/>
  <c r="Y21" i="3"/>
  <c r="A83" i="3"/>
  <c r="B83" i="3" s="1"/>
  <c r="P82" i="3"/>
  <c r="Q82" i="3" s="1"/>
  <c r="R82" i="3" s="1"/>
  <c r="AC82" i="3"/>
  <c r="AA82" i="3"/>
  <c r="Z82" i="3"/>
  <c r="AD82" i="3"/>
  <c r="S79" i="3" l="1"/>
  <c r="T78" i="3"/>
  <c r="AA83" i="3"/>
  <c r="AC83" i="3"/>
  <c r="P83" i="3"/>
  <c r="Q83" i="3" s="1"/>
  <c r="R83" i="3" s="1"/>
  <c r="Z83" i="3"/>
  <c r="AD83" i="3"/>
  <c r="A84" i="3"/>
  <c r="B84" i="3" s="1"/>
  <c r="K23" i="3"/>
  <c r="D23" i="3"/>
  <c r="S80" i="3" l="1"/>
  <c r="T79" i="3"/>
  <c r="AA84" i="3"/>
  <c r="Z84" i="3"/>
  <c r="A85" i="3"/>
  <c r="B85" i="3" s="1"/>
  <c r="P84" i="3"/>
  <c r="Q84" i="3" s="1"/>
  <c r="R84" i="3" s="1"/>
  <c r="AD84" i="3"/>
  <c r="AC84" i="3"/>
  <c r="V23" i="3"/>
  <c r="AE23" i="3"/>
  <c r="F23" i="3"/>
  <c r="G23" i="3"/>
  <c r="T80" i="3" l="1"/>
  <c r="S81" i="3"/>
  <c r="A86" i="3"/>
  <c r="B86" i="3" s="1"/>
  <c r="P85" i="3"/>
  <c r="Q85" i="3" s="1"/>
  <c r="R85" i="3" s="1"/>
  <c r="AA85" i="3"/>
  <c r="AC85" i="3"/>
  <c r="Z85" i="3"/>
  <c r="AD85" i="3"/>
  <c r="I23" i="3"/>
  <c r="W23" i="3" s="1"/>
  <c r="J23" i="3"/>
  <c r="M23" i="3"/>
  <c r="N23" i="3" s="1"/>
  <c r="T81" i="3" l="1"/>
  <c r="S82" i="3"/>
  <c r="AC86" i="3"/>
  <c r="Z86" i="3"/>
  <c r="P86" i="3"/>
  <c r="Q86" i="3" s="1"/>
  <c r="R86" i="3" s="1"/>
  <c r="AA86" i="3"/>
  <c r="A87" i="3"/>
  <c r="B87" i="3" s="1"/>
  <c r="AD86" i="3"/>
  <c r="L23" i="3"/>
  <c r="T82" i="3" l="1"/>
  <c r="S83" i="3"/>
  <c r="P87" i="3"/>
  <c r="Q87" i="3" s="1"/>
  <c r="R87" i="3" s="1"/>
  <c r="Z87" i="3"/>
  <c r="A88" i="3"/>
  <c r="B88" i="3" s="1"/>
  <c r="AD87" i="3"/>
  <c r="AC87" i="3"/>
  <c r="AA87" i="3"/>
  <c r="AG24" i="3"/>
  <c r="AH24" i="3"/>
  <c r="U23" i="3"/>
  <c r="E24" i="3" s="1"/>
  <c r="H24" i="3" s="1"/>
  <c r="Y22" i="3"/>
  <c r="T83" i="3" l="1"/>
  <c r="S84" i="3"/>
  <c r="D24" i="3"/>
  <c r="G24" i="3" s="1"/>
  <c r="A89" i="3"/>
  <c r="B89" i="3" s="1"/>
  <c r="P88" i="3"/>
  <c r="Q88" i="3" s="1"/>
  <c r="R88" i="3" s="1"/>
  <c r="AC88" i="3"/>
  <c r="Z88" i="3"/>
  <c r="AA88" i="3"/>
  <c r="AD88" i="3"/>
  <c r="K24" i="3"/>
  <c r="T84" i="3" l="1"/>
  <c r="S85" i="3"/>
  <c r="F24" i="3"/>
  <c r="AD89" i="3"/>
  <c r="AC89" i="3"/>
  <c r="P89" i="3"/>
  <c r="Q89" i="3" s="1"/>
  <c r="R89" i="3" s="1"/>
  <c r="Z89" i="3"/>
  <c r="AA89" i="3"/>
  <c r="A90" i="3"/>
  <c r="B90" i="3" s="1"/>
  <c r="V24" i="3"/>
  <c r="AE24" i="3"/>
  <c r="I24" i="3"/>
  <c r="J24" i="3"/>
  <c r="M24" i="3"/>
  <c r="N24" i="3" s="1"/>
  <c r="T85" i="3" l="1"/>
  <c r="S86" i="3"/>
  <c r="A91" i="3"/>
  <c r="B91" i="3" s="1"/>
  <c r="P90" i="3"/>
  <c r="Q90" i="3" s="1"/>
  <c r="R90" i="3" s="1"/>
  <c r="AC90" i="3"/>
  <c r="Z90" i="3"/>
  <c r="AA90" i="3"/>
  <c r="AD90" i="3"/>
  <c r="L24" i="3"/>
  <c r="W24" i="3"/>
  <c r="T86" i="3" l="1"/>
  <c r="S87" i="3"/>
  <c r="P91" i="3"/>
  <c r="Q91" i="3" s="1"/>
  <c r="R91" i="3" s="1"/>
  <c r="AD91" i="3"/>
  <c r="AA91" i="3"/>
  <c r="A92" i="3"/>
  <c r="B92" i="3" s="1"/>
  <c r="AC91" i="3"/>
  <c r="Z91" i="3"/>
  <c r="AH25" i="3"/>
  <c r="AG25" i="3"/>
  <c r="U24" i="3"/>
  <c r="D25" i="3" s="1"/>
  <c r="Y23" i="3"/>
  <c r="S88" i="3" l="1"/>
  <c r="T87" i="3"/>
  <c r="E25" i="3"/>
  <c r="H25" i="3" s="1"/>
  <c r="K25" i="3" s="1"/>
  <c r="G25" i="3"/>
  <c r="AA92" i="3"/>
  <c r="AD92" i="3"/>
  <c r="AC92" i="3"/>
  <c r="P92" i="3"/>
  <c r="Q92" i="3" s="1"/>
  <c r="R92" i="3" s="1"/>
  <c r="Z92" i="3"/>
  <c r="A93" i="3"/>
  <c r="B93" i="3" s="1"/>
  <c r="T88" i="3" l="1"/>
  <c r="S89" i="3"/>
  <c r="F25" i="3"/>
  <c r="Z93" i="3"/>
  <c r="AA93" i="3"/>
  <c r="P93" i="3"/>
  <c r="Q93" i="3" s="1"/>
  <c r="R93" i="3" s="1"/>
  <c r="A94" i="3"/>
  <c r="B94" i="3" s="1"/>
  <c r="AD93" i="3"/>
  <c r="AC93" i="3"/>
  <c r="I25" i="3"/>
  <c r="J25" i="3"/>
  <c r="M25" i="3"/>
  <c r="N25" i="3" s="1"/>
  <c r="V25" i="3"/>
  <c r="AE25" i="3"/>
  <c r="S90" i="3" l="1"/>
  <c r="T89" i="3"/>
  <c r="W25" i="3"/>
  <c r="AC94" i="3"/>
  <c r="Z94" i="3"/>
  <c r="AA94" i="3"/>
  <c r="AD94" i="3"/>
  <c r="A95" i="3"/>
  <c r="B95" i="3" s="1"/>
  <c r="P94" i="3"/>
  <c r="Q94" i="3" s="1"/>
  <c r="R94" i="3" s="1"/>
  <c r="L25" i="3"/>
  <c r="S91" i="3" l="1"/>
  <c r="T90" i="3"/>
  <c r="U25" i="3"/>
  <c r="E26" i="3" s="1"/>
  <c r="H26" i="3" s="1"/>
  <c r="AH26" i="3"/>
  <c r="AG26" i="3"/>
  <c r="Y24" i="3"/>
  <c r="Z95" i="3"/>
  <c r="A96" i="3"/>
  <c r="B96" i="3" s="1"/>
  <c r="P95" i="3"/>
  <c r="Q95" i="3" s="1"/>
  <c r="R95" i="3" s="1"/>
  <c r="AC95" i="3"/>
  <c r="AD95" i="3"/>
  <c r="AA95" i="3"/>
  <c r="T91" i="3" l="1"/>
  <c r="S92" i="3"/>
  <c r="D26" i="3"/>
  <c r="G26" i="3" s="1"/>
  <c r="K26" i="3"/>
  <c r="Z96" i="3"/>
  <c r="P96" i="3"/>
  <c r="Q96" i="3" s="1"/>
  <c r="R96" i="3" s="1"/>
  <c r="AC96" i="3"/>
  <c r="AA96" i="3"/>
  <c r="AD96" i="3"/>
  <c r="A97" i="3"/>
  <c r="B97" i="3" s="1"/>
  <c r="S93" i="3" l="1"/>
  <c r="T92" i="3"/>
  <c r="F26" i="3"/>
  <c r="I26" i="3"/>
  <c r="J26" i="3"/>
  <c r="M26" i="3"/>
  <c r="N26" i="3" s="1"/>
  <c r="A98" i="3"/>
  <c r="B98" i="3" s="1"/>
  <c r="P97" i="3"/>
  <c r="Q97" i="3" s="1"/>
  <c r="R97" i="3" s="1"/>
  <c r="AD97" i="3"/>
  <c r="AA97" i="3"/>
  <c r="Z97" i="3"/>
  <c r="AC97" i="3"/>
  <c r="V26" i="3"/>
  <c r="AE26" i="3"/>
  <c r="T93" i="3" l="1"/>
  <c r="S94" i="3"/>
  <c r="W26" i="3"/>
  <c r="A99" i="3"/>
  <c r="B99" i="3" s="1"/>
  <c r="AD98" i="3"/>
  <c r="AA98" i="3"/>
  <c r="P98" i="3"/>
  <c r="Q98" i="3" s="1"/>
  <c r="R98" i="3" s="1"/>
  <c r="Z98" i="3"/>
  <c r="AC98" i="3"/>
  <c r="L26" i="3"/>
  <c r="T94" i="3" l="1"/>
  <c r="S95" i="3"/>
  <c r="AD99" i="3"/>
  <c r="P99" i="3"/>
  <c r="Q99" i="3" s="1"/>
  <c r="R99" i="3" s="1"/>
  <c r="Z99" i="3"/>
  <c r="A100" i="3"/>
  <c r="B100" i="3" s="1"/>
  <c r="AC99" i="3"/>
  <c r="AA99" i="3"/>
  <c r="AH27" i="3"/>
  <c r="U26" i="3"/>
  <c r="D27" i="3" s="1"/>
  <c r="AG27" i="3"/>
  <c r="Y25" i="3"/>
  <c r="S96" i="3" l="1"/>
  <c r="T95" i="3"/>
  <c r="E27" i="3"/>
  <c r="H27" i="3" s="1"/>
  <c r="K27" i="3" s="1"/>
  <c r="G27" i="3"/>
  <c r="A101" i="3"/>
  <c r="B101" i="3" s="1"/>
  <c r="AA100" i="3"/>
  <c r="AC100" i="3"/>
  <c r="Z100" i="3"/>
  <c r="AD100" i="3"/>
  <c r="P100" i="3"/>
  <c r="Q100" i="3" s="1"/>
  <c r="R100" i="3" s="1"/>
  <c r="S97" i="3" l="1"/>
  <c r="T96" i="3"/>
  <c r="F27" i="3"/>
  <c r="AD101" i="3"/>
  <c r="Z101" i="3"/>
  <c r="P101" i="3"/>
  <c r="Q101" i="3" s="1"/>
  <c r="R101" i="3" s="1"/>
  <c r="AC101" i="3"/>
  <c r="A102" i="3"/>
  <c r="B102" i="3" s="1"/>
  <c r="AA101" i="3"/>
  <c r="I27" i="3"/>
  <c r="J27" i="3"/>
  <c r="M27" i="3"/>
  <c r="N27" i="3" s="1"/>
  <c r="V27" i="3"/>
  <c r="AE27" i="3"/>
  <c r="S98" i="3" l="1"/>
  <c r="T97" i="3"/>
  <c r="P102" i="3"/>
  <c r="Q102" i="3" s="1"/>
  <c r="R102" i="3" s="1"/>
  <c r="A103" i="3"/>
  <c r="B103" i="3" s="1"/>
  <c r="AA102" i="3"/>
  <c r="AC102" i="3"/>
  <c r="AD102" i="3"/>
  <c r="Z102" i="3"/>
  <c r="L27" i="3"/>
  <c r="W27" i="3"/>
  <c r="T98" i="3" l="1"/>
  <c r="S99" i="3"/>
  <c r="P103" i="3"/>
  <c r="Q103" i="3" s="1"/>
  <c r="R103" i="3" s="1"/>
  <c r="AD103" i="3"/>
  <c r="AC103" i="3"/>
  <c r="Z103" i="3"/>
  <c r="A104" i="3"/>
  <c r="B104" i="3" s="1"/>
  <c r="AA103" i="3"/>
  <c r="U27" i="3"/>
  <c r="E28" i="3" s="1"/>
  <c r="H28" i="3" s="1"/>
  <c r="AG28" i="3"/>
  <c r="AH28" i="3"/>
  <c r="Y26" i="3"/>
  <c r="S100" i="3" l="1"/>
  <c r="T99" i="3"/>
  <c r="D28" i="3"/>
  <c r="F28" i="3" s="1"/>
  <c r="K28" i="3"/>
  <c r="AC104" i="3"/>
  <c r="P104" i="3"/>
  <c r="Q104" i="3" s="1"/>
  <c r="R104" i="3" s="1"/>
  <c r="Z104" i="3"/>
  <c r="AA104" i="3"/>
  <c r="S101" i="3" l="1"/>
  <c r="T100" i="3"/>
  <c r="G28" i="3"/>
  <c r="I28" i="3" s="1"/>
  <c r="V28" i="3"/>
  <c r="AE28" i="3"/>
  <c r="T101" i="3" l="1"/>
  <c r="S102" i="3"/>
  <c r="M28" i="3"/>
  <c r="N28" i="3" s="1"/>
  <c r="J28" i="3"/>
  <c r="L28" i="3" s="1"/>
  <c r="W28" i="3"/>
  <c r="S103" i="3" l="1"/>
  <c r="T102" i="3"/>
  <c r="AH29" i="3"/>
  <c r="AG29" i="3"/>
  <c r="U28" i="3"/>
  <c r="E29" i="3" s="1"/>
  <c r="H29" i="3" s="1"/>
  <c r="Y27" i="3"/>
  <c r="S104" i="3" l="1"/>
  <c r="T103" i="3"/>
  <c r="D29" i="3"/>
  <c r="F29" i="3" s="1"/>
  <c r="K29" i="3"/>
  <c r="T104" i="3" l="1"/>
  <c r="G29" i="3"/>
  <c r="M29" i="3" s="1"/>
  <c r="N29" i="3" s="1"/>
  <c r="V29" i="3"/>
  <c r="AE29" i="3"/>
  <c r="J29" i="3" l="1"/>
  <c r="L29" i="3" s="1"/>
  <c r="I29" i="3"/>
  <c r="W29" i="3" s="1"/>
  <c r="U29" i="3" l="1"/>
  <c r="D30" i="3" s="1"/>
  <c r="AG30" i="3"/>
  <c r="AH30" i="3"/>
  <c r="Y28" i="3"/>
  <c r="E30" i="3" l="1"/>
  <c r="H30" i="3" s="1"/>
  <c r="K30" i="3" s="1"/>
  <c r="G30" i="3"/>
  <c r="F30" i="3" l="1"/>
  <c r="I30" i="3"/>
  <c r="J30" i="3"/>
  <c r="M30" i="3"/>
  <c r="N30" i="3" s="1"/>
  <c r="V30" i="3"/>
  <c r="AE30" i="3"/>
  <c r="W30" i="3" l="1"/>
  <c r="L30" i="3"/>
  <c r="U30" i="3" l="1"/>
  <c r="D31" i="3" s="1"/>
  <c r="AG31" i="3"/>
  <c r="AH31" i="3"/>
  <c r="Y29" i="3"/>
  <c r="E31" i="3" l="1"/>
  <c r="H31" i="3" s="1"/>
  <c r="K31" i="3" s="1"/>
  <c r="G31" i="3"/>
  <c r="F31" i="3" l="1"/>
  <c r="V31" i="3"/>
  <c r="AE31" i="3"/>
  <c r="I31" i="3"/>
  <c r="J31" i="3"/>
  <c r="M31" i="3"/>
  <c r="N31" i="3" s="1"/>
  <c r="L31" i="3" l="1"/>
  <c r="W31" i="3"/>
  <c r="AG32" i="3" l="1"/>
  <c r="AH32" i="3"/>
  <c r="U31" i="3"/>
  <c r="E32" i="3" s="1"/>
  <c r="H32" i="3" s="1"/>
  <c r="Y30" i="3"/>
  <c r="D32" i="3" l="1"/>
  <c r="F32" i="3" s="1"/>
  <c r="K32" i="3"/>
  <c r="G32" i="3" l="1"/>
  <c r="I32" i="3" s="1"/>
  <c r="V32" i="3"/>
  <c r="AE32" i="3"/>
  <c r="M32" i="3" l="1"/>
  <c r="N32" i="3" s="1"/>
  <c r="J32" i="3"/>
  <c r="L32" i="3" s="1"/>
  <c r="W32" i="3"/>
  <c r="AH33" i="3" l="1"/>
  <c r="AG33" i="3"/>
  <c r="U32" i="3"/>
  <c r="D33" i="3" s="1"/>
  <c r="Y31" i="3"/>
  <c r="E33" i="3" l="1"/>
  <c r="H33" i="3" s="1"/>
  <c r="K33" i="3" s="1"/>
  <c r="G33" i="3"/>
  <c r="F33" i="3" l="1"/>
  <c r="I33" i="3"/>
  <c r="J33" i="3"/>
  <c r="M33" i="3"/>
  <c r="N33" i="3" s="1"/>
  <c r="V33" i="3"/>
  <c r="AE33" i="3"/>
  <c r="W33" i="3" l="1"/>
  <c r="L33" i="3"/>
  <c r="AH34" i="3" l="1"/>
  <c r="AG34" i="3"/>
  <c r="U33" i="3"/>
  <c r="D34" i="3" s="1"/>
  <c r="Y32" i="3"/>
  <c r="G34" i="3" l="1"/>
  <c r="E34" i="3"/>
  <c r="H34" i="3" s="1"/>
  <c r="F34" i="3" l="1"/>
  <c r="I34" i="3"/>
  <c r="J34" i="3"/>
  <c r="AD34" i="3" s="1"/>
  <c r="M34" i="3"/>
  <c r="N34" i="3" s="1"/>
  <c r="K34" i="3"/>
  <c r="V34" i="3" l="1"/>
  <c r="W34" i="3" s="1"/>
  <c r="AE34" i="3"/>
  <c r="L34" i="3"/>
  <c r="U34" i="3" l="1"/>
  <c r="E35" i="3" s="1"/>
  <c r="H35" i="3" s="1"/>
  <c r="AH35" i="3"/>
  <c r="AG35" i="3"/>
  <c r="Y33" i="3"/>
  <c r="D35" i="3" l="1"/>
  <c r="G35" i="3" s="1"/>
  <c r="K35" i="3"/>
  <c r="F35" i="3" l="1"/>
  <c r="I35" i="3"/>
  <c r="J35" i="3"/>
  <c r="M35" i="3"/>
  <c r="N35" i="3" s="1"/>
  <c r="V35" i="3"/>
  <c r="AE35" i="3"/>
  <c r="W35" i="3" l="1"/>
  <c r="L35" i="3"/>
  <c r="U35" i="3" l="1"/>
  <c r="E36" i="3" s="1"/>
  <c r="H36" i="3" s="1"/>
  <c r="AG36" i="3"/>
  <c r="AH36" i="3"/>
  <c r="Y34" i="3"/>
  <c r="K36" i="3" l="1"/>
  <c r="D36" i="3"/>
  <c r="F36" i="3" l="1"/>
  <c r="G36" i="3"/>
  <c r="V36" i="3"/>
  <c r="AE36" i="3"/>
  <c r="I36" i="3" l="1"/>
  <c r="W36" i="3" s="1"/>
  <c r="J36" i="3"/>
  <c r="M36" i="3"/>
  <c r="N36" i="3" s="1"/>
  <c r="L36" i="3" l="1"/>
  <c r="AH37" i="3" l="1"/>
  <c r="AG37" i="3"/>
  <c r="U36" i="3"/>
  <c r="E37" i="3" s="1"/>
  <c r="H37" i="3" s="1"/>
  <c r="Y35" i="3"/>
  <c r="D37" i="3" l="1"/>
  <c r="G37" i="3" s="1"/>
  <c r="K37" i="3"/>
  <c r="F37" i="3" l="1"/>
  <c r="I37" i="3"/>
  <c r="J37" i="3"/>
  <c r="M37" i="3"/>
  <c r="N37" i="3" s="1"/>
  <c r="V37" i="3"/>
  <c r="AE37" i="3"/>
  <c r="W37" i="3" l="1"/>
  <c r="L37" i="3"/>
  <c r="AH38" i="3" l="1"/>
  <c r="AG38" i="3"/>
  <c r="U37" i="3"/>
  <c r="D38" i="3" s="1"/>
  <c r="Y36" i="3"/>
  <c r="G38" i="3" l="1"/>
  <c r="E38" i="3"/>
  <c r="H38" i="3" s="1"/>
  <c r="K38" i="3" l="1"/>
  <c r="F38" i="3"/>
  <c r="I38" i="3"/>
  <c r="J38" i="3"/>
  <c r="M38" i="3"/>
  <c r="N38" i="3" s="1"/>
  <c r="L38" i="3" l="1"/>
  <c r="V38" i="3"/>
  <c r="W38" i="3" s="1"/>
  <c r="AE38" i="3"/>
  <c r="U38" i="3" l="1"/>
  <c r="D39" i="3" s="1"/>
  <c r="AG39" i="3"/>
  <c r="AH39" i="3"/>
  <c r="Y37" i="3"/>
  <c r="G39" i="3" l="1"/>
  <c r="E39" i="3"/>
  <c r="H39" i="3" s="1"/>
  <c r="F39" i="3" l="1"/>
  <c r="K39" i="3"/>
  <c r="I39" i="3"/>
  <c r="J39" i="3"/>
  <c r="M39" i="3"/>
  <c r="N39" i="3" s="1"/>
  <c r="L39" i="3" l="1"/>
  <c r="V39" i="3"/>
  <c r="W39" i="3" s="1"/>
  <c r="AE39" i="3"/>
  <c r="U39" i="3" l="1"/>
  <c r="E40" i="3" s="1"/>
  <c r="H40" i="3" s="1"/>
  <c r="AH40" i="3"/>
  <c r="AG40" i="3"/>
  <c r="Y38" i="3"/>
  <c r="D40" i="3" l="1"/>
  <c r="F40" i="3" s="1"/>
  <c r="K40" i="3"/>
  <c r="G40" i="3" l="1"/>
  <c r="M40" i="3" s="1"/>
  <c r="N40" i="3" s="1"/>
  <c r="V40" i="3"/>
  <c r="AE40" i="3"/>
  <c r="I40" i="3" l="1"/>
  <c r="W40" i="3" s="1"/>
  <c r="J40" i="3"/>
  <c r="L40" i="3" s="1"/>
  <c r="U40" i="3" l="1"/>
  <c r="D41" i="3" s="1"/>
  <c r="AG41" i="3"/>
  <c r="AH41" i="3"/>
  <c r="Y39" i="3"/>
  <c r="G41" i="3" l="1"/>
  <c r="E41" i="3"/>
  <c r="H41" i="3" s="1"/>
  <c r="F41" i="3" l="1"/>
  <c r="I41" i="3"/>
  <c r="J41" i="3"/>
  <c r="M41" i="3"/>
  <c r="N41" i="3" s="1"/>
  <c r="K41" i="3"/>
  <c r="V41" i="3" l="1"/>
  <c r="W41" i="3" s="1"/>
  <c r="AE41" i="3"/>
  <c r="L41" i="3"/>
  <c r="U41" i="3" l="1"/>
  <c r="E42" i="3" s="1"/>
  <c r="H42" i="3" s="1"/>
  <c r="AG42" i="3"/>
  <c r="AH42" i="3"/>
  <c r="Y40" i="3"/>
  <c r="D42" i="3" l="1"/>
  <c r="G42" i="3" s="1"/>
  <c r="K42" i="3"/>
  <c r="F42" i="3" l="1"/>
  <c r="V42" i="3"/>
  <c r="AE42" i="3"/>
  <c r="I42" i="3"/>
  <c r="J42" i="3"/>
  <c r="M42" i="3"/>
  <c r="N42" i="3" s="1"/>
  <c r="W42" i="3" l="1"/>
  <c r="L42" i="3"/>
  <c r="AG43" i="3" l="1"/>
  <c r="AH43" i="3"/>
  <c r="U42" i="3"/>
  <c r="E43" i="3" s="1"/>
  <c r="H43" i="3" s="1"/>
  <c r="Y41" i="3"/>
  <c r="K43" i="3" l="1"/>
  <c r="D43" i="3"/>
  <c r="V43" i="3" l="1"/>
  <c r="AE43" i="3"/>
  <c r="F43" i="3"/>
  <c r="G43" i="3"/>
  <c r="I43" i="3" l="1"/>
  <c r="W43" i="3" s="1"/>
  <c r="J43" i="3"/>
  <c r="M43" i="3"/>
  <c r="N43" i="3" s="1"/>
  <c r="L43" i="3" l="1"/>
  <c r="AG44" i="3" l="1"/>
  <c r="AH44" i="3"/>
  <c r="U43" i="3"/>
  <c r="E44" i="3" s="1"/>
  <c r="H44" i="3" s="1"/>
  <c r="Y42" i="3"/>
  <c r="D44" i="3" l="1"/>
  <c r="F44" i="3" s="1"/>
  <c r="K44" i="3"/>
  <c r="G44" i="3" l="1"/>
  <c r="J44" i="3" s="1"/>
  <c r="AD44" i="3" s="1"/>
  <c r="V44" i="3"/>
  <c r="AE44" i="3"/>
  <c r="M44" i="3" l="1"/>
  <c r="N44" i="3" s="1"/>
  <c r="I44" i="3"/>
  <c r="W44" i="3" s="1"/>
  <c r="L44" i="3"/>
  <c r="U44" i="3" l="1"/>
  <c r="E45" i="3" s="1"/>
  <c r="H45" i="3" s="1"/>
  <c r="AH45" i="3"/>
  <c r="AG45" i="3"/>
  <c r="Y43" i="3"/>
  <c r="D45" i="3" l="1"/>
  <c r="G45" i="3" s="1"/>
  <c r="K45" i="3"/>
  <c r="F45" i="3" l="1"/>
  <c r="I45" i="3"/>
  <c r="J45" i="3"/>
  <c r="M45" i="3"/>
  <c r="N45" i="3" s="1"/>
  <c r="V45" i="3"/>
  <c r="AE45" i="3"/>
  <c r="L45" i="3" l="1"/>
  <c r="W45" i="3"/>
  <c r="U45" i="3" l="1"/>
  <c r="D46" i="3" s="1"/>
  <c r="AG46" i="3"/>
  <c r="AH46" i="3"/>
  <c r="Y44" i="3"/>
  <c r="E46" i="3" l="1"/>
  <c r="H46" i="3" s="1"/>
  <c r="K46" i="3" s="1"/>
  <c r="G46" i="3"/>
  <c r="F46" i="3" l="1"/>
  <c r="I46" i="3"/>
  <c r="J46" i="3"/>
  <c r="M46" i="3"/>
  <c r="N46" i="3" s="1"/>
  <c r="V46" i="3"/>
  <c r="AE46" i="3"/>
  <c r="W46" i="3" l="1"/>
  <c r="L46" i="3"/>
  <c r="AG47" i="3" l="1"/>
  <c r="U46" i="3"/>
  <c r="D47" i="3" s="1"/>
  <c r="AH47" i="3"/>
  <c r="Y45" i="3"/>
  <c r="E47" i="3" l="1"/>
  <c r="H47" i="3" s="1"/>
  <c r="K47" i="3" s="1"/>
  <c r="G47" i="3"/>
  <c r="F47" i="3" l="1"/>
  <c r="I47" i="3"/>
  <c r="J47" i="3"/>
  <c r="M47" i="3"/>
  <c r="N47" i="3" s="1"/>
  <c r="V47" i="3"/>
  <c r="AE47" i="3"/>
  <c r="W47" i="3" l="1"/>
  <c r="L47" i="3"/>
  <c r="AG48" i="3" l="1"/>
  <c r="U47" i="3"/>
  <c r="E48" i="3" s="1"/>
  <c r="H48" i="3" s="1"/>
  <c r="AH48" i="3"/>
  <c r="Y46" i="3"/>
  <c r="K48" i="3" l="1"/>
  <c r="D48" i="3"/>
  <c r="V48" i="3" l="1"/>
  <c r="AE48" i="3"/>
  <c r="F48" i="3"/>
  <c r="G48" i="3"/>
  <c r="I48" i="3" l="1"/>
  <c r="W48" i="3" s="1"/>
  <c r="J48" i="3"/>
  <c r="M48" i="3"/>
  <c r="N48" i="3" s="1"/>
  <c r="L48" i="3" l="1"/>
  <c r="AH49" i="3" l="1"/>
  <c r="U48" i="3"/>
  <c r="E49" i="3" s="1"/>
  <c r="H49" i="3" s="1"/>
  <c r="AG49" i="3"/>
  <c r="Y47" i="3"/>
  <c r="D49" i="3" l="1"/>
  <c r="G49" i="3" s="1"/>
  <c r="K49" i="3"/>
  <c r="F49" i="3" l="1"/>
  <c r="V49" i="3"/>
  <c r="AE49" i="3"/>
  <c r="I49" i="3"/>
  <c r="J49" i="3"/>
  <c r="M49" i="3"/>
  <c r="N49" i="3" s="1"/>
  <c r="W49" i="3" l="1"/>
  <c r="L49" i="3"/>
  <c r="AG50" i="3" l="1"/>
  <c r="AH50" i="3"/>
  <c r="U49" i="3"/>
  <c r="D50" i="3" s="1"/>
  <c r="Y48" i="3"/>
  <c r="E50" i="3" l="1"/>
  <c r="H50" i="3" s="1"/>
  <c r="K50" i="3" s="1"/>
  <c r="G50" i="3"/>
  <c r="F50" i="3" l="1"/>
  <c r="I50" i="3"/>
  <c r="J50" i="3"/>
  <c r="M50" i="3"/>
  <c r="N50" i="3" s="1"/>
  <c r="V50" i="3"/>
  <c r="AE50" i="3"/>
  <c r="L50" i="3" l="1"/>
  <c r="W50" i="3"/>
  <c r="U50" i="3" l="1"/>
  <c r="D51" i="3" s="1"/>
  <c r="AH51" i="3"/>
  <c r="AG51" i="3"/>
  <c r="Y49" i="3"/>
  <c r="E51" i="3" l="1"/>
  <c r="H51" i="3" s="1"/>
  <c r="K51" i="3" s="1"/>
  <c r="G51" i="3"/>
  <c r="F51" i="3" l="1"/>
  <c r="V51" i="3"/>
  <c r="AE51" i="3"/>
  <c r="I51" i="3"/>
  <c r="J51" i="3"/>
  <c r="M51" i="3"/>
  <c r="N51" i="3" s="1"/>
  <c r="W51" i="3" l="1"/>
  <c r="L51" i="3"/>
  <c r="AH52" i="3" l="1"/>
  <c r="AG52" i="3"/>
  <c r="U51" i="3"/>
  <c r="E52" i="3" s="1"/>
  <c r="H52" i="3" s="1"/>
  <c r="Y50" i="3"/>
  <c r="D52" i="3" l="1"/>
  <c r="G52" i="3" s="1"/>
  <c r="K52" i="3"/>
  <c r="F52" i="3" l="1"/>
  <c r="V52" i="3"/>
  <c r="AE52" i="3"/>
  <c r="I52" i="3"/>
  <c r="J52" i="3"/>
  <c r="M52" i="3"/>
  <c r="N52" i="3" s="1"/>
  <c r="L52" i="3" l="1"/>
  <c r="W52" i="3"/>
  <c r="AH53" i="3" l="1"/>
  <c r="AG53" i="3"/>
  <c r="U52" i="3"/>
  <c r="E53" i="3" s="1"/>
  <c r="H53" i="3" s="1"/>
  <c r="Y51" i="3"/>
  <c r="K53" i="3" l="1"/>
  <c r="D53" i="3"/>
  <c r="V53" i="3" l="1"/>
  <c r="AE53" i="3"/>
  <c r="F53" i="3"/>
  <c r="G53" i="3"/>
  <c r="I53" i="3" l="1"/>
  <c r="W53" i="3" s="1"/>
  <c r="J53" i="3"/>
  <c r="M53" i="3"/>
  <c r="N53" i="3" s="1"/>
  <c r="L53" i="3" l="1"/>
  <c r="AH54" i="3" l="1"/>
  <c r="AG54" i="3"/>
  <c r="U53" i="3"/>
  <c r="D54" i="3" s="1"/>
  <c r="Y52" i="3"/>
  <c r="G54" i="3" l="1"/>
  <c r="E54" i="3"/>
  <c r="H54" i="3" s="1"/>
  <c r="I54" i="3" l="1"/>
  <c r="J54" i="3"/>
  <c r="M54" i="3"/>
  <c r="N54" i="3" s="1"/>
  <c r="F54" i="3"/>
  <c r="K54" i="3"/>
  <c r="L54" i="3" l="1"/>
  <c r="V54" i="3"/>
  <c r="W54" i="3" s="1"/>
  <c r="AE54" i="3"/>
  <c r="U54" i="3" l="1"/>
  <c r="D55" i="3" s="1"/>
  <c r="AG55" i="3"/>
  <c r="AH55" i="3"/>
  <c r="Y53" i="3"/>
  <c r="E55" i="3" l="1"/>
  <c r="H55" i="3" s="1"/>
  <c r="K55" i="3" s="1"/>
  <c r="G55" i="3"/>
  <c r="F55" i="3" l="1"/>
  <c r="V55" i="3"/>
  <c r="AE55" i="3"/>
  <c r="I55" i="3"/>
  <c r="J55" i="3"/>
  <c r="M55" i="3"/>
  <c r="N55" i="3" s="1"/>
  <c r="W55" i="3" l="1"/>
  <c r="L55" i="3"/>
  <c r="AH56" i="3" l="1"/>
  <c r="U55" i="3"/>
  <c r="D56" i="3" s="1"/>
  <c r="AG56" i="3"/>
  <c r="Y54" i="3"/>
  <c r="E56" i="3" l="1"/>
  <c r="H56" i="3" s="1"/>
  <c r="K56" i="3" s="1"/>
  <c r="G56" i="3"/>
  <c r="F56" i="3" l="1"/>
  <c r="I56" i="3"/>
  <c r="J56" i="3"/>
  <c r="M56" i="3"/>
  <c r="N56" i="3" s="1"/>
  <c r="V56" i="3"/>
  <c r="AE56" i="3"/>
  <c r="W56" i="3" l="1"/>
  <c r="L56" i="3"/>
  <c r="AG57" i="3" l="1"/>
  <c r="U56" i="3"/>
  <c r="D57" i="3" s="1"/>
  <c r="AH57" i="3"/>
  <c r="Y55" i="3"/>
  <c r="E57" i="3" l="1"/>
  <c r="H57" i="3" s="1"/>
  <c r="K57" i="3" s="1"/>
  <c r="G57" i="3"/>
  <c r="F57" i="3" l="1"/>
  <c r="I57" i="3"/>
  <c r="J57" i="3"/>
  <c r="M57" i="3"/>
  <c r="N57" i="3" s="1"/>
  <c r="V57" i="3"/>
  <c r="AE57" i="3"/>
  <c r="W57" i="3" l="1"/>
  <c r="L57" i="3"/>
  <c r="U57" i="3" l="1"/>
  <c r="D58" i="3" s="1"/>
  <c r="AH58" i="3"/>
  <c r="AG58" i="3"/>
  <c r="Y56" i="3"/>
  <c r="E58" i="3" l="1"/>
  <c r="H58" i="3" s="1"/>
  <c r="K58" i="3" s="1"/>
  <c r="G58" i="3"/>
  <c r="F58" i="3" l="1"/>
  <c r="V58" i="3"/>
  <c r="AE58" i="3"/>
  <c r="I58" i="3"/>
  <c r="J58" i="3"/>
  <c r="M58" i="3"/>
  <c r="N58" i="3" s="1"/>
  <c r="W58" i="3" l="1"/>
  <c r="L58" i="3"/>
  <c r="AG59" i="3" l="1"/>
  <c r="U58" i="3"/>
  <c r="E59" i="3" s="1"/>
  <c r="H59" i="3" s="1"/>
  <c r="AH59" i="3"/>
  <c r="Y57" i="3"/>
  <c r="D59" i="3" l="1"/>
  <c r="F59" i="3" s="1"/>
  <c r="K59" i="3"/>
  <c r="G59" i="3" l="1"/>
  <c r="M59" i="3" s="1"/>
  <c r="N59" i="3" s="1"/>
  <c r="V59" i="3"/>
  <c r="AE59" i="3"/>
  <c r="I59" i="3" l="1"/>
  <c r="W59" i="3" s="1"/>
  <c r="J59" i="3"/>
  <c r="L59" i="3" s="1"/>
  <c r="AH60" i="3" l="1"/>
  <c r="U59" i="3"/>
  <c r="D60" i="3" s="1"/>
  <c r="AG60" i="3"/>
  <c r="Y58" i="3"/>
  <c r="E60" i="3" l="1"/>
  <c r="H60" i="3" s="1"/>
  <c r="K60" i="3" s="1"/>
  <c r="G60" i="3"/>
  <c r="F60" i="3" l="1"/>
  <c r="I60" i="3"/>
  <c r="J60" i="3"/>
  <c r="M60" i="3"/>
  <c r="N60" i="3" s="1"/>
  <c r="V60" i="3"/>
  <c r="AE60" i="3"/>
  <c r="W60" i="3" l="1"/>
  <c r="L60" i="3"/>
  <c r="AG61" i="3" l="1"/>
  <c r="U60" i="3"/>
  <c r="D61" i="3" s="1"/>
  <c r="AH61" i="3"/>
  <c r="Y59" i="3"/>
  <c r="G61" i="3" l="1"/>
  <c r="E61" i="3"/>
  <c r="H61" i="3" s="1"/>
  <c r="F61" i="3" l="1"/>
  <c r="I61" i="3"/>
  <c r="J61" i="3"/>
  <c r="M61" i="3"/>
  <c r="N61" i="3" s="1"/>
  <c r="K61" i="3"/>
  <c r="V61" i="3" l="1"/>
  <c r="W61" i="3" s="1"/>
  <c r="AE61" i="3"/>
  <c r="L61" i="3"/>
  <c r="AG62" i="3" l="1"/>
  <c r="U61" i="3"/>
  <c r="D62" i="3" s="1"/>
  <c r="AH62" i="3"/>
  <c r="Y60" i="3"/>
  <c r="G62" i="3" l="1"/>
  <c r="E62" i="3"/>
  <c r="H62" i="3" s="1"/>
  <c r="F62" i="3" l="1"/>
  <c r="I62" i="3"/>
  <c r="J62" i="3"/>
  <c r="M62" i="3"/>
  <c r="N62" i="3" s="1"/>
  <c r="K62" i="3"/>
  <c r="V62" i="3" l="1"/>
  <c r="W62" i="3" s="1"/>
  <c r="AE62" i="3"/>
  <c r="L62" i="3"/>
  <c r="U62" i="3" l="1"/>
  <c r="E63" i="3" s="1"/>
  <c r="H63" i="3" s="1"/>
  <c r="AG63" i="3"/>
  <c r="AH63" i="3"/>
  <c r="Y61" i="3"/>
  <c r="D63" i="3" l="1"/>
  <c r="G63" i="3" s="1"/>
  <c r="K63" i="3"/>
  <c r="F63" i="3" l="1"/>
  <c r="I63" i="3"/>
  <c r="J63" i="3"/>
  <c r="M63" i="3"/>
  <c r="N63" i="3" s="1"/>
  <c r="V63" i="3"/>
  <c r="AE63" i="3"/>
  <c r="W63" i="3" l="1"/>
  <c r="L63" i="3"/>
  <c r="U63" i="3" l="1"/>
  <c r="E64" i="3" s="1"/>
  <c r="H64" i="3" s="1"/>
  <c r="AH64" i="3"/>
  <c r="AG64" i="3"/>
  <c r="Y62" i="3"/>
  <c r="D64" i="3" l="1"/>
  <c r="G64" i="3" s="1"/>
  <c r="K64" i="3"/>
  <c r="F64" i="3" l="1"/>
  <c r="V64" i="3"/>
  <c r="AE64" i="3"/>
  <c r="I64" i="3"/>
  <c r="J64" i="3"/>
  <c r="M64" i="3"/>
  <c r="N64" i="3" s="1"/>
  <c r="W64" i="3" l="1"/>
  <c r="L64" i="3"/>
  <c r="U64" i="3" l="1"/>
  <c r="E65" i="3" s="1"/>
  <c r="H65" i="3" s="1"/>
  <c r="AH65" i="3"/>
  <c r="AG65" i="3"/>
  <c r="Y63" i="3"/>
  <c r="D65" i="3" l="1"/>
  <c r="G65" i="3" s="1"/>
  <c r="K65" i="3"/>
  <c r="F65" i="3" l="1"/>
  <c r="V65" i="3"/>
  <c r="AE65" i="3"/>
  <c r="I65" i="3"/>
  <c r="J65" i="3"/>
  <c r="M65" i="3"/>
  <c r="N65" i="3" s="1"/>
  <c r="W65" i="3" l="1"/>
  <c r="L65" i="3"/>
  <c r="U65" i="3" l="1"/>
  <c r="D66" i="3" s="1"/>
  <c r="AH66" i="3"/>
  <c r="AG66" i="3"/>
  <c r="Y64" i="3"/>
  <c r="E66" i="3" l="1"/>
  <c r="H66" i="3" s="1"/>
  <c r="K66" i="3" s="1"/>
  <c r="G66" i="3"/>
  <c r="F66" i="3" l="1"/>
  <c r="I66" i="3"/>
  <c r="J66" i="3"/>
  <c r="M66" i="3"/>
  <c r="N66" i="3" s="1"/>
  <c r="V66" i="3"/>
  <c r="AE66" i="3"/>
  <c r="W66" i="3" l="1"/>
  <c r="L66" i="3"/>
  <c r="U66" i="3" l="1"/>
  <c r="D67" i="3" s="1"/>
  <c r="AH67" i="3"/>
  <c r="AG67" i="3"/>
  <c r="Y65" i="3"/>
  <c r="E67" i="3" l="1"/>
  <c r="H67" i="3" s="1"/>
  <c r="K67" i="3" s="1"/>
  <c r="G67" i="3"/>
  <c r="F67" i="3" l="1"/>
  <c r="I67" i="3"/>
  <c r="J67" i="3"/>
  <c r="M67" i="3"/>
  <c r="N67" i="3" s="1"/>
  <c r="V67" i="3"/>
  <c r="AE67" i="3"/>
  <c r="W67" i="3" l="1"/>
  <c r="L67" i="3"/>
  <c r="U67" i="3" l="1"/>
  <c r="D68" i="3" s="1"/>
  <c r="AH68" i="3"/>
  <c r="AG68" i="3"/>
  <c r="Y66" i="3"/>
  <c r="E68" i="3" l="1"/>
  <c r="H68" i="3" s="1"/>
  <c r="K68" i="3" s="1"/>
  <c r="G68" i="3"/>
  <c r="F68" i="3" l="1"/>
  <c r="I68" i="3"/>
  <c r="J68" i="3"/>
  <c r="M68" i="3"/>
  <c r="N68" i="3" s="1"/>
  <c r="V68" i="3"/>
  <c r="AE68" i="3"/>
  <c r="W68" i="3" l="1"/>
  <c r="L68" i="3"/>
  <c r="U68" i="3" l="1"/>
  <c r="D69" i="3" s="1"/>
  <c r="AH69" i="3"/>
  <c r="AG69" i="3"/>
  <c r="Y67" i="3"/>
  <c r="E69" i="3" l="1"/>
  <c r="H69" i="3" s="1"/>
  <c r="K69" i="3" s="1"/>
  <c r="G69" i="3"/>
  <c r="F69" i="3" l="1"/>
  <c r="I69" i="3"/>
  <c r="J69" i="3"/>
  <c r="M69" i="3"/>
  <c r="N69" i="3" s="1"/>
  <c r="V69" i="3"/>
  <c r="AE69" i="3"/>
  <c r="W69" i="3" l="1"/>
  <c r="L69" i="3"/>
  <c r="AH70" i="3" l="1"/>
  <c r="U69" i="3"/>
  <c r="E70" i="3" s="1"/>
  <c r="H70" i="3" s="1"/>
  <c r="AG70" i="3"/>
  <c r="Y68" i="3"/>
  <c r="D70" i="3" l="1"/>
  <c r="G70" i="3" s="1"/>
  <c r="K70" i="3"/>
  <c r="F70" i="3" l="1"/>
  <c r="I70" i="3"/>
  <c r="J70" i="3"/>
  <c r="M70" i="3"/>
  <c r="N70" i="3" s="1"/>
  <c r="V70" i="3"/>
  <c r="AE70" i="3"/>
  <c r="W70" i="3" l="1"/>
  <c r="L70" i="3"/>
  <c r="AG71" i="3" l="1"/>
  <c r="AH71" i="3"/>
  <c r="U70" i="3"/>
  <c r="E71" i="3" s="1"/>
  <c r="H71" i="3" s="1"/>
  <c r="Y69" i="3"/>
  <c r="D71" i="3" l="1"/>
  <c r="G71" i="3" s="1"/>
  <c r="K71" i="3"/>
  <c r="F71" i="3" l="1"/>
  <c r="I71" i="3"/>
  <c r="J71" i="3"/>
  <c r="M71" i="3"/>
  <c r="N71" i="3" s="1"/>
  <c r="V71" i="3"/>
  <c r="AE71" i="3"/>
  <c r="W71" i="3" l="1"/>
  <c r="L71" i="3"/>
  <c r="AH72" i="3" l="1"/>
  <c r="U71" i="3"/>
  <c r="E72" i="3" s="1"/>
  <c r="H72" i="3" s="1"/>
  <c r="AG72" i="3"/>
  <c r="Y70" i="3"/>
  <c r="D72" i="3" l="1"/>
  <c r="F72" i="3" s="1"/>
  <c r="K72" i="3"/>
  <c r="G72" i="3" l="1"/>
  <c r="M72" i="3" s="1"/>
  <c r="N72" i="3" s="1"/>
  <c r="V72" i="3"/>
  <c r="AE72" i="3"/>
  <c r="I72" i="3" l="1"/>
  <c r="W72" i="3" s="1"/>
  <c r="J72" i="3"/>
  <c r="L72" i="3" s="1"/>
  <c r="U72" i="3" l="1"/>
  <c r="D73" i="3" s="1"/>
  <c r="AG73" i="3"/>
  <c r="AH73" i="3"/>
  <c r="Y71" i="3"/>
  <c r="E73" i="3" l="1"/>
  <c r="H73" i="3" s="1"/>
  <c r="K73" i="3" s="1"/>
  <c r="G73" i="3"/>
  <c r="F73" i="3" l="1"/>
  <c r="I73" i="3"/>
  <c r="J73" i="3"/>
  <c r="M73" i="3"/>
  <c r="N73" i="3" s="1"/>
  <c r="V73" i="3"/>
  <c r="AE73" i="3"/>
  <c r="W73" i="3" l="1"/>
  <c r="L73" i="3"/>
  <c r="AG74" i="3" l="1"/>
  <c r="AH74" i="3"/>
  <c r="U73" i="3"/>
  <c r="D74" i="3" s="1"/>
  <c r="Y72" i="3"/>
  <c r="G74" i="3" l="1"/>
  <c r="E74" i="3"/>
  <c r="H74" i="3" s="1"/>
  <c r="I74" i="3" l="1"/>
  <c r="J74" i="3"/>
  <c r="M74" i="3"/>
  <c r="N74" i="3" s="1"/>
  <c r="K74" i="3"/>
  <c r="F74" i="3"/>
  <c r="V74" i="3" l="1"/>
  <c r="W74" i="3" s="1"/>
  <c r="AE74" i="3"/>
  <c r="L74" i="3"/>
  <c r="AG75" i="3" l="1"/>
  <c r="U74" i="3"/>
  <c r="E75" i="3" s="1"/>
  <c r="H75" i="3" s="1"/>
  <c r="AH75" i="3"/>
  <c r="Y73" i="3"/>
  <c r="K75" i="3" l="1"/>
  <c r="D75" i="3"/>
  <c r="V75" i="3" l="1"/>
  <c r="AE75" i="3"/>
  <c r="F75" i="3"/>
  <c r="G75" i="3"/>
  <c r="I75" i="3" l="1"/>
  <c r="W75" i="3" s="1"/>
  <c r="J75" i="3"/>
  <c r="M75" i="3"/>
  <c r="N75" i="3" s="1"/>
  <c r="L75" i="3" l="1"/>
  <c r="U75" i="3" l="1"/>
  <c r="E76" i="3" s="1"/>
  <c r="H76" i="3" s="1"/>
  <c r="AH76" i="3"/>
  <c r="AG76" i="3"/>
  <c r="Y74" i="3"/>
  <c r="D76" i="3" l="1"/>
  <c r="F76" i="3" s="1"/>
  <c r="K76" i="3"/>
  <c r="G76" i="3" l="1"/>
  <c r="I76" i="3" s="1"/>
  <c r="V76" i="3"/>
  <c r="AE76" i="3"/>
  <c r="J76" i="3" l="1"/>
  <c r="L76" i="3" s="1"/>
  <c r="M76" i="3"/>
  <c r="N76" i="3" s="1"/>
  <c r="W76" i="3"/>
  <c r="U76" i="3" l="1"/>
  <c r="D77" i="3" s="1"/>
  <c r="AH77" i="3"/>
  <c r="AG77" i="3"/>
  <c r="Y75" i="3"/>
  <c r="E77" i="3" l="1"/>
  <c r="H77" i="3" s="1"/>
  <c r="K77" i="3" s="1"/>
  <c r="G77" i="3"/>
  <c r="F77" i="3" l="1"/>
  <c r="I77" i="3"/>
  <c r="J77" i="3"/>
  <c r="M77" i="3"/>
  <c r="N77" i="3" s="1"/>
  <c r="V77" i="3"/>
  <c r="AE77" i="3"/>
  <c r="W77" i="3" l="1"/>
  <c r="L77" i="3"/>
  <c r="AH78" i="3" l="1"/>
  <c r="U77" i="3"/>
  <c r="D78" i="3" s="1"/>
  <c r="AG78" i="3"/>
  <c r="Y76" i="3"/>
  <c r="E78" i="3" l="1"/>
  <c r="H78" i="3" s="1"/>
  <c r="K78" i="3" s="1"/>
  <c r="G78" i="3"/>
  <c r="F78" i="3" l="1"/>
  <c r="I78" i="3"/>
  <c r="J78" i="3"/>
  <c r="M78" i="3"/>
  <c r="N78" i="3" s="1"/>
  <c r="V78" i="3"/>
  <c r="AE78" i="3"/>
  <c r="W78" i="3" l="1"/>
  <c r="L78" i="3"/>
  <c r="U78" i="3" l="1"/>
  <c r="E79" i="3" s="1"/>
  <c r="H79" i="3" s="1"/>
  <c r="AH79" i="3"/>
  <c r="AG79" i="3"/>
  <c r="Y77" i="3"/>
  <c r="D79" i="3" l="1"/>
  <c r="G79" i="3" s="1"/>
  <c r="K79" i="3"/>
  <c r="F79" i="3" l="1"/>
  <c r="I79" i="3"/>
  <c r="J79" i="3"/>
  <c r="M79" i="3"/>
  <c r="N79" i="3" s="1"/>
  <c r="V79" i="3"/>
  <c r="AE79" i="3"/>
  <c r="W79" i="3" l="1"/>
  <c r="L79" i="3"/>
  <c r="AH80" i="3" l="1"/>
  <c r="AG80" i="3"/>
  <c r="U79" i="3"/>
  <c r="E80" i="3" s="1"/>
  <c r="H80" i="3" s="1"/>
  <c r="Y78" i="3"/>
  <c r="D80" i="3" l="1"/>
  <c r="F80" i="3" s="1"/>
  <c r="K80" i="3"/>
  <c r="G80" i="3" l="1"/>
  <c r="I80" i="3" s="1"/>
  <c r="V80" i="3"/>
  <c r="AE80" i="3"/>
  <c r="J80" i="3" l="1"/>
  <c r="L80" i="3" s="1"/>
  <c r="M80" i="3"/>
  <c r="N80" i="3" s="1"/>
  <c r="W80" i="3"/>
  <c r="U80" i="3" l="1"/>
  <c r="E81" i="3" s="1"/>
  <c r="H81" i="3" s="1"/>
  <c r="AG81" i="3"/>
  <c r="AH81" i="3"/>
  <c r="Y79" i="3"/>
  <c r="D81" i="3" l="1"/>
  <c r="G81" i="3" s="1"/>
  <c r="K81" i="3"/>
  <c r="F81" i="3" l="1"/>
  <c r="I81" i="3"/>
  <c r="J81" i="3"/>
  <c r="M81" i="3"/>
  <c r="N81" i="3" s="1"/>
  <c r="V81" i="3"/>
  <c r="AE81" i="3"/>
  <c r="W81" i="3" l="1"/>
  <c r="L81" i="3"/>
  <c r="AH82" i="3" l="1"/>
  <c r="AG82" i="3"/>
  <c r="U81" i="3"/>
  <c r="E82" i="3" s="1"/>
  <c r="H82" i="3" s="1"/>
  <c r="Y80" i="3"/>
  <c r="D82" i="3" l="1"/>
  <c r="G82" i="3" s="1"/>
  <c r="K82" i="3"/>
  <c r="F82" i="3" l="1"/>
  <c r="I82" i="3"/>
  <c r="J82" i="3"/>
  <c r="M82" i="3"/>
  <c r="N82" i="3" s="1"/>
  <c r="V82" i="3"/>
  <c r="AE82" i="3"/>
  <c r="W82" i="3" l="1"/>
  <c r="L82" i="3"/>
  <c r="AG83" i="3" l="1"/>
  <c r="U82" i="3"/>
  <c r="D83" i="3" s="1"/>
  <c r="AH83" i="3"/>
  <c r="Y81" i="3"/>
  <c r="E83" i="3" l="1"/>
  <c r="H83" i="3" s="1"/>
  <c r="K83" i="3" s="1"/>
  <c r="G83" i="3"/>
  <c r="F83" i="3" l="1"/>
  <c r="I83" i="3"/>
  <c r="J83" i="3"/>
  <c r="M83" i="3"/>
  <c r="N83" i="3" s="1"/>
  <c r="V83" i="3"/>
  <c r="AE83" i="3"/>
  <c r="W83" i="3" l="1"/>
  <c r="L83" i="3"/>
  <c r="AG84" i="3" l="1"/>
  <c r="AH84" i="3"/>
  <c r="U83" i="3"/>
  <c r="D84" i="3" s="1"/>
  <c r="Y82" i="3"/>
  <c r="G84" i="3" l="1"/>
  <c r="E84" i="3"/>
  <c r="H84" i="3" s="1"/>
  <c r="K84" i="3" l="1"/>
  <c r="I84" i="3"/>
  <c r="J84" i="3"/>
  <c r="M84" i="3"/>
  <c r="N84" i="3" s="1"/>
  <c r="F84" i="3"/>
  <c r="L84" i="3" l="1"/>
  <c r="V84" i="3"/>
  <c r="W84" i="3" s="1"/>
  <c r="AE84" i="3"/>
  <c r="AH85" i="3" l="1"/>
  <c r="AG85" i="3"/>
  <c r="U84" i="3"/>
  <c r="D85" i="3" s="1"/>
  <c r="Y83" i="3"/>
  <c r="E85" i="3" l="1"/>
  <c r="H85" i="3" s="1"/>
  <c r="K85" i="3" s="1"/>
  <c r="G85" i="3"/>
  <c r="F85" i="3" l="1"/>
  <c r="I85" i="3"/>
  <c r="J85" i="3"/>
  <c r="M85" i="3"/>
  <c r="N85" i="3" s="1"/>
  <c r="V85" i="3"/>
  <c r="AE85" i="3"/>
  <c r="W85" i="3" l="1"/>
  <c r="L85" i="3"/>
  <c r="AH86" i="3" l="1"/>
  <c r="AG86" i="3"/>
  <c r="U85" i="3"/>
  <c r="E86" i="3" s="1"/>
  <c r="H86" i="3" s="1"/>
  <c r="Y84" i="3"/>
  <c r="D86" i="3" l="1"/>
  <c r="F86" i="3" s="1"/>
  <c r="K86" i="3"/>
  <c r="G86" i="3" l="1"/>
  <c r="M86" i="3" s="1"/>
  <c r="N86" i="3" s="1"/>
  <c r="V86" i="3"/>
  <c r="AE86" i="3"/>
  <c r="I86" i="3" l="1"/>
  <c r="W86" i="3" s="1"/>
  <c r="J86" i="3"/>
  <c r="L86" i="3" s="1"/>
  <c r="U86" i="3" l="1"/>
  <c r="E87" i="3" s="1"/>
  <c r="H87" i="3" s="1"/>
  <c r="AH87" i="3"/>
  <c r="AG87" i="3"/>
  <c r="Y85" i="3"/>
  <c r="D87" i="3" l="1"/>
  <c r="G87" i="3" s="1"/>
  <c r="K87" i="3"/>
  <c r="F87" i="3" l="1"/>
  <c r="V87" i="3"/>
  <c r="AE87" i="3"/>
  <c r="I87" i="3"/>
  <c r="J87" i="3"/>
  <c r="M87" i="3"/>
  <c r="N87" i="3" s="1"/>
  <c r="L87" i="3" l="1"/>
  <c r="W87" i="3"/>
  <c r="U87" i="3" l="1"/>
  <c r="E88" i="3" s="1"/>
  <c r="H88" i="3" s="1"/>
  <c r="AG88" i="3"/>
  <c r="AH88" i="3"/>
  <c r="Y86" i="3"/>
  <c r="D88" i="3" l="1"/>
  <c r="G88" i="3" s="1"/>
  <c r="K88" i="3"/>
  <c r="F88" i="3" l="1"/>
  <c r="I88" i="3"/>
  <c r="J88" i="3"/>
  <c r="M88" i="3"/>
  <c r="N88" i="3" s="1"/>
  <c r="V88" i="3"/>
  <c r="AE88" i="3"/>
  <c r="W88" i="3" l="1"/>
  <c r="L88" i="3"/>
  <c r="AH89" i="3" l="1"/>
  <c r="U88" i="3"/>
  <c r="E89" i="3" s="1"/>
  <c r="H89" i="3" s="1"/>
  <c r="AG89" i="3"/>
  <c r="Y87" i="3"/>
  <c r="K89" i="3" l="1"/>
  <c r="D89" i="3"/>
  <c r="V89" i="3" l="1"/>
  <c r="AE89" i="3"/>
  <c r="F89" i="3"/>
  <c r="G89" i="3"/>
  <c r="I89" i="3" l="1"/>
  <c r="W89" i="3" s="1"/>
  <c r="J89" i="3"/>
  <c r="M89" i="3"/>
  <c r="N89" i="3" s="1"/>
  <c r="L89" i="3" l="1"/>
  <c r="U89" i="3" l="1"/>
  <c r="D90" i="3" s="1"/>
  <c r="AH90" i="3"/>
  <c r="AG90" i="3"/>
  <c r="Y88" i="3"/>
  <c r="G90" i="3" l="1"/>
  <c r="E90" i="3"/>
  <c r="H90" i="3" s="1"/>
  <c r="F90" i="3" l="1"/>
  <c r="I90" i="3"/>
  <c r="J90" i="3"/>
  <c r="M90" i="3"/>
  <c r="N90" i="3" s="1"/>
  <c r="K90" i="3"/>
  <c r="V90" i="3" l="1"/>
  <c r="W90" i="3" s="1"/>
  <c r="AE90" i="3"/>
  <c r="L90" i="3"/>
  <c r="AG91" i="3" l="1"/>
  <c r="AH91" i="3"/>
  <c r="U90" i="3"/>
  <c r="D91" i="3" s="1"/>
  <c r="Y89" i="3"/>
  <c r="G91" i="3" l="1"/>
  <c r="E91" i="3"/>
  <c r="H91" i="3" s="1"/>
  <c r="F91" i="3" l="1"/>
  <c r="I91" i="3"/>
  <c r="J91" i="3"/>
  <c r="M91" i="3"/>
  <c r="N91" i="3" s="1"/>
  <c r="K91" i="3"/>
  <c r="V91" i="3" l="1"/>
  <c r="W91" i="3" s="1"/>
  <c r="AE91" i="3"/>
  <c r="L91" i="3"/>
  <c r="AH92" i="3" l="1"/>
  <c r="AG92" i="3"/>
  <c r="U91" i="3"/>
  <c r="D92" i="3" s="1"/>
  <c r="Y90" i="3"/>
  <c r="G92" i="3" l="1"/>
  <c r="E92" i="3"/>
  <c r="H92" i="3" s="1"/>
  <c r="F92" i="3" l="1"/>
  <c r="I92" i="3"/>
  <c r="J92" i="3"/>
  <c r="M92" i="3"/>
  <c r="N92" i="3" s="1"/>
  <c r="K92" i="3"/>
  <c r="V92" i="3" l="1"/>
  <c r="W92" i="3" s="1"/>
  <c r="AE92" i="3"/>
  <c r="L92" i="3"/>
  <c r="U92" i="3" l="1"/>
  <c r="D93" i="3" s="1"/>
  <c r="AH93" i="3"/>
  <c r="AG93" i="3"/>
  <c r="Y91" i="3"/>
  <c r="E93" i="3" l="1"/>
  <c r="H93" i="3" s="1"/>
  <c r="K93" i="3" s="1"/>
  <c r="G93" i="3"/>
  <c r="F93" i="3" l="1"/>
  <c r="I93" i="3"/>
  <c r="J93" i="3"/>
  <c r="M93" i="3"/>
  <c r="N93" i="3" s="1"/>
  <c r="V93" i="3"/>
  <c r="AE93" i="3"/>
  <c r="W93" i="3" l="1"/>
  <c r="L93" i="3"/>
  <c r="AG94" i="3" l="1"/>
  <c r="AH94" i="3"/>
  <c r="U93" i="3"/>
  <c r="D94" i="3" s="1"/>
  <c r="Y92" i="3"/>
  <c r="E94" i="3" l="1"/>
  <c r="H94" i="3" s="1"/>
  <c r="K94" i="3" s="1"/>
  <c r="G94" i="3"/>
  <c r="F94" i="3" l="1"/>
  <c r="I94" i="3"/>
  <c r="J94" i="3"/>
  <c r="M94" i="3"/>
  <c r="N94" i="3" s="1"/>
  <c r="V94" i="3"/>
  <c r="AE94" i="3"/>
  <c r="L94" i="3" l="1"/>
  <c r="W94" i="3"/>
  <c r="U94" i="3" l="1"/>
  <c r="D95" i="3" s="1"/>
  <c r="AG95" i="3"/>
  <c r="AH95" i="3"/>
  <c r="Y93" i="3"/>
  <c r="E95" i="3" l="1"/>
  <c r="H95" i="3" s="1"/>
  <c r="K95" i="3" s="1"/>
  <c r="G95" i="3"/>
  <c r="F95" i="3" l="1"/>
  <c r="I95" i="3"/>
  <c r="J95" i="3"/>
  <c r="M95" i="3"/>
  <c r="N95" i="3" s="1"/>
  <c r="V95" i="3"/>
  <c r="AE95" i="3"/>
  <c r="W95" i="3" l="1"/>
  <c r="L95" i="3"/>
  <c r="AG96" i="3" l="1"/>
  <c r="AH96" i="3"/>
  <c r="U95" i="3"/>
  <c r="D96" i="3" s="1"/>
  <c r="Y94" i="3"/>
  <c r="G96" i="3" l="1"/>
  <c r="E96" i="3"/>
  <c r="H96" i="3" s="1"/>
  <c r="F96" i="3" l="1"/>
  <c r="I96" i="3"/>
  <c r="J96" i="3"/>
  <c r="M96" i="3"/>
  <c r="N96" i="3" s="1"/>
  <c r="K96" i="3"/>
  <c r="L96" i="3" l="1"/>
  <c r="V96" i="3"/>
  <c r="W96" i="3" s="1"/>
  <c r="AE96" i="3"/>
  <c r="AG97" i="3" l="1"/>
  <c r="AH97" i="3"/>
  <c r="U96" i="3"/>
  <c r="E97" i="3" s="1"/>
  <c r="H97" i="3" s="1"/>
  <c r="Y95" i="3"/>
  <c r="K97" i="3" l="1"/>
  <c r="D97" i="3"/>
  <c r="V97" i="3" l="1"/>
  <c r="AE97" i="3"/>
  <c r="F97" i="3"/>
  <c r="G97" i="3"/>
  <c r="I97" i="3" l="1"/>
  <c r="W97" i="3" s="1"/>
  <c r="J97" i="3"/>
  <c r="M97" i="3"/>
  <c r="N97" i="3" s="1"/>
  <c r="L97" i="3" l="1"/>
  <c r="U97" i="3" l="1"/>
  <c r="D98" i="3" s="1"/>
  <c r="AH98" i="3"/>
  <c r="AG98" i="3"/>
  <c r="Y96" i="3"/>
  <c r="G98" i="3" l="1"/>
  <c r="E98" i="3"/>
  <c r="H98" i="3" s="1"/>
  <c r="I98" i="3" l="1"/>
  <c r="J98" i="3"/>
  <c r="M98" i="3"/>
  <c r="N98" i="3" s="1"/>
  <c r="F98" i="3"/>
  <c r="K98" i="3"/>
  <c r="L98" i="3" l="1"/>
  <c r="V98" i="3"/>
  <c r="W98" i="3" s="1"/>
  <c r="AE98" i="3"/>
  <c r="AG99" i="3" l="1"/>
  <c r="AH99" i="3"/>
  <c r="U98" i="3"/>
  <c r="D99" i="3" s="1"/>
  <c r="Y97" i="3"/>
  <c r="G99" i="3" l="1"/>
  <c r="E99" i="3"/>
  <c r="H99" i="3" s="1"/>
  <c r="F99" i="3" l="1"/>
  <c r="I99" i="3"/>
  <c r="J99" i="3"/>
  <c r="M99" i="3"/>
  <c r="N99" i="3" s="1"/>
  <c r="K99" i="3"/>
  <c r="V99" i="3" l="1"/>
  <c r="W99" i="3" s="1"/>
  <c r="AE99" i="3"/>
  <c r="L99" i="3"/>
  <c r="U99" i="3" l="1"/>
  <c r="D100" i="3" s="1"/>
  <c r="AH100" i="3"/>
  <c r="AG100" i="3"/>
  <c r="Y98" i="3"/>
  <c r="E100" i="3" l="1"/>
  <c r="H100" i="3" s="1"/>
  <c r="K100" i="3" s="1"/>
  <c r="G100" i="3"/>
  <c r="F100" i="3" l="1"/>
  <c r="V100" i="3"/>
  <c r="AE100" i="3"/>
  <c r="I100" i="3"/>
  <c r="J100" i="3"/>
  <c r="M100" i="3"/>
  <c r="N100" i="3" s="1"/>
  <c r="W100" i="3" l="1"/>
  <c r="L100" i="3"/>
  <c r="AH101" i="3" l="1"/>
  <c r="U100" i="3"/>
  <c r="E101" i="3" s="1"/>
  <c r="H101" i="3" s="1"/>
  <c r="AG101" i="3"/>
  <c r="Y99" i="3"/>
  <c r="K101" i="3" l="1"/>
  <c r="D101" i="3"/>
  <c r="V101" i="3" l="1"/>
  <c r="AE101" i="3"/>
  <c r="F101" i="3"/>
  <c r="G101" i="3"/>
  <c r="I101" i="3" l="1"/>
  <c r="W101" i="3" s="1"/>
  <c r="J101" i="3"/>
  <c r="M101" i="3"/>
  <c r="N101" i="3" s="1"/>
  <c r="L101" i="3" l="1"/>
  <c r="AH102" i="3" l="1"/>
  <c r="AG102" i="3"/>
  <c r="U101" i="3"/>
  <c r="E102" i="3" s="1"/>
  <c r="H102" i="3" s="1"/>
  <c r="Y100" i="3"/>
  <c r="K102" i="3" l="1"/>
  <c r="D102" i="3"/>
  <c r="V102" i="3" l="1"/>
  <c r="AE102" i="3"/>
  <c r="F102" i="3"/>
  <c r="G102" i="3"/>
  <c r="I102" i="3" l="1"/>
  <c r="W102" i="3" s="1"/>
  <c r="J102" i="3"/>
  <c r="M102" i="3"/>
  <c r="N102" i="3" s="1"/>
  <c r="L102" i="3" l="1"/>
  <c r="AG103" i="3" l="1"/>
  <c r="AH103" i="3"/>
  <c r="U102" i="3"/>
  <c r="E103" i="3" s="1"/>
  <c r="H103" i="3" s="1"/>
  <c r="Y101" i="3"/>
  <c r="K103" i="3" l="1"/>
  <c r="D103" i="3"/>
  <c r="V103" i="3" l="1"/>
  <c r="AE103" i="3"/>
  <c r="F103" i="3"/>
  <c r="G103" i="3"/>
  <c r="I103" i="3" l="1"/>
  <c r="W103" i="3" s="1"/>
  <c r="J103" i="3"/>
  <c r="M103" i="3"/>
  <c r="N103" i="3" s="1"/>
  <c r="L103" i="3" l="1"/>
  <c r="AG104" i="3" l="1"/>
  <c r="AH104" i="3"/>
  <c r="U103" i="3"/>
  <c r="E104" i="3" s="1"/>
  <c r="H104" i="3" s="1"/>
  <c r="Y102" i="3"/>
  <c r="K104" i="3" l="1"/>
  <c r="A105" i="3" s="1"/>
  <c r="B105" i="3" s="1"/>
  <c r="D104" i="3"/>
  <c r="AA105" i="3" l="1"/>
  <c r="P105" i="3"/>
  <c r="Q105" i="3" s="1"/>
  <c r="R105" i="3" s="1"/>
  <c r="S105" i="3" s="1"/>
  <c r="AD105" i="3"/>
  <c r="Z105" i="3"/>
  <c r="AC105" i="3"/>
  <c r="V104" i="3"/>
  <c r="AE104" i="3"/>
  <c r="F104" i="3"/>
  <c r="G104" i="3"/>
  <c r="T105" i="3" l="1"/>
  <c r="I104" i="3"/>
  <c r="W104" i="3" s="1"/>
  <c r="J104" i="3"/>
  <c r="M104" i="3"/>
  <c r="N104" i="3" s="1"/>
  <c r="L104" i="3" l="1"/>
  <c r="AD104" i="3"/>
  <c r="U104" i="3" l="1"/>
  <c r="E105" i="3" s="1"/>
  <c r="H105" i="3" s="1"/>
  <c r="AG105" i="3"/>
  <c r="AH105" i="3"/>
  <c r="Y103" i="3"/>
  <c r="D105" i="3" l="1"/>
  <c r="G105" i="3" s="1"/>
  <c r="K105" i="3"/>
  <c r="A106" i="3" s="1"/>
  <c r="B106" i="3" s="1"/>
  <c r="Z106" i="3" l="1"/>
  <c r="AC106" i="3"/>
  <c r="AA106" i="3"/>
  <c r="AD106" i="3"/>
  <c r="P106" i="3"/>
  <c r="Q106" i="3" s="1"/>
  <c r="R106" i="3" s="1"/>
  <c r="S106" i="3" s="1"/>
  <c r="F105" i="3"/>
  <c r="V105" i="3"/>
  <c r="AE105" i="3"/>
  <c r="I105" i="3"/>
  <c r="J105" i="3"/>
  <c r="M105" i="3"/>
  <c r="N105" i="3" s="1"/>
  <c r="T106" i="3" l="1"/>
  <c r="W105" i="3"/>
  <c r="L105" i="3"/>
  <c r="AH106" i="3" l="1"/>
  <c r="AG106" i="3"/>
  <c r="U105" i="3"/>
  <c r="D106" i="3" s="1"/>
  <c r="Y104" i="3"/>
  <c r="E106" i="3" l="1"/>
  <c r="H106" i="3" s="1"/>
  <c r="K106" i="3" s="1"/>
  <c r="A107" i="3" s="1"/>
  <c r="B107" i="3" s="1"/>
  <c r="G106" i="3"/>
  <c r="Z107" i="3" l="1"/>
  <c r="AA107" i="3"/>
  <c r="AC107" i="3"/>
  <c r="P107" i="3"/>
  <c r="Q107" i="3" s="1"/>
  <c r="R107" i="3" s="1"/>
  <c r="S107" i="3" s="1"/>
  <c r="AD107" i="3"/>
  <c r="F106" i="3"/>
  <c r="V106" i="3"/>
  <c r="AE106" i="3"/>
  <c r="I106" i="3"/>
  <c r="J106" i="3"/>
  <c r="M106" i="3"/>
  <c r="N106" i="3" s="1"/>
  <c r="T107" i="3" l="1"/>
  <c r="W106" i="3"/>
  <c r="L106" i="3"/>
  <c r="AG107" i="3" l="1"/>
  <c r="AH107" i="3"/>
  <c r="U106" i="3"/>
  <c r="E107" i="3" s="1"/>
  <c r="H107" i="3" s="1"/>
  <c r="Y105" i="3"/>
  <c r="K107" i="3" l="1"/>
  <c r="A108" i="3" s="1"/>
  <c r="B108" i="3" s="1"/>
  <c r="D107" i="3"/>
  <c r="AA108" i="3" l="1"/>
  <c r="AC108" i="3"/>
  <c r="AD108" i="3"/>
  <c r="Z108" i="3"/>
  <c r="P108" i="3"/>
  <c r="Q108" i="3" s="1"/>
  <c r="R108" i="3" s="1"/>
  <c r="S108" i="3" s="1"/>
  <c r="V107" i="3"/>
  <c r="AE107" i="3"/>
  <c r="F107" i="3"/>
  <c r="G107" i="3"/>
  <c r="T108" i="3" l="1"/>
  <c r="I107" i="3"/>
  <c r="W107" i="3" s="1"/>
  <c r="J107" i="3"/>
  <c r="M107" i="3"/>
  <c r="N107" i="3" s="1"/>
  <c r="L107" i="3" l="1"/>
  <c r="AH108" i="3" l="1"/>
  <c r="U107" i="3"/>
  <c r="E108" i="3" s="1"/>
  <c r="H108" i="3" s="1"/>
  <c r="AG108" i="3"/>
  <c r="Y106" i="3"/>
  <c r="D108" i="3" l="1"/>
  <c r="G108" i="3" s="1"/>
  <c r="K108" i="3"/>
  <c r="A109" i="3" s="1"/>
  <c r="B109" i="3" s="1"/>
  <c r="P109" i="3" l="1"/>
  <c r="Q109" i="3" s="1"/>
  <c r="R109" i="3" s="1"/>
  <c r="S109" i="3" s="1"/>
  <c r="AA109" i="3"/>
  <c r="Z109" i="3"/>
  <c r="AD109" i="3"/>
  <c r="AC109" i="3"/>
  <c r="F108" i="3"/>
  <c r="I108" i="3"/>
  <c r="J108" i="3"/>
  <c r="M108" i="3"/>
  <c r="N108" i="3" s="1"/>
  <c r="V108" i="3"/>
  <c r="AE108" i="3"/>
  <c r="T109" i="3" l="1"/>
  <c r="W108" i="3"/>
  <c r="L108" i="3"/>
  <c r="AG109" i="3" l="1"/>
  <c r="U108" i="3"/>
  <c r="D109" i="3" s="1"/>
  <c r="AH109" i="3"/>
  <c r="Y107" i="3"/>
  <c r="E109" i="3" l="1"/>
  <c r="H109" i="3" s="1"/>
  <c r="K109" i="3" s="1"/>
  <c r="A110" i="3" s="1"/>
  <c r="B110" i="3" s="1"/>
  <c r="G109" i="3"/>
  <c r="AD110" i="3" l="1"/>
  <c r="P110" i="3"/>
  <c r="Q110" i="3" s="1"/>
  <c r="R110" i="3" s="1"/>
  <c r="S110" i="3" s="1"/>
  <c r="AA110" i="3"/>
  <c r="Z110" i="3"/>
  <c r="AC110" i="3"/>
  <c r="F109" i="3"/>
  <c r="V109" i="3"/>
  <c r="AE109" i="3"/>
  <c r="I109" i="3"/>
  <c r="J109" i="3"/>
  <c r="M109" i="3"/>
  <c r="N109" i="3" s="1"/>
  <c r="T110" i="3" l="1"/>
  <c r="L109" i="3"/>
  <c r="W109" i="3"/>
  <c r="AH110" i="3" l="1"/>
  <c r="AG110" i="3"/>
  <c r="U109" i="3"/>
  <c r="D110" i="3" s="1"/>
  <c r="Y108" i="3"/>
  <c r="E110" i="3" l="1"/>
  <c r="H110" i="3" s="1"/>
  <c r="K110" i="3" s="1"/>
  <c r="A111" i="3" s="1"/>
  <c r="B111" i="3" s="1"/>
  <c r="G110" i="3"/>
  <c r="AA111" i="3" l="1"/>
  <c r="AC111" i="3"/>
  <c r="P111" i="3"/>
  <c r="Q111" i="3" s="1"/>
  <c r="R111" i="3" s="1"/>
  <c r="S111" i="3" s="1"/>
  <c r="Z111" i="3"/>
  <c r="AD111" i="3"/>
  <c r="F110" i="3"/>
  <c r="I110" i="3"/>
  <c r="J110" i="3"/>
  <c r="M110" i="3"/>
  <c r="N110" i="3" s="1"/>
  <c r="V110" i="3"/>
  <c r="AE110" i="3"/>
  <c r="T111" i="3" l="1"/>
  <c r="W110" i="3"/>
  <c r="L110" i="3"/>
  <c r="AH111" i="3" l="1"/>
  <c r="U110" i="3"/>
  <c r="E111" i="3" s="1"/>
  <c r="H111" i="3" s="1"/>
  <c r="AG111" i="3"/>
  <c r="Y109" i="3"/>
  <c r="D111" i="3" l="1"/>
  <c r="G111" i="3" s="1"/>
  <c r="K111" i="3"/>
  <c r="A112" i="3" s="1"/>
  <c r="B112" i="3" s="1"/>
  <c r="AD112" i="3" l="1"/>
  <c r="AA112" i="3"/>
  <c r="AC112" i="3"/>
  <c r="P112" i="3"/>
  <c r="Q112" i="3" s="1"/>
  <c r="R112" i="3" s="1"/>
  <c r="S112" i="3" s="1"/>
  <c r="Z112" i="3"/>
  <c r="F111" i="3"/>
  <c r="I111" i="3"/>
  <c r="J111" i="3"/>
  <c r="M111" i="3"/>
  <c r="N111" i="3" s="1"/>
  <c r="V111" i="3"/>
  <c r="AE111" i="3"/>
  <c r="T112" i="3" l="1"/>
  <c r="W111" i="3"/>
  <c r="L111" i="3"/>
  <c r="AH112" i="3" l="1"/>
  <c r="U111" i="3"/>
  <c r="D112" i="3" s="1"/>
  <c r="AG112" i="3"/>
  <c r="Y110" i="3"/>
  <c r="E112" i="3" l="1"/>
  <c r="H112" i="3" s="1"/>
  <c r="K112" i="3" s="1"/>
  <c r="A113" i="3" s="1"/>
  <c r="B113" i="3" s="1"/>
  <c r="G112" i="3"/>
  <c r="AC113" i="3" l="1"/>
  <c r="AA113" i="3"/>
  <c r="Z113" i="3"/>
  <c r="P113" i="3"/>
  <c r="Q113" i="3" s="1"/>
  <c r="R113" i="3" s="1"/>
  <c r="S113" i="3" s="1"/>
  <c r="AD113" i="3"/>
  <c r="F112" i="3"/>
  <c r="V112" i="3"/>
  <c r="AE112" i="3"/>
  <c r="I112" i="3"/>
  <c r="J112" i="3"/>
  <c r="M112" i="3"/>
  <c r="N112" i="3" s="1"/>
  <c r="T113" i="3" l="1"/>
  <c r="W112" i="3"/>
  <c r="L112" i="3"/>
  <c r="AG113" i="3" l="1"/>
  <c r="U112" i="3"/>
  <c r="E113" i="3" s="1"/>
  <c r="H113" i="3" s="1"/>
  <c r="AH113" i="3"/>
  <c r="Y111" i="3"/>
  <c r="D113" i="3" l="1"/>
  <c r="G113" i="3" s="1"/>
  <c r="K113" i="3"/>
  <c r="A114" i="3" s="1"/>
  <c r="B114" i="3" s="1"/>
  <c r="Z114" i="3" l="1"/>
  <c r="AC114" i="3"/>
  <c r="AA114" i="3"/>
  <c r="P114" i="3"/>
  <c r="Q114" i="3" s="1"/>
  <c r="R114" i="3" s="1"/>
  <c r="S114" i="3" s="1"/>
  <c r="F113" i="3"/>
  <c r="V113" i="3"/>
  <c r="AE113" i="3"/>
  <c r="I113" i="3"/>
  <c r="J113" i="3"/>
  <c r="M113" i="3"/>
  <c r="N113" i="3" s="1"/>
  <c r="T114" i="3" l="1"/>
  <c r="W113" i="3"/>
  <c r="L113" i="3"/>
  <c r="AH114" i="3" l="1"/>
  <c r="U113" i="3"/>
  <c r="D114" i="3" s="1"/>
  <c r="AG114" i="3"/>
  <c r="Y112" i="3"/>
  <c r="E114" i="3" l="1"/>
  <c r="H114" i="3" s="1"/>
  <c r="K114" i="3" s="1"/>
  <c r="A115" i="3" s="1"/>
  <c r="B115" i="3" s="1"/>
  <c r="G114" i="3"/>
  <c r="AA115" i="3" l="1"/>
  <c r="AD115" i="3"/>
  <c r="P115" i="3"/>
  <c r="Q115" i="3" s="1"/>
  <c r="R115" i="3" s="1"/>
  <c r="S115" i="3" s="1"/>
  <c r="Z115" i="3"/>
  <c r="AC115" i="3"/>
  <c r="F114" i="3"/>
  <c r="I114" i="3"/>
  <c r="J114" i="3"/>
  <c r="AD114" i="3" s="1"/>
  <c r="M114" i="3"/>
  <c r="N114" i="3" s="1"/>
  <c r="V114" i="3"/>
  <c r="AE114" i="3"/>
  <c r="T115" i="3" l="1"/>
  <c r="W114" i="3"/>
  <c r="L114" i="3"/>
  <c r="U114" i="3" l="1"/>
  <c r="D115" i="3" s="1"/>
  <c r="AH115" i="3"/>
  <c r="AG115" i="3"/>
  <c r="Y113" i="3"/>
  <c r="G115" i="3" l="1"/>
  <c r="E115" i="3"/>
  <c r="H115" i="3" s="1"/>
  <c r="F115" i="3" l="1"/>
  <c r="I115" i="3"/>
  <c r="J115" i="3"/>
  <c r="M115" i="3"/>
  <c r="N115" i="3" s="1"/>
  <c r="K115" i="3"/>
  <c r="A116" i="3" s="1"/>
  <c r="B116" i="3" s="1"/>
  <c r="AD116" i="3" l="1"/>
  <c r="AA116" i="3"/>
  <c r="AC116" i="3"/>
  <c r="Z116" i="3"/>
  <c r="P116" i="3"/>
  <c r="Q116" i="3" s="1"/>
  <c r="R116" i="3" s="1"/>
  <c r="S116" i="3" s="1"/>
  <c r="V115" i="3"/>
  <c r="W115" i="3" s="1"/>
  <c r="AE115" i="3"/>
  <c r="L115" i="3"/>
  <c r="T116" i="3" l="1"/>
  <c r="AH116" i="3" s="1"/>
  <c r="U115" i="3"/>
  <c r="Y114" i="3"/>
  <c r="AG116" i="3" l="1"/>
  <c r="E116" i="3"/>
  <c r="H116" i="3" s="1"/>
  <c r="K116" i="3" s="1"/>
  <c r="A117" i="3" s="1"/>
  <c r="B117" i="3" s="1"/>
  <c r="D116" i="3"/>
  <c r="P117" i="3" l="1"/>
  <c r="Q117" i="3" s="1"/>
  <c r="R117" i="3" s="1"/>
  <c r="S117" i="3" s="1"/>
  <c r="AC117" i="3"/>
  <c r="AD117" i="3"/>
  <c r="AA117" i="3"/>
  <c r="Z117" i="3"/>
  <c r="V116" i="3"/>
  <c r="AE116" i="3"/>
  <c r="F116" i="3"/>
  <c r="G116" i="3"/>
  <c r="T117" i="3" l="1"/>
  <c r="I116" i="3"/>
  <c r="W116" i="3" s="1"/>
  <c r="J116" i="3"/>
  <c r="M116" i="3"/>
  <c r="N116" i="3" s="1"/>
  <c r="L116" i="3" l="1"/>
  <c r="U116" i="3" l="1"/>
  <c r="D117" i="3" s="1"/>
  <c r="AH117" i="3"/>
  <c r="AG117" i="3"/>
  <c r="Y115" i="3"/>
  <c r="E117" i="3" l="1"/>
  <c r="H117" i="3" s="1"/>
  <c r="K117" i="3" s="1"/>
  <c r="A118" i="3" s="1"/>
  <c r="B118" i="3" s="1"/>
  <c r="G117" i="3"/>
  <c r="P118" i="3" l="1"/>
  <c r="Q118" i="3" s="1"/>
  <c r="R118" i="3" s="1"/>
  <c r="S118" i="3" s="1"/>
  <c r="Z118" i="3"/>
  <c r="AA118" i="3"/>
  <c r="AC118" i="3"/>
  <c r="AD118" i="3"/>
  <c r="F117" i="3"/>
  <c r="I117" i="3"/>
  <c r="J117" i="3"/>
  <c r="M117" i="3"/>
  <c r="N117" i="3" s="1"/>
  <c r="V117" i="3"/>
  <c r="AE117" i="3"/>
  <c r="T118" i="3" l="1"/>
  <c r="W117" i="3"/>
  <c r="L117" i="3"/>
  <c r="AG118" i="3" l="1"/>
  <c r="U117" i="3"/>
  <c r="D118" i="3" s="1"/>
  <c r="AH118" i="3"/>
  <c r="Y116" i="3"/>
  <c r="E118" i="3" l="1"/>
  <c r="H118" i="3" s="1"/>
  <c r="K118" i="3" s="1"/>
  <c r="A119" i="3" s="1"/>
  <c r="B119" i="3" s="1"/>
  <c r="G118" i="3"/>
  <c r="AD119" i="3" l="1"/>
  <c r="Z119" i="3"/>
  <c r="AA119" i="3"/>
  <c r="P119" i="3"/>
  <c r="Q119" i="3" s="1"/>
  <c r="R119" i="3" s="1"/>
  <c r="S119" i="3" s="1"/>
  <c r="AC119" i="3"/>
  <c r="F118" i="3"/>
  <c r="I118" i="3"/>
  <c r="J118" i="3"/>
  <c r="M118" i="3"/>
  <c r="N118" i="3" s="1"/>
  <c r="V118" i="3"/>
  <c r="AE118" i="3"/>
  <c r="T119" i="3" l="1"/>
  <c r="L118" i="3"/>
  <c r="W118" i="3"/>
  <c r="U118" i="3" l="1"/>
  <c r="E119" i="3" s="1"/>
  <c r="H119" i="3" s="1"/>
  <c r="AG119" i="3"/>
  <c r="AH119" i="3"/>
  <c r="Y117" i="3"/>
  <c r="D119" i="3" l="1"/>
  <c r="F119" i="3" s="1"/>
  <c r="K119" i="3"/>
  <c r="A120" i="3" s="1"/>
  <c r="B120" i="3" s="1"/>
  <c r="P120" i="3" l="1"/>
  <c r="Q120" i="3" s="1"/>
  <c r="R120" i="3" s="1"/>
  <c r="S120" i="3" s="1"/>
  <c r="Z120" i="3"/>
  <c r="AA120" i="3"/>
  <c r="AC120" i="3"/>
  <c r="AD120" i="3"/>
  <c r="G119" i="3"/>
  <c r="M119" i="3" s="1"/>
  <c r="N119" i="3" s="1"/>
  <c r="V119" i="3"/>
  <c r="AE119" i="3"/>
  <c r="T120" i="3" l="1"/>
  <c r="I119" i="3"/>
  <c r="W119" i="3" s="1"/>
  <c r="J119" i="3"/>
  <c r="L119" i="3" s="1"/>
  <c r="AH120" i="3" l="1"/>
  <c r="U119" i="3"/>
  <c r="D120" i="3" s="1"/>
  <c r="AG120" i="3"/>
  <c r="Y118" i="3"/>
  <c r="E120" i="3" l="1"/>
  <c r="H120" i="3" s="1"/>
  <c r="K120" i="3" s="1"/>
  <c r="A121" i="3" s="1"/>
  <c r="B121" i="3" s="1"/>
  <c r="G120" i="3"/>
  <c r="P121" i="3" l="1"/>
  <c r="Q121" i="3" s="1"/>
  <c r="R121" i="3" s="1"/>
  <c r="S121" i="3" s="1"/>
  <c r="AC121" i="3"/>
  <c r="AA121" i="3"/>
  <c r="Z121" i="3"/>
  <c r="AD121" i="3"/>
  <c r="F120" i="3"/>
  <c r="I120" i="3"/>
  <c r="J120" i="3"/>
  <c r="M120" i="3"/>
  <c r="N120" i="3" s="1"/>
  <c r="V120" i="3"/>
  <c r="AE120" i="3"/>
  <c r="T121" i="3" l="1"/>
  <c r="W120" i="3"/>
  <c r="L120" i="3"/>
  <c r="U120" i="3" l="1"/>
  <c r="E121" i="3" s="1"/>
  <c r="H121" i="3" s="1"/>
  <c r="AH121" i="3"/>
  <c r="AG121" i="3"/>
  <c r="Y119" i="3"/>
  <c r="D121" i="3" l="1"/>
  <c r="G121" i="3" s="1"/>
  <c r="K121" i="3"/>
  <c r="A122" i="3" s="1"/>
  <c r="B122" i="3" s="1"/>
  <c r="AA122" i="3" l="1"/>
  <c r="AD122" i="3"/>
  <c r="Z122" i="3"/>
  <c r="P122" i="3"/>
  <c r="Q122" i="3" s="1"/>
  <c r="R122" i="3" s="1"/>
  <c r="S122" i="3" s="1"/>
  <c r="AC122" i="3"/>
  <c r="F121" i="3"/>
  <c r="I121" i="3"/>
  <c r="J121" i="3"/>
  <c r="M121" i="3"/>
  <c r="N121" i="3" s="1"/>
  <c r="V121" i="3"/>
  <c r="AE121" i="3"/>
  <c r="T122" i="3" l="1"/>
  <c r="L121" i="3"/>
  <c r="W121" i="3"/>
  <c r="U121" i="3" l="1"/>
  <c r="D122" i="3" s="1"/>
  <c r="AG122" i="3"/>
  <c r="AH122" i="3"/>
  <c r="Y120" i="3"/>
  <c r="G122" i="3" l="1"/>
  <c r="E122" i="3"/>
  <c r="H122" i="3" s="1"/>
  <c r="F122" i="3" l="1"/>
  <c r="K122" i="3"/>
  <c r="A123" i="3" s="1"/>
  <c r="B123" i="3" s="1"/>
  <c r="I122" i="3"/>
  <c r="J122" i="3"/>
  <c r="M122" i="3"/>
  <c r="N122" i="3" s="1"/>
  <c r="P123" i="3" l="1"/>
  <c r="Q123" i="3" s="1"/>
  <c r="R123" i="3" s="1"/>
  <c r="S123" i="3" s="1"/>
  <c r="Z123" i="3"/>
  <c r="AC123" i="3"/>
  <c r="AD123" i="3"/>
  <c r="AA123" i="3"/>
  <c r="L122" i="3"/>
  <c r="V122" i="3"/>
  <c r="W122" i="3" s="1"/>
  <c r="AE122" i="3"/>
  <c r="T123" i="3" l="1"/>
  <c r="AG123" i="3" s="1"/>
  <c r="U122" i="3"/>
  <c r="Y121" i="3"/>
  <c r="AH123" i="3" l="1"/>
  <c r="D123" i="3"/>
  <c r="G123" i="3" s="1"/>
  <c r="E123" i="3"/>
  <c r="H123" i="3" s="1"/>
  <c r="I123" i="3" l="1"/>
  <c r="J123" i="3"/>
  <c r="M123" i="3"/>
  <c r="N123" i="3" s="1"/>
  <c r="K123" i="3"/>
  <c r="A124" i="3" s="1"/>
  <c r="B124" i="3" s="1"/>
  <c r="F123" i="3"/>
  <c r="AC124" i="3" l="1"/>
  <c r="AA124" i="3"/>
  <c r="Z124" i="3"/>
  <c r="P124" i="3"/>
  <c r="Q124" i="3" s="1"/>
  <c r="R124" i="3" s="1"/>
  <c r="S124" i="3" s="1"/>
  <c r="V123" i="3"/>
  <c r="W123" i="3" s="1"/>
  <c r="AE123" i="3"/>
  <c r="L123" i="3"/>
  <c r="T124" i="3" l="1"/>
  <c r="AG124" i="3" s="1"/>
  <c r="U123" i="3"/>
  <c r="Y122" i="3"/>
  <c r="AH124" i="3" l="1"/>
  <c r="D124" i="3"/>
  <c r="G124" i="3" s="1"/>
  <c r="E124" i="3"/>
  <c r="H124" i="3" s="1"/>
  <c r="K124" i="3" s="1"/>
  <c r="A125" i="3" s="1"/>
  <c r="B125" i="3" s="1"/>
  <c r="Z125" i="3" l="1"/>
  <c r="AD125" i="3"/>
  <c r="AC125" i="3"/>
  <c r="AA125" i="3"/>
  <c r="P125" i="3"/>
  <c r="Q125" i="3" s="1"/>
  <c r="R125" i="3" s="1"/>
  <c r="S125" i="3" s="1"/>
  <c r="F124" i="3"/>
  <c r="I124" i="3"/>
  <c r="J124" i="3"/>
  <c r="AD124" i="3" s="1"/>
  <c r="M124" i="3"/>
  <c r="N124" i="3" s="1"/>
  <c r="V124" i="3"/>
  <c r="AE124" i="3"/>
  <c r="T125" i="3" l="1"/>
  <c r="W124" i="3"/>
  <c r="L124" i="3"/>
  <c r="U124" i="3" l="1"/>
  <c r="E125" i="3" s="1"/>
  <c r="H125" i="3" s="1"/>
  <c r="AH125" i="3"/>
  <c r="AG125" i="3"/>
  <c r="Y123" i="3"/>
  <c r="K125" i="3" l="1"/>
  <c r="A126" i="3" s="1"/>
  <c r="B126" i="3" s="1"/>
  <c r="D125" i="3"/>
  <c r="AA126" i="3" l="1"/>
  <c r="P126" i="3"/>
  <c r="Q126" i="3" s="1"/>
  <c r="R126" i="3" s="1"/>
  <c r="S126" i="3" s="1"/>
  <c r="Z126" i="3"/>
  <c r="AD126" i="3"/>
  <c r="AC126" i="3"/>
  <c r="V125" i="3"/>
  <c r="AE125" i="3"/>
  <c r="F125" i="3"/>
  <c r="G125" i="3"/>
  <c r="T126" i="3" l="1"/>
  <c r="I125" i="3"/>
  <c r="W125" i="3" s="1"/>
  <c r="J125" i="3"/>
  <c r="M125" i="3"/>
  <c r="N125" i="3" s="1"/>
  <c r="L125" i="3" l="1"/>
  <c r="AG126" i="3" l="1"/>
  <c r="AH126" i="3"/>
  <c r="U125" i="3"/>
  <c r="D126" i="3" s="1"/>
  <c r="Y124" i="3"/>
  <c r="E126" i="3" l="1"/>
  <c r="H126" i="3" s="1"/>
  <c r="K126" i="3" s="1"/>
  <c r="A127" i="3" s="1"/>
  <c r="B127" i="3" s="1"/>
  <c r="G126" i="3"/>
  <c r="AC127" i="3" l="1"/>
  <c r="P127" i="3"/>
  <c r="Q127" i="3" s="1"/>
  <c r="R127" i="3" s="1"/>
  <c r="S127" i="3" s="1"/>
  <c r="AA127" i="3"/>
  <c r="Z127" i="3"/>
  <c r="AD127" i="3"/>
  <c r="F126" i="3"/>
  <c r="I126" i="3"/>
  <c r="J126" i="3"/>
  <c r="M126" i="3"/>
  <c r="N126" i="3" s="1"/>
  <c r="V126" i="3"/>
  <c r="AE126" i="3"/>
  <c r="T127" i="3" l="1"/>
  <c r="W126" i="3"/>
  <c r="L126" i="3"/>
  <c r="U126" i="3" l="1"/>
  <c r="E127" i="3" s="1"/>
  <c r="H127" i="3" s="1"/>
  <c r="AH127" i="3"/>
  <c r="AG127" i="3"/>
  <c r="Y125" i="3"/>
  <c r="D127" i="3" l="1"/>
  <c r="G127" i="3" s="1"/>
  <c r="K127" i="3"/>
  <c r="A128" i="3" s="1"/>
  <c r="B128" i="3" s="1"/>
  <c r="Z128" i="3" l="1"/>
  <c r="AC128" i="3"/>
  <c r="AD128" i="3"/>
  <c r="P128" i="3"/>
  <c r="Q128" i="3" s="1"/>
  <c r="R128" i="3" s="1"/>
  <c r="S128" i="3" s="1"/>
  <c r="AA128" i="3"/>
  <c r="F127" i="3"/>
  <c r="I127" i="3"/>
  <c r="J127" i="3"/>
  <c r="M127" i="3"/>
  <c r="N127" i="3" s="1"/>
  <c r="V127" i="3"/>
  <c r="AE127" i="3"/>
  <c r="T128" i="3" l="1"/>
  <c r="W127" i="3"/>
  <c r="L127" i="3"/>
  <c r="AH128" i="3" l="1"/>
  <c r="U127" i="3"/>
  <c r="E128" i="3" s="1"/>
  <c r="H128" i="3" s="1"/>
  <c r="AG128" i="3"/>
  <c r="Y126" i="3"/>
  <c r="D128" i="3" l="1"/>
  <c r="G128" i="3" s="1"/>
  <c r="K128" i="3"/>
  <c r="A129" i="3" s="1"/>
  <c r="B129" i="3" s="1"/>
  <c r="AA129" i="3" l="1"/>
  <c r="AC129" i="3"/>
  <c r="Z129" i="3"/>
  <c r="AD129" i="3"/>
  <c r="P129" i="3"/>
  <c r="Q129" i="3" s="1"/>
  <c r="R129" i="3" s="1"/>
  <c r="S129" i="3" s="1"/>
  <c r="F128" i="3"/>
  <c r="I128" i="3"/>
  <c r="J128" i="3"/>
  <c r="M128" i="3"/>
  <c r="N128" i="3" s="1"/>
  <c r="V128" i="3"/>
  <c r="AE128" i="3"/>
  <c r="T129" i="3" l="1"/>
  <c r="W128" i="3"/>
  <c r="L128" i="3"/>
  <c r="AH129" i="3" l="1"/>
  <c r="U128" i="3"/>
  <c r="D129" i="3" s="1"/>
  <c r="AG129" i="3"/>
  <c r="Y127" i="3"/>
  <c r="G129" i="3" l="1"/>
  <c r="E129" i="3"/>
  <c r="H129" i="3" s="1"/>
  <c r="F129" i="3" l="1"/>
  <c r="I129" i="3"/>
  <c r="J129" i="3"/>
  <c r="M129" i="3"/>
  <c r="N129" i="3" s="1"/>
  <c r="K129" i="3"/>
  <c r="A130" i="3" s="1"/>
  <c r="B130" i="3" s="1"/>
  <c r="AD130" i="3" l="1"/>
  <c r="P130" i="3"/>
  <c r="Q130" i="3" s="1"/>
  <c r="R130" i="3" s="1"/>
  <c r="S130" i="3" s="1"/>
  <c r="AA130" i="3"/>
  <c r="Z130" i="3"/>
  <c r="AC130" i="3"/>
  <c r="V129" i="3"/>
  <c r="W129" i="3" s="1"/>
  <c r="AE129" i="3"/>
  <c r="L129" i="3"/>
  <c r="T130" i="3" l="1"/>
  <c r="AH130" i="3" s="1"/>
  <c r="U129" i="3"/>
  <c r="Y128" i="3"/>
  <c r="AG130" i="3" l="1"/>
  <c r="E130" i="3"/>
  <c r="H130" i="3" s="1"/>
  <c r="K130" i="3" s="1"/>
  <c r="A131" i="3" s="1"/>
  <c r="B131" i="3" s="1"/>
  <c r="D130" i="3"/>
  <c r="G130" i="3" s="1"/>
  <c r="AC131" i="3" l="1"/>
  <c r="Z131" i="3"/>
  <c r="AA131" i="3"/>
  <c r="P131" i="3"/>
  <c r="Q131" i="3" s="1"/>
  <c r="R131" i="3" s="1"/>
  <c r="S131" i="3" s="1"/>
  <c r="AD131" i="3"/>
  <c r="F130" i="3"/>
  <c r="V130" i="3"/>
  <c r="AE130" i="3"/>
  <c r="I130" i="3"/>
  <c r="J130" i="3"/>
  <c r="M130" i="3"/>
  <c r="N130" i="3" s="1"/>
  <c r="T131" i="3" l="1"/>
  <c r="L130" i="3"/>
  <c r="W130" i="3"/>
  <c r="U130" i="3" l="1"/>
  <c r="E131" i="3" s="1"/>
  <c r="H131" i="3" s="1"/>
  <c r="AH131" i="3"/>
  <c r="AG131" i="3"/>
  <c r="Y129" i="3"/>
  <c r="D131" i="3" l="1"/>
  <c r="F131" i="3" s="1"/>
  <c r="K131" i="3"/>
  <c r="A132" i="3" s="1"/>
  <c r="B132" i="3" s="1"/>
  <c r="AD132" i="3" l="1"/>
  <c r="P132" i="3"/>
  <c r="Q132" i="3" s="1"/>
  <c r="R132" i="3" s="1"/>
  <c r="S132" i="3" s="1"/>
  <c r="Z132" i="3"/>
  <c r="AA132" i="3"/>
  <c r="AC132" i="3"/>
  <c r="G131" i="3"/>
  <c r="M131" i="3" s="1"/>
  <c r="N131" i="3" s="1"/>
  <c r="V131" i="3"/>
  <c r="AE131" i="3"/>
  <c r="T132" i="3" l="1"/>
  <c r="J131" i="3"/>
  <c r="L131" i="3" s="1"/>
  <c r="I131" i="3"/>
  <c r="W131" i="3" s="1"/>
  <c r="U131" i="3" l="1"/>
  <c r="E132" i="3" s="1"/>
  <c r="H132" i="3" s="1"/>
  <c r="AH132" i="3"/>
  <c r="AG132" i="3"/>
  <c r="Y130" i="3"/>
  <c r="K132" i="3" l="1"/>
  <c r="A133" i="3" s="1"/>
  <c r="B133" i="3" s="1"/>
  <c r="D132" i="3"/>
  <c r="P133" i="3" l="1"/>
  <c r="Q133" i="3" s="1"/>
  <c r="R133" i="3" s="1"/>
  <c r="S133" i="3" s="1"/>
  <c r="Z133" i="3"/>
  <c r="AC133" i="3"/>
  <c r="AD133" i="3"/>
  <c r="AA133" i="3"/>
  <c r="V132" i="3"/>
  <c r="AE132" i="3"/>
  <c r="F132" i="3"/>
  <c r="G132" i="3"/>
  <c r="T133" i="3" l="1"/>
  <c r="I132" i="3"/>
  <c r="W132" i="3" s="1"/>
  <c r="J132" i="3"/>
  <c r="M132" i="3"/>
  <c r="N132" i="3" s="1"/>
  <c r="L132" i="3" l="1"/>
  <c r="U132" i="3" l="1"/>
  <c r="D133" i="3" s="1"/>
  <c r="AH133" i="3"/>
  <c r="AG133" i="3"/>
  <c r="Y131" i="3"/>
  <c r="E133" i="3" l="1"/>
  <c r="H133" i="3" s="1"/>
  <c r="K133" i="3" s="1"/>
  <c r="A134" i="3" s="1"/>
  <c r="B134" i="3" s="1"/>
  <c r="G133" i="3"/>
  <c r="P134" i="3" l="1"/>
  <c r="Q134" i="3" s="1"/>
  <c r="R134" i="3" s="1"/>
  <c r="S134" i="3" s="1"/>
  <c r="AC134" i="3"/>
  <c r="AA134" i="3"/>
  <c r="Z134" i="3"/>
  <c r="F133" i="3"/>
  <c r="V133" i="3"/>
  <c r="AE133" i="3"/>
  <c r="I133" i="3"/>
  <c r="J133" i="3"/>
  <c r="M133" i="3"/>
  <c r="N133" i="3" s="1"/>
  <c r="T134" i="3" l="1"/>
  <c r="W133" i="3"/>
  <c r="L133" i="3"/>
  <c r="AG134" i="3" l="1"/>
  <c r="U133" i="3"/>
  <c r="D134" i="3" s="1"/>
  <c r="AH134" i="3"/>
  <c r="Y132" i="3"/>
  <c r="E134" i="3" l="1"/>
  <c r="H134" i="3" s="1"/>
  <c r="K134" i="3" s="1"/>
  <c r="A135" i="3" s="1"/>
  <c r="B135" i="3" s="1"/>
  <c r="G134" i="3"/>
  <c r="P135" i="3" l="1"/>
  <c r="Q135" i="3" s="1"/>
  <c r="R135" i="3" s="1"/>
  <c r="S135" i="3" s="1"/>
  <c r="AA135" i="3"/>
  <c r="AC135" i="3"/>
  <c r="Z135" i="3"/>
  <c r="AD135" i="3"/>
  <c r="F134" i="3"/>
  <c r="I134" i="3"/>
  <c r="J134" i="3"/>
  <c r="AD134" i="3" s="1"/>
  <c r="M134" i="3"/>
  <c r="N134" i="3" s="1"/>
  <c r="V134" i="3"/>
  <c r="AE134" i="3"/>
  <c r="T135" i="3" l="1"/>
  <c r="W134" i="3"/>
  <c r="L134" i="3"/>
  <c r="U134" i="3" l="1"/>
  <c r="E135" i="3" s="1"/>
  <c r="H135" i="3" s="1"/>
  <c r="AH135" i="3"/>
  <c r="AG135" i="3"/>
  <c r="Y133" i="3"/>
  <c r="K135" i="3" l="1"/>
  <c r="A136" i="3" s="1"/>
  <c r="B136" i="3" s="1"/>
  <c r="D135" i="3"/>
  <c r="P136" i="3" l="1"/>
  <c r="Q136" i="3" s="1"/>
  <c r="R136" i="3" s="1"/>
  <c r="S136" i="3" s="1"/>
  <c r="Z136" i="3"/>
  <c r="AD136" i="3"/>
  <c r="AC136" i="3"/>
  <c r="AA136" i="3"/>
  <c r="V135" i="3"/>
  <c r="AE135" i="3"/>
  <c r="F135" i="3"/>
  <c r="G135" i="3"/>
  <c r="T136" i="3" l="1"/>
  <c r="I135" i="3"/>
  <c r="W135" i="3" s="1"/>
  <c r="J135" i="3"/>
  <c r="M135" i="3"/>
  <c r="N135" i="3" s="1"/>
  <c r="L135" i="3" l="1"/>
  <c r="AH136" i="3" l="1"/>
  <c r="U135" i="3"/>
  <c r="D136" i="3" s="1"/>
  <c r="AG136" i="3"/>
  <c r="Y134" i="3"/>
  <c r="E136" i="3" l="1"/>
  <c r="H136" i="3" s="1"/>
  <c r="K136" i="3" s="1"/>
  <c r="A137" i="3" s="1"/>
  <c r="B137" i="3" s="1"/>
  <c r="G136" i="3"/>
  <c r="Z137" i="3" l="1"/>
  <c r="P137" i="3"/>
  <c r="Q137" i="3" s="1"/>
  <c r="R137" i="3" s="1"/>
  <c r="S137" i="3" s="1"/>
  <c r="AD137" i="3"/>
  <c r="AC137" i="3"/>
  <c r="AA137" i="3"/>
  <c r="F136" i="3"/>
  <c r="I136" i="3"/>
  <c r="J136" i="3"/>
  <c r="M136" i="3"/>
  <c r="N136" i="3" s="1"/>
  <c r="V136" i="3"/>
  <c r="AE136" i="3"/>
  <c r="T137" i="3" l="1"/>
  <c r="W136" i="3"/>
  <c r="L136" i="3"/>
  <c r="U136" i="3" l="1"/>
  <c r="D137" i="3" s="1"/>
  <c r="AH137" i="3"/>
  <c r="AG137" i="3"/>
  <c r="Y135" i="3"/>
  <c r="E137" i="3" l="1"/>
  <c r="H137" i="3" s="1"/>
  <c r="K137" i="3" s="1"/>
  <c r="A138" i="3" s="1"/>
  <c r="B138" i="3" s="1"/>
  <c r="G137" i="3"/>
  <c r="AC138" i="3" l="1"/>
  <c r="AA138" i="3"/>
  <c r="AD138" i="3"/>
  <c r="Z138" i="3"/>
  <c r="P138" i="3"/>
  <c r="Q138" i="3" s="1"/>
  <c r="R138" i="3" s="1"/>
  <c r="S138" i="3" s="1"/>
  <c r="F137" i="3"/>
  <c r="I137" i="3"/>
  <c r="J137" i="3"/>
  <c r="M137" i="3"/>
  <c r="N137" i="3" s="1"/>
  <c r="V137" i="3"/>
  <c r="AE137" i="3"/>
  <c r="T138" i="3" l="1"/>
  <c r="W137" i="3"/>
  <c r="L137" i="3"/>
  <c r="AH138" i="3" l="1"/>
  <c r="U137" i="3"/>
  <c r="E138" i="3" s="1"/>
  <c r="H138" i="3" s="1"/>
  <c r="AG138" i="3"/>
  <c r="Y136" i="3"/>
  <c r="D138" i="3" l="1"/>
  <c r="F138" i="3" s="1"/>
  <c r="K138" i="3"/>
  <c r="A139" i="3" s="1"/>
  <c r="B139" i="3" s="1"/>
  <c r="AD139" i="3" l="1"/>
  <c r="AC139" i="3"/>
  <c r="Z139" i="3"/>
  <c r="AA139" i="3"/>
  <c r="P139" i="3"/>
  <c r="Q139" i="3" s="1"/>
  <c r="R139" i="3" s="1"/>
  <c r="S139" i="3" s="1"/>
  <c r="G138" i="3"/>
  <c r="M138" i="3" s="1"/>
  <c r="N138" i="3" s="1"/>
  <c r="V138" i="3"/>
  <c r="AE138" i="3"/>
  <c r="T139" i="3" l="1"/>
  <c r="I138" i="3"/>
  <c r="W138" i="3" s="1"/>
  <c r="J138" i="3"/>
  <c r="L138" i="3" s="1"/>
  <c r="U138" i="3" l="1"/>
  <c r="E139" i="3" s="1"/>
  <c r="H139" i="3" s="1"/>
  <c r="AG139" i="3"/>
  <c r="AH139" i="3"/>
  <c r="Y137" i="3"/>
  <c r="D139" i="3" l="1"/>
  <c r="G139" i="3" s="1"/>
  <c r="K139" i="3"/>
  <c r="A140" i="3" s="1"/>
  <c r="B140" i="3" s="1"/>
  <c r="AD140" i="3" l="1"/>
  <c r="AA140" i="3"/>
  <c r="AC140" i="3"/>
  <c r="Z140" i="3"/>
  <c r="P140" i="3"/>
  <c r="Q140" i="3" s="1"/>
  <c r="R140" i="3" s="1"/>
  <c r="S140" i="3" s="1"/>
  <c r="F139" i="3"/>
  <c r="V139" i="3"/>
  <c r="AE139" i="3"/>
  <c r="I139" i="3"/>
  <c r="J139" i="3"/>
  <c r="M139" i="3"/>
  <c r="N139" i="3" s="1"/>
  <c r="T140" i="3" l="1"/>
  <c r="W139" i="3"/>
  <c r="L139" i="3"/>
  <c r="AG140" i="3" l="1"/>
  <c r="U139" i="3"/>
  <c r="E140" i="3" s="1"/>
  <c r="H140" i="3" s="1"/>
  <c r="AH140" i="3"/>
  <c r="Y138" i="3"/>
  <c r="D140" i="3" l="1"/>
  <c r="G140" i="3" s="1"/>
  <c r="K140" i="3"/>
  <c r="A141" i="3" s="1"/>
  <c r="B141" i="3" s="1"/>
  <c r="P141" i="3" l="1"/>
  <c r="Q141" i="3" s="1"/>
  <c r="R141" i="3" s="1"/>
  <c r="S141" i="3" s="1"/>
  <c r="AC141" i="3"/>
  <c r="Z141" i="3"/>
  <c r="AA141" i="3"/>
  <c r="AD141" i="3"/>
  <c r="F140" i="3"/>
  <c r="V140" i="3"/>
  <c r="AE140" i="3"/>
  <c r="I140" i="3"/>
  <c r="J140" i="3"/>
  <c r="M140" i="3"/>
  <c r="N140" i="3" s="1"/>
  <c r="T141" i="3" l="1"/>
  <c r="W140" i="3"/>
  <c r="L140" i="3"/>
  <c r="AG141" i="3" l="1"/>
  <c r="U140" i="3"/>
  <c r="D141" i="3" s="1"/>
  <c r="AH141" i="3"/>
  <c r="Y139" i="3"/>
  <c r="E141" i="3" l="1"/>
  <c r="H141" i="3" s="1"/>
  <c r="K141" i="3" s="1"/>
  <c r="A142" i="3" s="1"/>
  <c r="B142" i="3" s="1"/>
  <c r="G141" i="3"/>
  <c r="AA142" i="3" l="1"/>
  <c r="AC142" i="3"/>
  <c r="Z142" i="3"/>
  <c r="AD142" i="3"/>
  <c r="P142" i="3"/>
  <c r="Q142" i="3" s="1"/>
  <c r="R142" i="3" s="1"/>
  <c r="S142" i="3" s="1"/>
  <c r="F141" i="3"/>
  <c r="I141" i="3"/>
  <c r="J141" i="3"/>
  <c r="M141" i="3"/>
  <c r="N141" i="3" s="1"/>
  <c r="V141" i="3"/>
  <c r="AE141" i="3"/>
  <c r="T142" i="3" l="1"/>
  <c r="W141" i="3"/>
  <c r="L141" i="3"/>
  <c r="U141" i="3" l="1"/>
  <c r="D142" i="3" s="1"/>
  <c r="AH142" i="3"/>
  <c r="AG142" i="3"/>
  <c r="Y140" i="3"/>
  <c r="E142" i="3" l="1"/>
  <c r="H142" i="3" s="1"/>
  <c r="K142" i="3" s="1"/>
  <c r="A143" i="3" s="1"/>
  <c r="B143" i="3" s="1"/>
  <c r="G142" i="3"/>
  <c r="P143" i="3" l="1"/>
  <c r="Q143" i="3" s="1"/>
  <c r="R143" i="3" s="1"/>
  <c r="S143" i="3" s="1"/>
  <c r="AC143" i="3"/>
  <c r="AA143" i="3"/>
  <c r="Z143" i="3"/>
  <c r="AD143" i="3"/>
  <c r="F142" i="3"/>
  <c r="V142" i="3"/>
  <c r="AE142" i="3"/>
  <c r="I142" i="3"/>
  <c r="J142" i="3"/>
  <c r="M142" i="3"/>
  <c r="N142" i="3" s="1"/>
  <c r="T143" i="3" l="1"/>
  <c r="W142" i="3"/>
  <c r="L142" i="3"/>
  <c r="U142" i="3" l="1"/>
  <c r="E143" i="3" s="1"/>
  <c r="H143" i="3" s="1"/>
  <c r="AG143" i="3"/>
  <c r="AH143" i="3"/>
  <c r="Y141" i="3"/>
  <c r="D143" i="3" l="1"/>
  <c r="F143" i="3" s="1"/>
  <c r="K143" i="3"/>
  <c r="A144" i="3" s="1"/>
  <c r="B144" i="3" s="1"/>
  <c r="Z144" i="3" l="1"/>
  <c r="AA144" i="3"/>
  <c r="P144" i="3"/>
  <c r="Q144" i="3" s="1"/>
  <c r="R144" i="3" s="1"/>
  <c r="S144" i="3" s="1"/>
  <c r="AC144" i="3"/>
  <c r="G143" i="3"/>
  <c r="M143" i="3" s="1"/>
  <c r="N143" i="3" s="1"/>
  <c r="V143" i="3"/>
  <c r="AE143" i="3"/>
  <c r="T144" i="3" l="1"/>
  <c r="J143" i="3"/>
  <c r="L143" i="3" s="1"/>
  <c r="I143" i="3"/>
  <c r="W143" i="3" s="1"/>
  <c r="U143" i="3" l="1"/>
  <c r="D144" i="3" s="1"/>
  <c r="AG144" i="3"/>
  <c r="AH144" i="3"/>
  <c r="Y142" i="3"/>
  <c r="E144" i="3" l="1"/>
  <c r="H144" i="3" s="1"/>
  <c r="K144" i="3" s="1"/>
  <c r="A145" i="3" s="1"/>
  <c r="B145" i="3" s="1"/>
  <c r="G144" i="3"/>
  <c r="P145" i="3" l="1"/>
  <c r="Q145" i="3" s="1"/>
  <c r="R145" i="3" s="1"/>
  <c r="S145" i="3" s="1"/>
  <c r="Z145" i="3"/>
  <c r="AA145" i="3"/>
  <c r="AC145" i="3"/>
  <c r="AD145" i="3"/>
  <c r="F144" i="3"/>
  <c r="V144" i="3"/>
  <c r="AE144" i="3"/>
  <c r="I144" i="3"/>
  <c r="J144" i="3"/>
  <c r="AD144" i="3" s="1"/>
  <c r="M144" i="3"/>
  <c r="N144" i="3" s="1"/>
  <c r="T145" i="3" l="1"/>
  <c r="W144" i="3"/>
  <c r="L144" i="3"/>
  <c r="AH145" i="3" l="1"/>
  <c r="AG145" i="3"/>
  <c r="U144" i="3"/>
  <c r="D145" i="3" s="1"/>
  <c r="Y143" i="3"/>
  <c r="E145" i="3" l="1"/>
  <c r="H145" i="3" s="1"/>
  <c r="K145" i="3" s="1"/>
  <c r="A146" i="3" s="1"/>
  <c r="B146" i="3" s="1"/>
  <c r="G145" i="3"/>
  <c r="AA146" i="3" l="1"/>
  <c r="AD146" i="3"/>
  <c r="AC146" i="3"/>
  <c r="Z146" i="3"/>
  <c r="P146" i="3"/>
  <c r="Q146" i="3" s="1"/>
  <c r="R146" i="3" s="1"/>
  <c r="S146" i="3" s="1"/>
  <c r="F145" i="3"/>
  <c r="I145" i="3"/>
  <c r="J145" i="3"/>
  <c r="M145" i="3"/>
  <c r="N145" i="3" s="1"/>
  <c r="V145" i="3"/>
  <c r="AE145" i="3"/>
  <c r="T146" i="3" l="1"/>
  <c r="W145" i="3"/>
  <c r="L145" i="3"/>
  <c r="U145" i="3" l="1"/>
  <c r="D146" i="3" s="1"/>
  <c r="AH146" i="3"/>
  <c r="AG146" i="3"/>
  <c r="Y144" i="3"/>
  <c r="E146" i="3" l="1"/>
  <c r="H146" i="3" s="1"/>
  <c r="K146" i="3" s="1"/>
  <c r="A147" i="3" s="1"/>
  <c r="B147" i="3" s="1"/>
  <c r="G146" i="3"/>
  <c r="Z147" i="3" l="1"/>
  <c r="AC147" i="3"/>
  <c r="AA147" i="3"/>
  <c r="P147" i="3"/>
  <c r="Q147" i="3" s="1"/>
  <c r="R147" i="3" s="1"/>
  <c r="S147" i="3" s="1"/>
  <c r="AD147" i="3"/>
  <c r="F146" i="3"/>
  <c r="I146" i="3"/>
  <c r="J146" i="3"/>
  <c r="M146" i="3"/>
  <c r="N146" i="3" s="1"/>
  <c r="V146" i="3"/>
  <c r="AE146" i="3"/>
  <c r="T147" i="3" l="1"/>
  <c r="W146" i="3"/>
  <c r="L146" i="3"/>
  <c r="U146" i="3" l="1"/>
  <c r="D147" i="3" s="1"/>
  <c r="AG147" i="3"/>
  <c r="AH147" i="3"/>
  <c r="Y145" i="3"/>
  <c r="E147" i="3" l="1"/>
  <c r="H147" i="3" s="1"/>
  <c r="K147" i="3" s="1"/>
  <c r="A148" i="3" s="1"/>
  <c r="B148" i="3" s="1"/>
  <c r="G147" i="3"/>
  <c r="P148" i="3" l="1"/>
  <c r="Q148" i="3" s="1"/>
  <c r="R148" i="3" s="1"/>
  <c r="S148" i="3" s="1"/>
  <c r="Z148" i="3"/>
  <c r="AD148" i="3"/>
  <c r="AC148" i="3"/>
  <c r="AA148" i="3"/>
  <c r="F147" i="3"/>
  <c r="V147" i="3"/>
  <c r="AE147" i="3"/>
  <c r="I147" i="3"/>
  <c r="J147" i="3"/>
  <c r="M147" i="3"/>
  <c r="N147" i="3" s="1"/>
  <c r="T148" i="3" l="1"/>
  <c r="W147" i="3"/>
  <c r="L147" i="3"/>
  <c r="AG148" i="3" l="1"/>
  <c r="U147" i="3"/>
  <c r="E148" i="3" s="1"/>
  <c r="H148" i="3" s="1"/>
  <c r="AH148" i="3"/>
  <c r="Y146" i="3"/>
  <c r="K148" i="3" l="1"/>
  <c r="A149" i="3" s="1"/>
  <c r="B149" i="3" s="1"/>
  <c r="D148" i="3"/>
  <c r="P149" i="3" l="1"/>
  <c r="Q149" i="3" s="1"/>
  <c r="R149" i="3" s="1"/>
  <c r="S149" i="3" s="1"/>
  <c r="AD149" i="3"/>
  <c r="AC149" i="3"/>
  <c r="AA149" i="3"/>
  <c r="Z149" i="3"/>
  <c r="V148" i="3"/>
  <c r="AE148" i="3"/>
  <c r="F148" i="3"/>
  <c r="G148" i="3"/>
  <c r="T149" i="3" l="1"/>
  <c r="I148" i="3"/>
  <c r="W148" i="3" s="1"/>
  <c r="J148" i="3"/>
  <c r="M148" i="3"/>
  <c r="N148" i="3" s="1"/>
  <c r="L148" i="3" l="1"/>
  <c r="AG149" i="3" l="1"/>
  <c r="U148" i="3"/>
  <c r="D149" i="3" s="1"/>
  <c r="AH149" i="3"/>
  <c r="Y147" i="3"/>
  <c r="E149" i="3" l="1"/>
  <c r="H149" i="3" s="1"/>
  <c r="K149" i="3" s="1"/>
  <c r="A150" i="3" s="1"/>
  <c r="B150" i="3" s="1"/>
  <c r="G149" i="3"/>
  <c r="P150" i="3" l="1"/>
  <c r="Q150" i="3" s="1"/>
  <c r="R150" i="3" s="1"/>
  <c r="S150" i="3" s="1"/>
  <c r="Z150" i="3"/>
  <c r="AD150" i="3"/>
  <c r="AA150" i="3"/>
  <c r="AC150" i="3"/>
  <c r="F149" i="3"/>
  <c r="I149" i="3"/>
  <c r="J149" i="3"/>
  <c r="M149" i="3"/>
  <c r="N149" i="3" s="1"/>
  <c r="V149" i="3"/>
  <c r="AE149" i="3"/>
  <c r="T150" i="3" l="1"/>
  <c r="W149" i="3"/>
  <c r="L149" i="3"/>
  <c r="AH150" i="3" l="1"/>
  <c r="U149" i="3"/>
  <c r="D150" i="3" s="1"/>
  <c r="AG150" i="3"/>
  <c r="Y148" i="3"/>
  <c r="E150" i="3" l="1"/>
  <c r="H150" i="3" s="1"/>
  <c r="K150" i="3" s="1"/>
  <c r="A151" i="3" s="1"/>
  <c r="B151" i="3" s="1"/>
  <c r="G150" i="3"/>
  <c r="P151" i="3" l="1"/>
  <c r="Q151" i="3" s="1"/>
  <c r="R151" i="3" s="1"/>
  <c r="S151" i="3" s="1"/>
  <c r="AC151" i="3"/>
  <c r="AD151" i="3"/>
  <c r="Z151" i="3"/>
  <c r="AA151" i="3"/>
  <c r="F150" i="3"/>
  <c r="I150" i="3"/>
  <c r="J150" i="3"/>
  <c r="M150" i="3"/>
  <c r="N150" i="3" s="1"/>
  <c r="V150" i="3"/>
  <c r="AE150" i="3"/>
  <c r="T151" i="3" l="1"/>
  <c r="W150" i="3"/>
  <c r="L150" i="3"/>
  <c r="AH151" i="3" l="1"/>
  <c r="U150" i="3"/>
  <c r="E151" i="3" s="1"/>
  <c r="H151" i="3" s="1"/>
  <c r="AG151" i="3"/>
  <c r="Y149" i="3"/>
  <c r="D151" i="3" l="1"/>
  <c r="G151" i="3" s="1"/>
  <c r="K151" i="3"/>
  <c r="A152" i="3" s="1"/>
  <c r="B152" i="3" s="1"/>
  <c r="AC152" i="3" l="1"/>
  <c r="AA152" i="3"/>
  <c r="P152" i="3"/>
  <c r="Q152" i="3" s="1"/>
  <c r="R152" i="3" s="1"/>
  <c r="S152" i="3" s="1"/>
  <c r="Z152" i="3"/>
  <c r="AD152" i="3"/>
  <c r="F151" i="3"/>
  <c r="I151" i="3"/>
  <c r="J151" i="3"/>
  <c r="M151" i="3"/>
  <c r="N151" i="3" s="1"/>
  <c r="V151" i="3"/>
  <c r="AE151" i="3"/>
  <c r="T152" i="3" l="1"/>
  <c r="W151" i="3"/>
  <c r="L151" i="3"/>
  <c r="AH152" i="3" l="1"/>
  <c r="AG152" i="3"/>
  <c r="U151" i="3"/>
  <c r="E152" i="3" s="1"/>
  <c r="H152" i="3" s="1"/>
  <c r="Y150" i="3"/>
  <c r="D152" i="3" l="1"/>
  <c r="G152" i="3" s="1"/>
  <c r="K152" i="3"/>
  <c r="A153" i="3" s="1"/>
  <c r="B153" i="3" s="1"/>
  <c r="AD153" i="3" l="1"/>
  <c r="P153" i="3"/>
  <c r="Q153" i="3" s="1"/>
  <c r="R153" i="3" s="1"/>
  <c r="S153" i="3" s="1"/>
  <c r="AA153" i="3"/>
  <c r="AC153" i="3"/>
  <c r="Z153" i="3"/>
  <c r="F152" i="3"/>
  <c r="V152" i="3"/>
  <c r="AE152" i="3"/>
  <c r="I152" i="3"/>
  <c r="J152" i="3"/>
  <c r="M152" i="3"/>
  <c r="N152" i="3" s="1"/>
  <c r="T153" i="3" l="1"/>
  <c r="W152" i="3"/>
  <c r="L152" i="3"/>
  <c r="AH153" i="3" l="1"/>
  <c r="U152" i="3"/>
  <c r="D153" i="3" s="1"/>
  <c r="AG153" i="3"/>
  <c r="Y151" i="3"/>
  <c r="G153" i="3" l="1"/>
  <c r="E153" i="3"/>
  <c r="H153" i="3" s="1"/>
  <c r="K153" i="3" l="1"/>
  <c r="A154" i="3" s="1"/>
  <c r="B154" i="3" s="1"/>
  <c r="I153" i="3"/>
  <c r="J153" i="3"/>
  <c r="M153" i="3"/>
  <c r="N153" i="3" s="1"/>
  <c r="F153" i="3"/>
  <c r="P154" i="3" l="1"/>
  <c r="Q154" i="3" s="1"/>
  <c r="R154" i="3" s="1"/>
  <c r="S154" i="3" s="1"/>
  <c r="Z154" i="3"/>
  <c r="AC154" i="3"/>
  <c r="AA154" i="3"/>
  <c r="V153" i="3"/>
  <c r="W153" i="3" s="1"/>
  <c r="AE153" i="3"/>
  <c r="L153" i="3"/>
  <c r="T154" i="3" l="1"/>
  <c r="AG154" i="3" s="1"/>
  <c r="U153" i="3"/>
  <c r="Y152" i="3"/>
  <c r="AH154" i="3" l="1"/>
  <c r="D154" i="3"/>
  <c r="G154" i="3" s="1"/>
  <c r="E154" i="3"/>
  <c r="H154" i="3" s="1"/>
  <c r="K154" i="3" s="1"/>
  <c r="A155" i="3" s="1"/>
  <c r="B155" i="3" s="1"/>
  <c r="AC155" i="3" l="1"/>
  <c r="P155" i="3"/>
  <c r="Q155" i="3" s="1"/>
  <c r="R155" i="3" s="1"/>
  <c r="S155" i="3" s="1"/>
  <c r="AA155" i="3"/>
  <c r="Z155" i="3"/>
  <c r="F154" i="3"/>
  <c r="I154" i="3"/>
  <c r="J154" i="3"/>
  <c r="AD154" i="3" s="1"/>
  <c r="M154" i="3"/>
  <c r="N154" i="3" s="1"/>
  <c r="V154" i="3"/>
  <c r="AE154" i="3"/>
  <c r="T155" i="3" l="1"/>
  <c r="L154" i="3"/>
  <c r="W154" i="3"/>
  <c r="U154" i="3" l="1"/>
  <c r="E155" i="3" s="1"/>
  <c r="H155" i="3" s="1"/>
  <c r="AH155" i="3"/>
  <c r="AG155" i="3"/>
  <c r="Y153" i="3"/>
  <c r="D155" i="3" l="1"/>
  <c r="G155" i="3" s="1"/>
  <c r="K155" i="3"/>
  <c r="A156" i="3" s="1"/>
  <c r="B156" i="3" s="1"/>
  <c r="AA156" i="3" l="1"/>
  <c r="Z156" i="3"/>
  <c r="AC156" i="3"/>
  <c r="P156" i="3"/>
  <c r="Q156" i="3" s="1"/>
  <c r="R156" i="3" s="1"/>
  <c r="S156" i="3" s="1"/>
  <c r="F155" i="3"/>
  <c r="V155" i="3"/>
  <c r="AE155" i="3"/>
  <c r="I155" i="3"/>
  <c r="J155" i="3"/>
  <c r="AD155" i="3" s="1"/>
  <c r="M155" i="3"/>
  <c r="N155" i="3" s="1"/>
  <c r="T156" i="3" l="1"/>
  <c r="W155" i="3"/>
  <c r="L155" i="3"/>
  <c r="AG156" i="3" l="1"/>
  <c r="U155" i="3"/>
  <c r="D156" i="3" s="1"/>
  <c r="AH156" i="3"/>
  <c r="Y154" i="3"/>
  <c r="E156" i="3" l="1"/>
  <c r="H156" i="3" s="1"/>
  <c r="K156" i="3" s="1"/>
  <c r="A157" i="3" s="1"/>
  <c r="B157" i="3" s="1"/>
  <c r="G156" i="3"/>
  <c r="P157" i="3" l="1"/>
  <c r="Q157" i="3" s="1"/>
  <c r="R157" i="3" s="1"/>
  <c r="S157" i="3" s="1"/>
  <c r="Z157" i="3"/>
  <c r="AA157" i="3"/>
  <c r="AC157" i="3"/>
  <c r="F156" i="3"/>
  <c r="V156" i="3"/>
  <c r="AE156" i="3"/>
  <c r="I156" i="3"/>
  <c r="J156" i="3"/>
  <c r="AD156" i="3" s="1"/>
  <c r="M156" i="3"/>
  <c r="N156" i="3" s="1"/>
  <c r="T157" i="3" l="1"/>
  <c r="W156" i="3"/>
  <c r="L156" i="3"/>
  <c r="U156" i="3" l="1"/>
  <c r="E157" i="3" s="1"/>
  <c r="H157" i="3" s="1"/>
  <c r="AH157" i="3"/>
  <c r="AG157" i="3"/>
  <c r="Y155" i="3"/>
  <c r="D157" i="3" l="1"/>
  <c r="G157" i="3" s="1"/>
  <c r="K157" i="3"/>
  <c r="A158" i="3" s="1"/>
  <c r="B158" i="3" s="1"/>
  <c r="AA158" i="3" l="1"/>
  <c r="AC158" i="3"/>
  <c r="Z158" i="3"/>
  <c r="P158" i="3"/>
  <c r="Q158" i="3" s="1"/>
  <c r="R158" i="3" s="1"/>
  <c r="S158" i="3" s="1"/>
  <c r="F157" i="3"/>
  <c r="I157" i="3"/>
  <c r="J157" i="3"/>
  <c r="AD157" i="3" s="1"/>
  <c r="M157" i="3"/>
  <c r="N157" i="3" s="1"/>
  <c r="V157" i="3"/>
  <c r="AE157" i="3"/>
  <c r="T158" i="3" l="1"/>
  <c r="W157" i="3"/>
  <c r="L157" i="3"/>
  <c r="U157" i="3" l="1"/>
  <c r="E158" i="3" s="1"/>
  <c r="H158" i="3" s="1"/>
  <c r="AH158" i="3"/>
  <c r="AG158" i="3"/>
  <c r="Y156" i="3"/>
  <c r="D158" i="3" l="1"/>
  <c r="F158" i="3" s="1"/>
  <c r="K158" i="3"/>
  <c r="A159" i="3" s="1"/>
  <c r="B159" i="3" s="1"/>
  <c r="AC159" i="3" l="1"/>
  <c r="Z159" i="3"/>
  <c r="AA159" i="3"/>
  <c r="P159" i="3"/>
  <c r="Q159" i="3" s="1"/>
  <c r="R159" i="3" s="1"/>
  <c r="S159" i="3" s="1"/>
  <c r="G158" i="3"/>
  <c r="I158" i="3" s="1"/>
  <c r="V158" i="3"/>
  <c r="AE158" i="3"/>
  <c r="T159" i="3" l="1"/>
  <c r="M158" i="3"/>
  <c r="N158" i="3" s="1"/>
  <c r="J158" i="3"/>
  <c r="W158" i="3"/>
  <c r="L158" i="3" l="1"/>
  <c r="U158" i="3" s="1"/>
  <c r="E159" i="3" s="1"/>
  <c r="H159" i="3" s="1"/>
  <c r="AD158" i="3"/>
  <c r="Y157" i="3" l="1"/>
  <c r="AH159" i="3"/>
  <c r="AG159" i="3"/>
  <c r="D159" i="3"/>
  <c r="F159" i="3" s="1"/>
  <c r="K159" i="3"/>
  <c r="A160" i="3" s="1"/>
  <c r="B160" i="3" s="1"/>
  <c r="AA160" i="3" l="1"/>
  <c r="P160" i="3"/>
  <c r="Q160" i="3" s="1"/>
  <c r="R160" i="3" s="1"/>
  <c r="S160" i="3" s="1"/>
  <c r="Z160" i="3"/>
  <c r="AC160" i="3"/>
  <c r="G159" i="3"/>
  <c r="M159" i="3" s="1"/>
  <c r="N159" i="3" s="1"/>
  <c r="V159" i="3"/>
  <c r="AE159" i="3"/>
  <c r="T160" i="3" l="1"/>
  <c r="I159" i="3"/>
  <c r="W159" i="3" s="1"/>
  <c r="J159" i="3"/>
  <c r="L159" i="3" l="1"/>
  <c r="AH160" i="3" s="1"/>
  <c r="AD159" i="3"/>
  <c r="Y158" i="3" l="1"/>
  <c r="AG160" i="3"/>
  <c r="U159" i="3"/>
  <c r="E160" i="3" s="1"/>
  <c r="H160" i="3" s="1"/>
  <c r="K160" i="3" s="1"/>
  <c r="A161" i="3" s="1"/>
  <c r="B161" i="3" s="1"/>
  <c r="D160" i="3" l="1"/>
  <c r="G160" i="3" s="1"/>
  <c r="I160" i="3" s="1"/>
  <c r="Z161" i="3"/>
  <c r="AA161" i="3"/>
  <c r="P161" i="3"/>
  <c r="Q161" i="3" s="1"/>
  <c r="R161" i="3" s="1"/>
  <c r="S161" i="3" s="1"/>
  <c r="AC161" i="3"/>
  <c r="V160" i="3"/>
  <c r="AE160" i="3"/>
  <c r="M160" i="3" l="1"/>
  <c r="N160" i="3" s="1"/>
  <c r="F160" i="3"/>
  <c r="J160" i="3"/>
  <c r="AD160" i="3" s="1"/>
  <c r="T161" i="3"/>
  <c r="W160" i="3"/>
  <c r="L160" i="3" l="1"/>
  <c r="AG161" i="3" s="1"/>
  <c r="Y159" i="3" l="1"/>
  <c r="U160" i="3"/>
  <c r="E161" i="3" s="1"/>
  <c r="H161" i="3" s="1"/>
  <c r="K161" i="3" s="1"/>
  <c r="A162" i="3" s="1"/>
  <c r="B162" i="3" s="1"/>
  <c r="AH161" i="3"/>
  <c r="D161" i="3" l="1"/>
  <c r="G161" i="3" s="1"/>
  <c r="I161" i="3" s="1"/>
  <c r="Z162" i="3"/>
  <c r="P162" i="3"/>
  <c r="Q162" i="3" s="1"/>
  <c r="R162" i="3" s="1"/>
  <c r="S162" i="3" s="1"/>
  <c r="AC162" i="3"/>
  <c r="AA162" i="3"/>
  <c r="V161" i="3"/>
  <c r="AE161" i="3"/>
  <c r="M161" i="3" l="1"/>
  <c r="N161" i="3" s="1"/>
  <c r="J161" i="3"/>
  <c r="AD161" i="3" s="1"/>
  <c r="F161" i="3"/>
  <c r="T162" i="3"/>
  <c r="W161" i="3"/>
  <c r="L161" i="3" l="1"/>
  <c r="U161" i="3" s="1"/>
  <c r="D162" i="3" s="1"/>
  <c r="Y160" i="3" l="1"/>
  <c r="AH162" i="3"/>
  <c r="AG162" i="3"/>
  <c r="G162" i="3"/>
  <c r="E162" i="3"/>
  <c r="H162" i="3" s="1"/>
  <c r="F162" i="3" l="1"/>
  <c r="I162" i="3"/>
  <c r="J162" i="3"/>
  <c r="AD162" i="3" s="1"/>
  <c r="M162" i="3"/>
  <c r="N162" i="3" s="1"/>
  <c r="K162" i="3"/>
  <c r="A163" i="3" s="1"/>
  <c r="B163" i="3" s="1"/>
  <c r="AC163" i="3" l="1"/>
  <c r="Z163" i="3"/>
  <c r="P163" i="3"/>
  <c r="Q163" i="3" s="1"/>
  <c r="R163" i="3" s="1"/>
  <c r="S163" i="3" s="1"/>
  <c r="AA163" i="3"/>
  <c r="V162" i="3"/>
  <c r="W162" i="3" s="1"/>
  <c r="AE162" i="3"/>
  <c r="L162" i="3"/>
  <c r="T163" i="3" l="1"/>
  <c r="AH163" i="3" s="1"/>
  <c r="U162" i="3"/>
  <c r="Y161" i="3"/>
  <c r="AG163" i="3" l="1"/>
  <c r="D163" i="3"/>
  <c r="G163" i="3" s="1"/>
  <c r="E163" i="3"/>
  <c r="H163" i="3" s="1"/>
  <c r="K163" i="3" s="1"/>
  <c r="A164" i="3" s="1"/>
  <c r="B164" i="3" s="1"/>
  <c r="AA164" i="3" l="1"/>
  <c r="Z164" i="3"/>
  <c r="AC164" i="3"/>
  <c r="P164" i="3"/>
  <c r="Q164" i="3" s="1"/>
  <c r="R164" i="3" s="1"/>
  <c r="S164" i="3" s="1"/>
  <c r="F163" i="3"/>
  <c r="V163" i="3"/>
  <c r="AE163" i="3"/>
  <c r="I163" i="3"/>
  <c r="J163" i="3"/>
  <c r="AD163" i="3" s="1"/>
  <c r="M163" i="3"/>
  <c r="N163" i="3" s="1"/>
  <c r="T164" i="3" l="1"/>
  <c r="W163" i="3"/>
  <c r="L163" i="3"/>
  <c r="AH164" i="3" l="1"/>
  <c r="U163" i="3"/>
  <c r="D164" i="3" s="1"/>
  <c r="AG164" i="3"/>
  <c r="Y162" i="3"/>
  <c r="E164" i="3" l="1"/>
  <c r="H164" i="3" s="1"/>
  <c r="K164" i="3" s="1"/>
  <c r="A165" i="3" s="1"/>
  <c r="B165" i="3" s="1"/>
  <c r="G164" i="3"/>
  <c r="AA165" i="3" l="1"/>
  <c r="AC165" i="3"/>
  <c r="Z165" i="3"/>
  <c r="P165" i="3"/>
  <c r="Q165" i="3" s="1"/>
  <c r="R165" i="3" s="1"/>
  <c r="S165" i="3" s="1"/>
  <c r="AD165" i="3"/>
  <c r="F164" i="3"/>
  <c r="I164" i="3"/>
  <c r="J164" i="3"/>
  <c r="AD164" i="3" s="1"/>
  <c r="M164" i="3"/>
  <c r="N164" i="3" s="1"/>
  <c r="V164" i="3"/>
  <c r="AE164" i="3"/>
  <c r="T165" i="3" l="1"/>
  <c r="W164" i="3"/>
  <c r="L164" i="3"/>
  <c r="U164" i="3" l="1"/>
  <c r="D165" i="3" s="1"/>
  <c r="AG165" i="3"/>
  <c r="AH165" i="3"/>
  <c r="Y163" i="3"/>
  <c r="E165" i="3" l="1"/>
  <c r="H165" i="3" s="1"/>
  <c r="K165" i="3" s="1"/>
  <c r="A166" i="3" s="1"/>
  <c r="B166" i="3" s="1"/>
  <c r="G165" i="3"/>
  <c r="AA166" i="3" l="1"/>
  <c r="P166" i="3"/>
  <c r="Q166" i="3" s="1"/>
  <c r="R166" i="3" s="1"/>
  <c r="S166" i="3" s="1"/>
  <c r="AD166" i="3"/>
  <c r="Z166" i="3"/>
  <c r="AC166" i="3"/>
  <c r="F165" i="3"/>
  <c r="V165" i="3"/>
  <c r="AE165" i="3"/>
  <c r="I165" i="3"/>
  <c r="J165" i="3"/>
  <c r="M165" i="3"/>
  <c r="N165" i="3" s="1"/>
  <c r="T166" i="3" l="1"/>
  <c r="L165" i="3"/>
  <c r="W165" i="3"/>
  <c r="AH166" i="3" l="1"/>
  <c r="U165" i="3"/>
  <c r="E166" i="3" s="1"/>
  <c r="H166" i="3" s="1"/>
  <c r="AG166" i="3"/>
  <c r="Y164" i="3"/>
  <c r="D166" i="3" l="1"/>
  <c r="G166" i="3" s="1"/>
  <c r="K166" i="3"/>
  <c r="A167" i="3" s="1"/>
  <c r="B167" i="3" s="1"/>
  <c r="P167" i="3" l="1"/>
  <c r="Q167" i="3" s="1"/>
  <c r="R167" i="3" s="1"/>
  <c r="S167" i="3" s="1"/>
  <c r="AA167" i="3"/>
  <c r="Z167" i="3"/>
  <c r="AD167" i="3"/>
  <c r="AC167" i="3"/>
  <c r="F166" i="3"/>
  <c r="I166" i="3"/>
  <c r="J166" i="3"/>
  <c r="M166" i="3"/>
  <c r="N166" i="3" s="1"/>
  <c r="V166" i="3"/>
  <c r="AE166" i="3"/>
  <c r="T167" i="3" l="1"/>
  <c r="W166" i="3"/>
  <c r="L166" i="3"/>
  <c r="AH167" i="3" l="1"/>
  <c r="AG167" i="3"/>
  <c r="U166" i="3"/>
  <c r="E167" i="3" s="1"/>
  <c r="H167" i="3" s="1"/>
  <c r="Y165" i="3"/>
  <c r="K167" i="3" l="1"/>
  <c r="A168" i="3" s="1"/>
  <c r="B168" i="3" s="1"/>
  <c r="D167" i="3"/>
  <c r="Z168" i="3" l="1"/>
  <c r="AD168" i="3"/>
  <c r="AC168" i="3"/>
  <c r="AA168" i="3"/>
  <c r="P168" i="3"/>
  <c r="Q168" i="3" s="1"/>
  <c r="R168" i="3" s="1"/>
  <c r="S168" i="3" s="1"/>
  <c r="V167" i="3"/>
  <c r="AE167" i="3"/>
  <c r="F167" i="3"/>
  <c r="G167" i="3"/>
  <c r="T168" i="3" l="1"/>
  <c r="I167" i="3"/>
  <c r="W167" i="3" s="1"/>
  <c r="J167" i="3"/>
  <c r="M167" i="3"/>
  <c r="N167" i="3" s="1"/>
  <c r="L167" i="3" l="1"/>
  <c r="AH168" i="3" l="1"/>
  <c r="U167" i="3"/>
  <c r="E168" i="3" s="1"/>
  <c r="H168" i="3" s="1"/>
  <c r="AG168" i="3"/>
  <c r="Y166" i="3"/>
  <c r="D168" i="3" l="1"/>
  <c r="F168" i="3" s="1"/>
  <c r="K168" i="3"/>
  <c r="A169" i="3" s="1"/>
  <c r="B169" i="3" s="1"/>
  <c r="AD169" i="3" l="1"/>
  <c r="Z169" i="3"/>
  <c r="AA169" i="3"/>
  <c r="AC169" i="3"/>
  <c r="P169" i="3"/>
  <c r="Q169" i="3" s="1"/>
  <c r="R169" i="3" s="1"/>
  <c r="S169" i="3" s="1"/>
  <c r="G168" i="3"/>
  <c r="I168" i="3" s="1"/>
  <c r="V168" i="3"/>
  <c r="AE168" i="3"/>
  <c r="T169" i="3" l="1"/>
  <c r="M168" i="3"/>
  <c r="N168" i="3" s="1"/>
  <c r="J168" i="3"/>
  <c r="L168" i="3" s="1"/>
  <c r="W168" i="3"/>
  <c r="U168" i="3" l="1"/>
  <c r="E169" i="3" s="1"/>
  <c r="H169" i="3" s="1"/>
  <c r="AH169" i="3"/>
  <c r="AG169" i="3"/>
  <c r="Y167" i="3"/>
  <c r="D169" i="3" l="1"/>
  <c r="F169" i="3" s="1"/>
  <c r="K169" i="3"/>
  <c r="A170" i="3" s="1"/>
  <c r="B170" i="3" s="1"/>
  <c r="AA170" i="3" l="1"/>
  <c r="AC170" i="3"/>
  <c r="P170" i="3"/>
  <c r="Q170" i="3" s="1"/>
  <c r="R170" i="3" s="1"/>
  <c r="S170" i="3" s="1"/>
  <c r="AD170" i="3"/>
  <c r="Z170" i="3"/>
  <c r="G169" i="3"/>
  <c r="I169" i="3" s="1"/>
  <c r="V169" i="3"/>
  <c r="AE169" i="3"/>
  <c r="T170" i="3" l="1"/>
  <c r="M169" i="3"/>
  <c r="N169" i="3" s="1"/>
  <c r="J169" i="3"/>
  <c r="L169" i="3" s="1"/>
  <c r="W169" i="3"/>
  <c r="AH170" i="3" l="1"/>
  <c r="U169" i="3"/>
  <c r="E170" i="3" s="1"/>
  <c r="H170" i="3" s="1"/>
  <c r="AG170" i="3"/>
  <c r="Y168" i="3"/>
  <c r="D170" i="3" l="1"/>
  <c r="G170" i="3" s="1"/>
  <c r="K170" i="3"/>
  <c r="A171" i="3" s="1"/>
  <c r="B171" i="3" s="1"/>
  <c r="AD171" i="3" l="1"/>
  <c r="Z171" i="3"/>
  <c r="AA171" i="3"/>
  <c r="AC171" i="3"/>
  <c r="P171" i="3"/>
  <c r="Q171" i="3" s="1"/>
  <c r="R171" i="3" s="1"/>
  <c r="S171" i="3" s="1"/>
  <c r="F170" i="3"/>
  <c r="I170" i="3"/>
  <c r="J170" i="3"/>
  <c r="M170" i="3"/>
  <c r="N170" i="3" s="1"/>
  <c r="V170" i="3"/>
  <c r="AE170" i="3"/>
  <c r="T171" i="3" l="1"/>
  <c r="W170" i="3"/>
  <c r="L170" i="3"/>
  <c r="AG171" i="3" l="1"/>
  <c r="U170" i="3"/>
  <c r="E171" i="3" s="1"/>
  <c r="H171" i="3" s="1"/>
  <c r="AH171" i="3"/>
  <c r="Y169" i="3"/>
  <c r="K171" i="3" l="1"/>
  <c r="A172" i="3" s="1"/>
  <c r="B172" i="3" s="1"/>
  <c r="D171" i="3"/>
  <c r="P172" i="3" l="1"/>
  <c r="Q172" i="3" s="1"/>
  <c r="R172" i="3" s="1"/>
  <c r="S172" i="3" s="1"/>
  <c r="AC172" i="3"/>
  <c r="AD172" i="3"/>
  <c r="AA172" i="3"/>
  <c r="Z172" i="3"/>
  <c r="F171" i="3"/>
  <c r="G171" i="3"/>
  <c r="V171" i="3"/>
  <c r="AE171" i="3"/>
  <c r="T172" i="3" l="1"/>
  <c r="I171" i="3"/>
  <c r="W171" i="3" s="1"/>
  <c r="J171" i="3"/>
  <c r="M171" i="3"/>
  <c r="N171" i="3" s="1"/>
  <c r="L171" i="3" l="1"/>
  <c r="U171" i="3" l="1"/>
  <c r="E172" i="3" s="1"/>
  <c r="H172" i="3" s="1"/>
  <c r="AH172" i="3"/>
  <c r="AG172" i="3"/>
  <c r="Y170" i="3"/>
  <c r="K172" i="3" l="1"/>
  <c r="A173" i="3" s="1"/>
  <c r="B173" i="3" s="1"/>
  <c r="D172" i="3"/>
  <c r="P173" i="3" l="1"/>
  <c r="Q173" i="3" s="1"/>
  <c r="R173" i="3" s="1"/>
  <c r="S173" i="3" s="1"/>
  <c r="AD173" i="3"/>
  <c r="AC173" i="3"/>
  <c r="Z173" i="3"/>
  <c r="AA173" i="3"/>
  <c r="V172" i="3"/>
  <c r="AE172" i="3"/>
  <c r="F172" i="3"/>
  <c r="G172" i="3"/>
  <c r="T173" i="3" l="1"/>
  <c r="I172" i="3"/>
  <c r="W172" i="3" s="1"/>
  <c r="J172" i="3"/>
  <c r="M172" i="3"/>
  <c r="N172" i="3" s="1"/>
  <c r="L172" i="3" l="1"/>
  <c r="U172" i="3" l="1"/>
  <c r="E173" i="3" s="1"/>
  <c r="H173" i="3" s="1"/>
  <c r="AH173" i="3"/>
  <c r="AG173" i="3"/>
  <c r="Y171" i="3"/>
  <c r="D173" i="3" l="1"/>
  <c r="G173" i="3" s="1"/>
  <c r="K173" i="3"/>
  <c r="A174" i="3" s="1"/>
  <c r="B174" i="3" s="1"/>
  <c r="AD174" i="3" l="1"/>
  <c r="P174" i="3"/>
  <c r="Q174" i="3" s="1"/>
  <c r="R174" i="3" s="1"/>
  <c r="S174" i="3" s="1"/>
  <c r="AA174" i="3"/>
  <c r="AC174" i="3"/>
  <c r="Z174" i="3"/>
  <c r="F173" i="3"/>
  <c r="I173" i="3"/>
  <c r="J173" i="3"/>
  <c r="M173" i="3"/>
  <c r="N173" i="3" s="1"/>
  <c r="V173" i="3"/>
  <c r="AE173" i="3"/>
  <c r="T174" i="3" l="1"/>
  <c r="L173" i="3"/>
  <c r="W173" i="3"/>
  <c r="U173" i="3" l="1"/>
  <c r="E174" i="3" s="1"/>
  <c r="H174" i="3" s="1"/>
  <c r="AG174" i="3"/>
  <c r="AH174" i="3"/>
  <c r="Y172" i="3"/>
  <c r="D174" i="3" l="1"/>
  <c r="G174" i="3" s="1"/>
  <c r="K174" i="3"/>
  <c r="A175" i="3" s="1"/>
  <c r="B175" i="3" s="1"/>
  <c r="AC175" i="3" l="1"/>
  <c r="AA175" i="3"/>
  <c r="Z175" i="3"/>
  <c r="P175" i="3"/>
  <c r="Q175" i="3" s="1"/>
  <c r="R175" i="3" s="1"/>
  <c r="S175" i="3" s="1"/>
  <c r="AD175" i="3"/>
  <c r="F174" i="3"/>
  <c r="V174" i="3"/>
  <c r="AE174" i="3"/>
  <c r="I174" i="3"/>
  <c r="J174" i="3"/>
  <c r="M174" i="3"/>
  <c r="N174" i="3" s="1"/>
  <c r="T175" i="3" l="1"/>
  <c r="W174" i="3"/>
  <c r="L174" i="3"/>
  <c r="U174" i="3" l="1"/>
  <c r="D175" i="3" s="1"/>
  <c r="AG175" i="3"/>
  <c r="AH175" i="3"/>
  <c r="Y173" i="3"/>
  <c r="E175" i="3" l="1"/>
  <c r="H175" i="3" s="1"/>
  <c r="K175" i="3" s="1"/>
  <c r="A176" i="3" s="1"/>
  <c r="B176" i="3" s="1"/>
  <c r="G175" i="3"/>
  <c r="P176" i="3" l="1"/>
  <c r="Q176" i="3" s="1"/>
  <c r="R176" i="3" s="1"/>
  <c r="S176" i="3" s="1"/>
  <c r="Z176" i="3"/>
  <c r="AA176" i="3"/>
  <c r="AC176" i="3"/>
  <c r="AD176" i="3"/>
  <c r="F175" i="3"/>
  <c r="I175" i="3"/>
  <c r="J175" i="3"/>
  <c r="M175" i="3"/>
  <c r="N175" i="3" s="1"/>
  <c r="V175" i="3"/>
  <c r="AE175" i="3"/>
  <c r="T176" i="3" l="1"/>
  <c r="W175" i="3"/>
  <c r="L175" i="3"/>
  <c r="U175" i="3" l="1"/>
  <c r="E176" i="3" s="1"/>
  <c r="H176" i="3" s="1"/>
  <c r="AG176" i="3"/>
  <c r="AH176" i="3"/>
  <c r="Y174" i="3"/>
  <c r="D176" i="3" l="1"/>
  <c r="G176" i="3" s="1"/>
  <c r="K176" i="3"/>
  <c r="A177" i="3" s="1"/>
  <c r="B177" i="3" s="1"/>
  <c r="Z177" i="3" l="1"/>
  <c r="AC177" i="3"/>
  <c r="AD177" i="3"/>
  <c r="P177" i="3"/>
  <c r="Q177" i="3" s="1"/>
  <c r="R177" i="3" s="1"/>
  <c r="S177" i="3" s="1"/>
  <c r="AA177" i="3"/>
  <c r="F176" i="3"/>
  <c r="I176" i="3"/>
  <c r="J176" i="3"/>
  <c r="M176" i="3"/>
  <c r="N176" i="3" s="1"/>
  <c r="V176" i="3"/>
  <c r="AE176" i="3"/>
  <c r="T177" i="3" l="1"/>
  <c r="W176" i="3"/>
  <c r="L176" i="3"/>
  <c r="AH177" i="3" l="1"/>
  <c r="U176" i="3"/>
  <c r="D177" i="3" s="1"/>
  <c r="AG177" i="3"/>
  <c r="Y175" i="3"/>
  <c r="G177" i="3" l="1"/>
  <c r="E177" i="3"/>
  <c r="H177" i="3" s="1"/>
  <c r="F177" i="3" l="1"/>
  <c r="I177" i="3"/>
  <c r="J177" i="3"/>
  <c r="M177" i="3"/>
  <c r="N177" i="3" s="1"/>
  <c r="K177" i="3"/>
  <c r="A178" i="3" s="1"/>
  <c r="B178" i="3" s="1"/>
  <c r="AA178" i="3" l="1"/>
  <c r="Z178" i="3"/>
  <c r="AC178" i="3"/>
  <c r="P178" i="3"/>
  <c r="Q178" i="3" s="1"/>
  <c r="R178" i="3" s="1"/>
  <c r="S178" i="3" s="1"/>
  <c r="AD178" i="3"/>
  <c r="V177" i="3"/>
  <c r="W177" i="3" s="1"/>
  <c r="AE177" i="3"/>
  <c r="L177" i="3"/>
  <c r="T178" i="3" l="1"/>
  <c r="AH178" i="3" s="1"/>
  <c r="U177" i="3"/>
  <c r="Y176" i="3"/>
  <c r="E178" i="3" l="1"/>
  <c r="H178" i="3" s="1"/>
  <c r="K178" i="3" s="1"/>
  <c r="A179" i="3" s="1"/>
  <c r="B179" i="3" s="1"/>
  <c r="AG178" i="3"/>
  <c r="D178" i="3"/>
  <c r="G178" i="3" s="1"/>
  <c r="Z179" i="3" l="1"/>
  <c r="AD179" i="3"/>
  <c r="AC179" i="3"/>
  <c r="AA179" i="3"/>
  <c r="P179" i="3"/>
  <c r="Q179" i="3" s="1"/>
  <c r="R179" i="3" s="1"/>
  <c r="S179" i="3" s="1"/>
  <c r="F178" i="3"/>
  <c r="I178" i="3"/>
  <c r="J178" i="3"/>
  <c r="M178" i="3"/>
  <c r="N178" i="3" s="1"/>
  <c r="V178" i="3"/>
  <c r="AE178" i="3"/>
  <c r="T179" i="3" l="1"/>
  <c r="W178" i="3"/>
  <c r="L178" i="3"/>
  <c r="U178" i="3" l="1"/>
  <c r="E179" i="3" s="1"/>
  <c r="H179" i="3" s="1"/>
  <c r="AG179" i="3"/>
  <c r="AH179" i="3"/>
  <c r="Y177" i="3"/>
  <c r="D179" i="3" l="1"/>
  <c r="G179" i="3" s="1"/>
  <c r="K179" i="3"/>
  <c r="A180" i="3" s="1"/>
  <c r="B180" i="3" s="1"/>
  <c r="AC180" i="3" l="1"/>
  <c r="AA180" i="3"/>
  <c r="AD180" i="3"/>
  <c r="P180" i="3"/>
  <c r="Q180" i="3" s="1"/>
  <c r="R180" i="3" s="1"/>
  <c r="S180" i="3" s="1"/>
  <c r="Z180" i="3"/>
  <c r="F179" i="3"/>
  <c r="V179" i="3"/>
  <c r="AE179" i="3"/>
  <c r="I179" i="3"/>
  <c r="J179" i="3"/>
  <c r="M179" i="3"/>
  <c r="N179" i="3" s="1"/>
  <c r="T180" i="3" l="1"/>
  <c r="W179" i="3"/>
  <c r="L179" i="3"/>
  <c r="AG180" i="3" l="1"/>
  <c r="U179" i="3"/>
  <c r="D180" i="3" s="1"/>
  <c r="AH180" i="3"/>
  <c r="Y178" i="3"/>
  <c r="E180" i="3" l="1"/>
  <c r="H180" i="3" s="1"/>
  <c r="K180" i="3" s="1"/>
  <c r="A181" i="3" s="1"/>
  <c r="B181" i="3" s="1"/>
  <c r="G180" i="3"/>
  <c r="AA181" i="3" l="1"/>
  <c r="AC181" i="3"/>
  <c r="P181" i="3"/>
  <c r="Q181" i="3" s="1"/>
  <c r="R181" i="3" s="1"/>
  <c r="S181" i="3" s="1"/>
  <c r="AD181" i="3"/>
  <c r="Z181" i="3"/>
  <c r="F180" i="3"/>
  <c r="I180" i="3"/>
  <c r="J180" i="3"/>
  <c r="M180" i="3"/>
  <c r="N180" i="3" s="1"/>
  <c r="V180" i="3"/>
  <c r="AE180" i="3"/>
  <c r="T181" i="3" l="1"/>
  <c r="L180" i="3"/>
  <c r="W180" i="3"/>
  <c r="U180" i="3" l="1"/>
  <c r="E181" i="3" s="1"/>
  <c r="H181" i="3" s="1"/>
  <c r="AH181" i="3"/>
  <c r="AG181" i="3"/>
  <c r="Y179" i="3"/>
  <c r="D181" i="3" l="1"/>
  <c r="G181" i="3" s="1"/>
  <c r="K181" i="3"/>
  <c r="A182" i="3" s="1"/>
  <c r="B182" i="3" s="1"/>
  <c r="AA182" i="3" l="1"/>
  <c r="P182" i="3"/>
  <c r="Q182" i="3" s="1"/>
  <c r="R182" i="3" s="1"/>
  <c r="S182" i="3" s="1"/>
  <c r="Z182" i="3"/>
  <c r="AC182" i="3"/>
  <c r="AD182" i="3"/>
  <c r="F181" i="3"/>
  <c r="I181" i="3"/>
  <c r="J181" i="3"/>
  <c r="M181" i="3"/>
  <c r="N181" i="3" s="1"/>
  <c r="V181" i="3"/>
  <c r="AE181" i="3"/>
  <c r="T182" i="3" l="1"/>
  <c r="W181" i="3"/>
  <c r="L181" i="3"/>
  <c r="AH182" i="3" l="1"/>
  <c r="U181" i="3"/>
  <c r="E182" i="3" s="1"/>
  <c r="H182" i="3" s="1"/>
  <c r="AG182" i="3"/>
  <c r="Y180" i="3"/>
  <c r="K182" i="3" l="1"/>
  <c r="A183" i="3" s="1"/>
  <c r="B183" i="3" s="1"/>
  <c r="D182" i="3"/>
  <c r="AA183" i="3" l="1"/>
  <c r="AD183" i="3"/>
  <c r="P183" i="3"/>
  <c r="Q183" i="3" s="1"/>
  <c r="R183" i="3" s="1"/>
  <c r="S183" i="3" s="1"/>
  <c r="AC183" i="3"/>
  <c r="Z183" i="3"/>
  <c r="V182" i="3"/>
  <c r="AE182" i="3"/>
  <c r="F182" i="3"/>
  <c r="G182" i="3"/>
  <c r="T183" i="3" l="1"/>
  <c r="I182" i="3"/>
  <c r="W182" i="3" s="1"/>
  <c r="J182" i="3"/>
  <c r="M182" i="3"/>
  <c r="N182" i="3" s="1"/>
  <c r="L182" i="3" l="1"/>
  <c r="U182" i="3" l="1"/>
  <c r="E183" i="3" s="1"/>
  <c r="H183" i="3" s="1"/>
  <c r="AH183" i="3"/>
  <c r="AG183" i="3"/>
  <c r="Y181" i="3"/>
  <c r="D183" i="3" l="1"/>
  <c r="G183" i="3" s="1"/>
  <c r="K183" i="3"/>
  <c r="A184" i="3" s="1"/>
  <c r="B184" i="3" s="1"/>
  <c r="AD184" i="3" l="1"/>
  <c r="Z184" i="3"/>
  <c r="P184" i="3"/>
  <c r="Q184" i="3" s="1"/>
  <c r="R184" i="3" s="1"/>
  <c r="S184" i="3" s="1"/>
  <c r="AC184" i="3"/>
  <c r="AA184" i="3"/>
  <c r="F183" i="3"/>
  <c r="I183" i="3"/>
  <c r="J183" i="3"/>
  <c r="M183" i="3"/>
  <c r="N183" i="3" s="1"/>
  <c r="V183" i="3"/>
  <c r="AE183" i="3"/>
  <c r="T184" i="3" l="1"/>
  <c r="W183" i="3"/>
  <c r="L183" i="3"/>
  <c r="U183" i="3" l="1"/>
  <c r="D184" i="3" s="1"/>
  <c r="AG184" i="3"/>
  <c r="AH184" i="3"/>
  <c r="Y182" i="3"/>
  <c r="G184" i="3" l="1"/>
  <c r="E184" i="3"/>
  <c r="H184" i="3" s="1"/>
  <c r="K184" i="3" l="1"/>
  <c r="A185" i="3" s="1"/>
  <c r="B185" i="3" s="1"/>
  <c r="I184" i="3"/>
  <c r="J184" i="3"/>
  <c r="M184" i="3"/>
  <c r="N184" i="3" s="1"/>
  <c r="F184" i="3"/>
  <c r="AD185" i="3" l="1"/>
  <c r="AC185" i="3"/>
  <c r="AA185" i="3"/>
  <c r="P185" i="3"/>
  <c r="Q185" i="3" s="1"/>
  <c r="R185" i="3" s="1"/>
  <c r="S185" i="3" s="1"/>
  <c r="Z185" i="3"/>
  <c r="V184" i="3"/>
  <c r="W184" i="3" s="1"/>
  <c r="AE184" i="3"/>
  <c r="L184" i="3"/>
  <c r="T185" i="3" l="1"/>
  <c r="AH185" i="3" s="1"/>
  <c r="U184" i="3"/>
  <c r="Y183" i="3"/>
  <c r="D185" i="3" l="1"/>
  <c r="G185" i="3" s="1"/>
  <c r="AG185" i="3"/>
  <c r="E185" i="3"/>
  <c r="H185" i="3" s="1"/>
  <c r="K185" i="3" s="1"/>
  <c r="A186" i="3" s="1"/>
  <c r="B186" i="3" s="1"/>
  <c r="Z186" i="3" l="1"/>
  <c r="P186" i="3"/>
  <c r="Q186" i="3" s="1"/>
  <c r="R186" i="3" s="1"/>
  <c r="S186" i="3" s="1"/>
  <c r="AA186" i="3"/>
  <c r="AC186" i="3"/>
  <c r="AD186" i="3"/>
  <c r="F185" i="3"/>
  <c r="I185" i="3"/>
  <c r="J185" i="3"/>
  <c r="M185" i="3"/>
  <c r="N185" i="3" s="1"/>
  <c r="V185" i="3"/>
  <c r="AE185" i="3"/>
  <c r="T186" i="3" l="1"/>
  <c r="W185" i="3"/>
  <c r="L185" i="3"/>
  <c r="U185" i="3" l="1"/>
  <c r="E186" i="3" s="1"/>
  <c r="H186" i="3" s="1"/>
  <c r="AH186" i="3"/>
  <c r="AG186" i="3"/>
  <c r="Y184" i="3"/>
  <c r="D186" i="3" l="1"/>
  <c r="G186" i="3" s="1"/>
  <c r="K186" i="3"/>
  <c r="A187" i="3" s="1"/>
  <c r="B187" i="3" s="1"/>
  <c r="AD187" i="3" l="1"/>
  <c r="AA187" i="3"/>
  <c r="AC187" i="3"/>
  <c r="P187" i="3"/>
  <c r="Q187" i="3" s="1"/>
  <c r="R187" i="3" s="1"/>
  <c r="S187" i="3" s="1"/>
  <c r="Z187" i="3"/>
  <c r="F186" i="3"/>
  <c r="V186" i="3"/>
  <c r="AE186" i="3"/>
  <c r="I186" i="3"/>
  <c r="J186" i="3"/>
  <c r="M186" i="3"/>
  <c r="N186" i="3" s="1"/>
  <c r="T187" i="3" l="1"/>
  <c r="L186" i="3"/>
  <c r="W186" i="3"/>
  <c r="AG187" i="3" l="1"/>
  <c r="AH187" i="3"/>
  <c r="U186" i="3"/>
  <c r="D187" i="3" s="1"/>
  <c r="Y185" i="3"/>
  <c r="G187" i="3" l="1"/>
  <c r="E187" i="3"/>
  <c r="H187" i="3" s="1"/>
  <c r="I187" i="3" l="1"/>
  <c r="J187" i="3"/>
  <c r="M187" i="3"/>
  <c r="N187" i="3" s="1"/>
  <c r="F187" i="3"/>
  <c r="K187" i="3"/>
  <c r="A188" i="3" s="1"/>
  <c r="B188" i="3" s="1"/>
  <c r="Z188" i="3" l="1"/>
  <c r="P188" i="3"/>
  <c r="Q188" i="3" s="1"/>
  <c r="R188" i="3" s="1"/>
  <c r="S188" i="3" s="1"/>
  <c r="AC188" i="3"/>
  <c r="AA188" i="3"/>
  <c r="AD188" i="3"/>
  <c r="L187" i="3"/>
  <c r="V187" i="3"/>
  <c r="W187" i="3" s="1"/>
  <c r="AE187" i="3"/>
  <c r="T188" i="3" l="1"/>
  <c r="AG188" i="3" s="1"/>
  <c r="U187" i="3"/>
  <c r="Y186" i="3"/>
  <c r="AH188" i="3" l="1"/>
  <c r="E188" i="3"/>
  <c r="H188" i="3" s="1"/>
  <c r="K188" i="3" s="1"/>
  <c r="A189" i="3" s="1"/>
  <c r="B189" i="3" s="1"/>
  <c r="D188" i="3"/>
  <c r="G188" i="3" s="1"/>
  <c r="Z189" i="3" l="1"/>
  <c r="AC189" i="3"/>
  <c r="AD189" i="3"/>
  <c r="P189" i="3"/>
  <c r="Q189" i="3" s="1"/>
  <c r="R189" i="3" s="1"/>
  <c r="S189" i="3" s="1"/>
  <c r="AA189" i="3"/>
  <c r="F188" i="3"/>
  <c r="I188" i="3"/>
  <c r="J188" i="3"/>
  <c r="M188" i="3"/>
  <c r="N188" i="3" s="1"/>
  <c r="V188" i="3"/>
  <c r="AE188" i="3"/>
  <c r="T189" i="3" l="1"/>
  <c r="W188" i="3"/>
  <c r="L188" i="3"/>
  <c r="U188" i="3" l="1"/>
  <c r="E189" i="3" s="1"/>
  <c r="H189" i="3" s="1"/>
  <c r="AH189" i="3"/>
  <c r="AG189" i="3"/>
  <c r="Y187" i="3"/>
  <c r="D189" i="3" l="1"/>
  <c r="G189" i="3" s="1"/>
  <c r="K189" i="3"/>
  <c r="A190" i="3" s="1"/>
  <c r="B190" i="3" s="1"/>
  <c r="AC190" i="3" l="1"/>
  <c r="Z190" i="3"/>
  <c r="AD190" i="3"/>
  <c r="AA190" i="3"/>
  <c r="P190" i="3"/>
  <c r="Q190" i="3" s="1"/>
  <c r="R190" i="3" s="1"/>
  <c r="S190" i="3" s="1"/>
  <c r="F189" i="3"/>
  <c r="I189" i="3"/>
  <c r="J189" i="3"/>
  <c r="M189" i="3"/>
  <c r="N189" i="3" s="1"/>
  <c r="V189" i="3"/>
  <c r="AE189" i="3"/>
  <c r="T190" i="3" l="1"/>
  <c r="W189" i="3"/>
  <c r="L189" i="3"/>
  <c r="AH190" i="3" l="1"/>
  <c r="U189" i="3"/>
  <c r="D190" i="3" s="1"/>
  <c r="AG190" i="3"/>
  <c r="Y188" i="3"/>
  <c r="G190" i="3" l="1"/>
  <c r="E190" i="3"/>
  <c r="H190" i="3" s="1"/>
  <c r="K190" i="3" l="1"/>
  <c r="A191" i="3" s="1"/>
  <c r="B191" i="3" s="1"/>
  <c r="I190" i="3"/>
  <c r="J190" i="3"/>
  <c r="M190" i="3"/>
  <c r="N190" i="3" s="1"/>
  <c r="F190" i="3"/>
  <c r="P191" i="3" l="1"/>
  <c r="Q191" i="3" s="1"/>
  <c r="R191" i="3" s="1"/>
  <c r="S191" i="3" s="1"/>
  <c r="AA191" i="3"/>
  <c r="AC191" i="3"/>
  <c r="AD191" i="3"/>
  <c r="Z191" i="3"/>
  <c r="L190" i="3"/>
  <c r="V190" i="3"/>
  <c r="W190" i="3" s="1"/>
  <c r="AE190" i="3"/>
  <c r="T191" i="3" l="1"/>
  <c r="AG191" i="3" s="1"/>
  <c r="U190" i="3"/>
  <c r="Y189" i="3"/>
  <c r="AH191" i="3" l="1"/>
  <c r="E191" i="3"/>
  <c r="H191" i="3" s="1"/>
  <c r="K191" i="3" s="1"/>
  <c r="A192" i="3" s="1"/>
  <c r="B192" i="3" s="1"/>
  <c r="D191" i="3"/>
  <c r="P192" i="3" l="1"/>
  <c r="Q192" i="3" s="1"/>
  <c r="R192" i="3" s="1"/>
  <c r="S192" i="3" s="1"/>
  <c r="Z192" i="3"/>
  <c r="AD192" i="3"/>
  <c r="AA192" i="3"/>
  <c r="AC192" i="3"/>
  <c r="V191" i="3"/>
  <c r="AE191" i="3"/>
  <c r="F191" i="3"/>
  <c r="G191" i="3"/>
  <c r="T192" i="3" l="1"/>
  <c r="I191" i="3"/>
  <c r="W191" i="3" s="1"/>
  <c r="J191" i="3"/>
  <c r="M191" i="3"/>
  <c r="N191" i="3" s="1"/>
  <c r="L191" i="3" l="1"/>
  <c r="AG192" i="3" l="1"/>
  <c r="U191" i="3"/>
  <c r="E192" i="3" s="1"/>
  <c r="H192" i="3" s="1"/>
  <c r="AH192" i="3"/>
  <c r="Y190" i="3"/>
  <c r="D192" i="3" l="1"/>
  <c r="G192" i="3" s="1"/>
  <c r="K192" i="3"/>
  <c r="A193" i="3" s="1"/>
  <c r="B193" i="3" s="1"/>
  <c r="AC193" i="3" l="1"/>
  <c r="AA193" i="3"/>
  <c r="AD193" i="3"/>
  <c r="P193" i="3"/>
  <c r="Q193" i="3" s="1"/>
  <c r="R193" i="3" s="1"/>
  <c r="S193" i="3" s="1"/>
  <c r="Z193" i="3"/>
  <c r="F192" i="3"/>
  <c r="I192" i="3"/>
  <c r="J192" i="3"/>
  <c r="M192" i="3"/>
  <c r="N192" i="3" s="1"/>
  <c r="V192" i="3"/>
  <c r="AE192" i="3"/>
  <c r="T193" i="3" l="1"/>
  <c r="W192" i="3"/>
  <c r="L192" i="3"/>
  <c r="U192" i="3" l="1"/>
  <c r="D193" i="3" s="1"/>
  <c r="AG193" i="3"/>
  <c r="AH193" i="3"/>
  <c r="Y191" i="3"/>
  <c r="G193" i="3" l="1"/>
  <c r="E193" i="3"/>
  <c r="H193" i="3" s="1"/>
  <c r="K193" i="3" l="1"/>
  <c r="A194" i="3" s="1"/>
  <c r="B194" i="3" s="1"/>
  <c r="I193" i="3"/>
  <c r="J193" i="3"/>
  <c r="M193" i="3"/>
  <c r="N193" i="3" s="1"/>
  <c r="F193" i="3"/>
  <c r="AD194" i="3" l="1"/>
  <c r="P194" i="3"/>
  <c r="Q194" i="3" s="1"/>
  <c r="R194" i="3" s="1"/>
  <c r="S194" i="3" s="1"/>
  <c r="AA194" i="3"/>
  <c r="AC194" i="3"/>
  <c r="Z194" i="3"/>
  <c r="L193" i="3"/>
  <c r="V193" i="3"/>
  <c r="W193" i="3" s="1"/>
  <c r="AE193" i="3"/>
  <c r="T194" i="3" l="1"/>
  <c r="AH194" i="3" s="1"/>
  <c r="U193" i="3"/>
  <c r="Y192" i="3"/>
  <c r="AG194" i="3" l="1"/>
  <c r="D194" i="3"/>
  <c r="G194" i="3" s="1"/>
  <c r="E194" i="3"/>
  <c r="H194" i="3" s="1"/>
  <c r="K194" i="3" s="1"/>
  <c r="A195" i="3" s="1"/>
  <c r="B195" i="3" s="1"/>
  <c r="P195" i="3" l="1"/>
  <c r="Q195" i="3" s="1"/>
  <c r="R195" i="3" s="1"/>
  <c r="S195" i="3" s="1"/>
  <c r="AD195" i="3"/>
  <c r="Z195" i="3"/>
  <c r="AA195" i="3"/>
  <c r="AC195" i="3"/>
  <c r="F194" i="3"/>
  <c r="V194" i="3"/>
  <c r="AE194" i="3"/>
  <c r="I194" i="3"/>
  <c r="J194" i="3"/>
  <c r="M194" i="3"/>
  <c r="N194" i="3" s="1"/>
  <c r="T195" i="3" l="1"/>
  <c r="W194" i="3"/>
  <c r="L194" i="3"/>
  <c r="U194" i="3" l="1"/>
  <c r="D195" i="3" s="1"/>
  <c r="AH195" i="3"/>
  <c r="AG195" i="3"/>
  <c r="Y193" i="3"/>
  <c r="E195" i="3" l="1"/>
  <c r="H195" i="3" s="1"/>
  <c r="K195" i="3" s="1"/>
  <c r="A196" i="3" s="1"/>
  <c r="B196" i="3" s="1"/>
  <c r="G195" i="3"/>
  <c r="P196" i="3" l="1"/>
  <c r="Q196" i="3" s="1"/>
  <c r="R196" i="3" s="1"/>
  <c r="S196" i="3" s="1"/>
  <c r="Z196" i="3"/>
  <c r="AC196" i="3"/>
  <c r="AD196" i="3"/>
  <c r="AA196" i="3"/>
  <c r="F195" i="3"/>
  <c r="V195" i="3"/>
  <c r="AE195" i="3"/>
  <c r="I195" i="3"/>
  <c r="J195" i="3"/>
  <c r="M195" i="3"/>
  <c r="N195" i="3" s="1"/>
  <c r="T196" i="3" l="1"/>
  <c r="W195" i="3"/>
  <c r="L195" i="3"/>
  <c r="AH196" i="3" l="1"/>
  <c r="U195" i="3"/>
  <c r="D196" i="3" s="1"/>
  <c r="AG196" i="3"/>
  <c r="Y194" i="3"/>
  <c r="E196" i="3" l="1"/>
  <c r="H196" i="3" s="1"/>
  <c r="K196" i="3" s="1"/>
  <c r="A197" i="3" s="1"/>
  <c r="B197" i="3" s="1"/>
  <c r="G196" i="3"/>
  <c r="AD197" i="3" l="1"/>
  <c r="AA197" i="3"/>
  <c r="Z197" i="3"/>
  <c r="AC197" i="3"/>
  <c r="P197" i="3"/>
  <c r="Q197" i="3" s="1"/>
  <c r="R197" i="3" s="1"/>
  <c r="S197" i="3" s="1"/>
  <c r="F196" i="3"/>
  <c r="I196" i="3"/>
  <c r="J196" i="3"/>
  <c r="M196" i="3"/>
  <c r="N196" i="3" s="1"/>
  <c r="V196" i="3"/>
  <c r="AE196" i="3"/>
  <c r="T197" i="3" l="1"/>
  <c r="L196" i="3"/>
  <c r="W196" i="3"/>
  <c r="U196" i="3" l="1"/>
  <c r="E197" i="3" s="1"/>
  <c r="H197" i="3" s="1"/>
  <c r="AG197" i="3"/>
  <c r="AH197" i="3"/>
  <c r="Y195" i="3"/>
  <c r="D197" i="3" l="1"/>
  <c r="G197" i="3" s="1"/>
  <c r="K197" i="3"/>
  <c r="A198" i="3" s="1"/>
  <c r="B198" i="3" s="1"/>
  <c r="P198" i="3" l="1"/>
  <c r="Q198" i="3" s="1"/>
  <c r="R198" i="3" s="1"/>
  <c r="S198" i="3" s="1"/>
  <c r="AA198" i="3"/>
  <c r="Z198" i="3"/>
  <c r="AC198" i="3"/>
  <c r="AD198" i="3"/>
  <c r="F197" i="3"/>
  <c r="I197" i="3"/>
  <c r="J197" i="3"/>
  <c r="M197" i="3"/>
  <c r="N197" i="3" s="1"/>
  <c r="V197" i="3"/>
  <c r="AE197" i="3"/>
  <c r="T198" i="3" l="1"/>
  <c r="W197" i="3"/>
  <c r="L197" i="3"/>
  <c r="AG198" i="3" l="1"/>
  <c r="AH198" i="3"/>
  <c r="U197" i="3"/>
  <c r="E198" i="3" s="1"/>
  <c r="H198" i="3" s="1"/>
  <c r="Y196" i="3"/>
  <c r="K198" i="3" l="1"/>
  <c r="A199" i="3" s="1"/>
  <c r="B199" i="3" s="1"/>
  <c r="D198" i="3"/>
  <c r="AD199" i="3" l="1"/>
  <c r="P199" i="3"/>
  <c r="Q199" i="3" s="1"/>
  <c r="R199" i="3" s="1"/>
  <c r="S199" i="3" s="1"/>
  <c r="AC199" i="3"/>
  <c r="AA199" i="3"/>
  <c r="Z199" i="3"/>
  <c r="V198" i="3"/>
  <c r="AE198" i="3"/>
  <c r="F198" i="3"/>
  <c r="G198" i="3"/>
  <c r="T199" i="3" l="1"/>
  <c r="I198" i="3"/>
  <c r="W198" i="3" s="1"/>
  <c r="J198" i="3"/>
  <c r="M198" i="3"/>
  <c r="N198" i="3" s="1"/>
  <c r="L198" i="3" l="1"/>
  <c r="AG199" i="3" l="1"/>
  <c r="U198" i="3"/>
  <c r="E199" i="3" s="1"/>
  <c r="H199" i="3" s="1"/>
  <c r="AH199" i="3"/>
  <c r="Y197" i="3"/>
  <c r="K199" i="3" l="1"/>
  <c r="A200" i="3" s="1"/>
  <c r="B200" i="3" s="1"/>
  <c r="D199" i="3"/>
  <c r="AA200" i="3" l="1"/>
  <c r="AC200" i="3"/>
  <c r="Z200" i="3"/>
  <c r="P200" i="3"/>
  <c r="Q200" i="3" s="1"/>
  <c r="R200" i="3" s="1"/>
  <c r="S200" i="3" s="1"/>
  <c r="AD200" i="3"/>
  <c r="V199" i="3"/>
  <c r="AE199" i="3"/>
  <c r="F199" i="3"/>
  <c r="G199" i="3"/>
  <c r="T200" i="3" l="1"/>
  <c r="I199" i="3"/>
  <c r="W199" i="3" s="1"/>
  <c r="J199" i="3"/>
  <c r="M199" i="3"/>
  <c r="N199" i="3" s="1"/>
  <c r="L199" i="3" l="1"/>
  <c r="AH200" i="3" l="1"/>
  <c r="AG200" i="3"/>
  <c r="U199" i="3"/>
  <c r="E200" i="3" s="1"/>
  <c r="H200" i="3" s="1"/>
  <c r="Y198" i="3"/>
  <c r="K200" i="3" l="1"/>
  <c r="A201" i="3" s="1"/>
  <c r="B201" i="3" s="1"/>
  <c r="D200" i="3"/>
  <c r="AC201" i="3" l="1"/>
  <c r="AD201" i="3"/>
  <c r="P201" i="3"/>
  <c r="Q201" i="3" s="1"/>
  <c r="R201" i="3" s="1"/>
  <c r="S201" i="3" s="1"/>
  <c r="AA201" i="3"/>
  <c r="Z201" i="3"/>
  <c r="V200" i="3"/>
  <c r="AE200" i="3"/>
  <c r="F200" i="3"/>
  <c r="G200" i="3"/>
  <c r="T201" i="3" l="1"/>
  <c r="I200" i="3"/>
  <c r="W200" i="3" s="1"/>
  <c r="J200" i="3"/>
  <c r="M200" i="3"/>
  <c r="N200" i="3" s="1"/>
  <c r="L200" i="3" l="1"/>
  <c r="AG201" i="3" l="1"/>
  <c r="U200" i="3"/>
  <c r="E201" i="3" s="1"/>
  <c r="H201" i="3" s="1"/>
  <c r="AH201" i="3"/>
  <c r="Y199" i="3"/>
  <c r="D201" i="3" l="1"/>
  <c r="G201" i="3" s="1"/>
  <c r="K201" i="3"/>
  <c r="A202" i="3" s="1"/>
  <c r="B202" i="3" s="1"/>
  <c r="AA202" i="3" l="1"/>
  <c r="AC202" i="3"/>
  <c r="AD202" i="3"/>
  <c r="Z202" i="3"/>
  <c r="P202" i="3"/>
  <c r="Q202" i="3" s="1"/>
  <c r="R202" i="3" s="1"/>
  <c r="S202" i="3" s="1"/>
  <c r="F201" i="3"/>
  <c r="I201" i="3"/>
  <c r="J201" i="3"/>
  <c r="M201" i="3"/>
  <c r="N201" i="3" s="1"/>
  <c r="V201" i="3"/>
  <c r="AE201" i="3"/>
  <c r="T202" i="3" l="1"/>
  <c r="W201" i="3"/>
  <c r="L201" i="3"/>
  <c r="U201" i="3" l="1"/>
  <c r="E202" i="3" s="1"/>
  <c r="H202" i="3" s="1"/>
  <c r="AG202" i="3"/>
  <c r="AH202" i="3"/>
  <c r="Y200" i="3"/>
  <c r="D202" i="3" l="1"/>
  <c r="G202" i="3" s="1"/>
  <c r="K202" i="3"/>
  <c r="A203" i="3" s="1"/>
  <c r="B203" i="3" s="1"/>
  <c r="Z203" i="3" l="1"/>
  <c r="P203" i="3"/>
  <c r="Q203" i="3" s="1"/>
  <c r="R203" i="3" s="1"/>
  <c r="S203" i="3" s="1"/>
  <c r="AD203" i="3"/>
  <c r="AC203" i="3"/>
  <c r="AA203" i="3"/>
  <c r="F202" i="3"/>
  <c r="V202" i="3"/>
  <c r="AE202" i="3"/>
  <c r="I202" i="3"/>
  <c r="J202" i="3"/>
  <c r="M202" i="3"/>
  <c r="N202" i="3" s="1"/>
  <c r="T203" i="3" l="1"/>
  <c r="W202" i="3"/>
  <c r="L202" i="3"/>
  <c r="U202" i="3" l="1"/>
  <c r="E203" i="3" s="1"/>
  <c r="H203" i="3" s="1"/>
  <c r="AH203" i="3"/>
  <c r="AG203" i="3"/>
  <c r="Y201" i="3"/>
  <c r="D203" i="3" l="1"/>
  <c r="G203" i="3" s="1"/>
  <c r="K203" i="3"/>
  <c r="A204" i="3" s="1"/>
  <c r="B204" i="3" s="1"/>
  <c r="Z204" i="3" l="1"/>
  <c r="AC204" i="3"/>
  <c r="AA204" i="3"/>
  <c r="P204" i="3"/>
  <c r="Q204" i="3" s="1"/>
  <c r="R204" i="3" s="1"/>
  <c r="S204" i="3" s="1"/>
  <c r="T204" i="3" s="1"/>
  <c r="F203" i="3"/>
  <c r="I203" i="3"/>
  <c r="J203" i="3"/>
  <c r="M203" i="3"/>
  <c r="N203" i="3" s="1"/>
  <c r="V203" i="3"/>
  <c r="AE203" i="3"/>
  <c r="W203" i="3" l="1"/>
  <c r="L203" i="3"/>
  <c r="U203" i="3" l="1"/>
  <c r="E204" i="3" s="1"/>
  <c r="H204" i="3" s="1"/>
  <c r="AH204" i="3"/>
  <c r="AG204" i="3"/>
  <c r="Y202" i="3"/>
  <c r="D204" i="3" l="1"/>
  <c r="G204" i="3" s="1"/>
  <c r="K204" i="3"/>
  <c r="F204" i="3" l="1"/>
  <c r="I204" i="3"/>
  <c r="J204" i="3"/>
  <c r="M204" i="3"/>
  <c r="N204" i="3" s="1"/>
  <c r="V204" i="3"/>
  <c r="A205" i="3"/>
  <c r="B205" i="3" s="1"/>
  <c r="AE204" i="3"/>
  <c r="W204" i="3" l="1"/>
  <c r="L204" i="3"/>
  <c r="AD204" i="3"/>
  <c r="AC205" i="3"/>
  <c r="P205" i="3"/>
  <c r="Q205" i="3" s="1"/>
  <c r="R205" i="3" s="1"/>
  <c r="S205" i="3" s="1"/>
  <c r="Z205" i="3"/>
  <c r="AA205" i="3"/>
  <c r="AD205" i="3"/>
  <c r="U204" i="3" l="1"/>
  <c r="Y203" i="3"/>
  <c r="T205" i="3"/>
  <c r="AH205" i="3" s="1"/>
  <c r="E205" i="3" l="1"/>
  <c r="H205" i="3" s="1"/>
  <c r="D205" i="3"/>
  <c r="AG205" i="3"/>
  <c r="K205" i="3" l="1"/>
  <c r="F205" i="3"/>
  <c r="G205" i="3"/>
  <c r="V205" i="3" l="1"/>
  <c r="A206" i="3"/>
  <c r="B206" i="3" s="1"/>
  <c r="AE205" i="3"/>
  <c r="I205" i="3"/>
  <c r="J205" i="3"/>
  <c r="M205" i="3"/>
  <c r="N205" i="3" s="1"/>
  <c r="W205" i="3" l="1"/>
  <c r="L205" i="3"/>
  <c r="AC206" i="3"/>
  <c r="P206" i="3"/>
  <c r="Q206" i="3" s="1"/>
  <c r="R206" i="3" s="1"/>
  <c r="S206" i="3" s="1"/>
  <c r="Z206" i="3"/>
  <c r="AA206" i="3"/>
  <c r="AD206" i="3"/>
  <c r="T206" i="3" l="1"/>
  <c r="AH206" i="3" s="1"/>
  <c r="U205" i="3"/>
  <c r="Y204" i="3"/>
  <c r="AG206" i="3" l="1"/>
  <c r="D206" i="3"/>
  <c r="E206" i="3"/>
  <c r="H206" i="3" s="1"/>
  <c r="F206" i="3" l="1"/>
  <c r="G206" i="3"/>
  <c r="K206" i="3"/>
  <c r="I206" i="3" l="1"/>
  <c r="J206" i="3"/>
  <c r="M206" i="3"/>
  <c r="N206" i="3" s="1"/>
  <c r="V206" i="3"/>
  <c r="A207" i="3"/>
  <c r="B207" i="3" s="1"/>
  <c r="AE206" i="3"/>
  <c r="W206" i="3" l="1"/>
  <c r="L206" i="3"/>
  <c r="P207" i="3"/>
  <c r="Q207" i="3" s="1"/>
  <c r="R207" i="3" s="1"/>
  <c r="S207" i="3" s="1"/>
  <c r="AC207" i="3"/>
  <c r="Z207" i="3"/>
  <c r="AA207" i="3"/>
  <c r="T207" i="3" l="1"/>
  <c r="U206" i="3"/>
  <c r="Y205" i="3"/>
  <c r="D207" i="3" l="1"/>
  <c r="G207" i="3" s="1"/>
  <c r="AH207" i="3"/>
  <c r="E207" i="3"/>
  <c r="H207" i="3" s="1"/>
  <c r="AG207" i="3"/>
  <c r="F207" i="3" l="1"/>
  <c r="I207" i="3"/>
  <c r="J207" i="3"/>
  <c r="AD207" i="3" s="1"/>
  <c r="M207" i="3"/>
  <c r="N207" i="3" s="1"/>
  <c r="K207" i="3"/>
  <c r="V207" i="3" l="1"/>
  <c r="W207" i="3" s="1"/>
  <c r="AE207" i="3"/>
  <c r="A208" i="3"/>
  <c r="B208" i="3" s="1"/>
  <c r="L207" i="3"/>
  <c r="Z208" i="3" l="1"/>
  <c r="AC208" i="3"/>
  <c r="AA208" i="3"/>
  <c r="P208" i="3"/>
  <c r="Q208" i="3" s="1"/>
  <c r="R208" i="3" s="1"/>
  <c r="S208" i="3" s="1"/>
  <c r="U207" i="3"/>
  <c r="Y206" i="3"/>
  <c r="T208" i="3" l="1"/>
  <c r="AG208" i="3" s="1"/>
  <c r="AH208" i="3" l="1"/>
  <c r="D208" i="3"/>
  <c r="G208" i="3" s="1"/>
  <c r="E208" i="3"/>
  <c r="H208" i="3" s="1"/>
  <c r="K208" i="3" s="1"/>
  <c r="F208" i="3" l="1"/>
  <c r="I208" i="3"/>
  <c r="J208" i="3"/>
  <c r="AD208" i="3" s="1"/>
  <c r="M208" i="3"/>
  <c r="N208" i="3" s="1"/>
  <c r="V208" i="3"/>
  <c r="A209" i="3"/>
  <c r="B209" i="3" s="1"/>
  <c r="AE208" i="3"/>
  <c r="W208" i="3" l="1"/>
  <c r="L208" i="3"/>
  <c r="P209" i="3"/>
  <c r="Q209" i="3" s="1"/>
  <c r="R209" i="3" s="1"/>
  <c r="S209" i="3" s="1"/>
  <c r="AC209" i="3"/>
  <c r="AD209" i="3"/>
  <c r="AA209" i="3"/>
  <c r="Z209" i="3"/>
  <c r="U208" i="3" l="1"/>
  <c r="Y207" i="3"/>
  <c r="T209" i="3"/>
  <c r="AH209" i="3" s="1"/>
  <c r="AG209" i="3" l="1"/>
  <c r="D209" i="3"/>
  <c r="G209" i="3" s="1"/>
  <c r="E209" i="3"/>
  <c r="H209" i="3" s="1"/>
  <c r="F209" i="3" l="1"/>
  <c r="K209" i="3"/>
  <c r="I209" i="3"/>
  <c r="J209" i="3"/>
  <c r="M209" i="3"/>
  <c r="N209" i="3" s="1"/>
  <c r="L209" i="3" l="1"/>
  <c r="V209" i="3"/>
  <c r="W209" i="3" s="1"/>
  <c r="A210" i="3"/>
  <c r="B210" i="3" s="1"/>
  <c r="AE209" i="3"/>
  <c r="AC210" i="3" l="1"/>
  <c r="Z210" i="3"/>
  <c r="P210" i="3"/>
  <c r="Q210" i="3" s="1"/>
  <c r="R210" i="3" s="1"/>
  <c r="S210" i="3" s="1"/>
  <c r="AA210" i="3"/>
  <c r="AD210" i="3"/>
  <c r="U209" i="3"/>
  <c r="Y208" i="3"/>
  <c r="T210" i="3" l="1"/>
  <c r="AG210" i="3" s="1"/>
  <c r="AH210" i="3" l="1"/>
  <c r="D210" i="3"/>
  <c r="E210" i="3"/>
  <c r="H210" i="3" s="1"/>
  <c r="F210" i="3" l="1"/>
  <c r="G210" i="3"/>
  <c r="K210" i="3"/>
  <c r="V210" i="3" l="1"/>
  <c r="AE210" i="3"/>
  <c r="A211" i="3"/>
  <c r="B211" i="3" s="1"/>
  <c r="I210" i="3"/>
  <c r="J210" i="3"/>
  <c r="M210" i="3"/>
  <c r="N210" i="3" s="1"/>
  <c r="W210" i="3" l="1"/>
  <c r="AC211" i="3"/>
  <c r="Z211" i="3"/>
  <c r="P211" i="3"/>
  <c r="Q211" i="3" s="1"/>
  <c r="R211" i="3" s="1"/>
  <c r="S211" i="3" s="1"/>
  <c r="AA211" i="3"/>
  <c r="AD211" i="3"/>
  <c r="L210" i="3"/>
  <c r="T211" i="3" l="1"/>
  <c r="AG211" i="3" s="1"/>
  <c r="U210" i="3"/>
  <c r="Y209" i="3"/>
  <c r="E211" i="3" l="1"/>
  <c r="H211" i="3" s="1"/>
  <c r="D211" i="3"/>
  <c r="AH211" i="3"/>
  <c r="K211" i="3" l="1"/>
  <c r="F211" i="3"/>
  <c r="G211" i="3"/>
  <c r="I211" i="3" l="1"/>
  <c r="J211" i="3"/>
  <c r="M211" i="3"/>
  <c r="N211" i="3" s="1"/>
  <c r="V211" i="3"/>
  <c r="AE211" i="3"/>
  <c r="A212" i="3"/>
  <c r="B212" i="3" s="1"/>
  <c r="W211" i="3" l="1"/>
  <c r="AA212" i="3"/>
  <c r="Z212" i="3"/>
  <c r="P212" i="3"/>
  <c r="Q212" i="3" s="1"/>
  <c r="R212" i="3" s="1"/>
  <c r="S212" i="3" s="1"/>
  <c r="AC212" i="3"/>
  <c r="AD212" i="3"/>
  <c r="L211" i="3"/>
  <c r="U211" i="3" l="1"/>
  <c r="Y210" i="3"/>
  <c r="T212" i="3"/>
  <c r="E212" i="3" l="1"/>
  <c r="H212" i="3" s="1"/>
  <c r="K212" i="3" s="1"/>
  <c r="AH212" i="3"/>
  <c r="AG212" i="3"/>
  <c r="D212" i="3"/>
  <c r="F212" i="3" l="1"/>
  <c r="G212" i="3"/>
  <c r="V212" i="3"/>
  <c r="A213" i="3"/>
  <c r="B213" i="3" s="1"/>
  <c r="AE212" i="3"/>
  <c r="AD213" i="3" l="1"/>
  <c r="AC213" i="3"/>
  <c r="P213" i="3"/>
  <c r="Q213" i="3" s="1"/>
  <c r="R213" i="3" s="1"/>
  <c r="S213" i="3" s="1"/>
  <c r="AA213" i="3"/>
  <c r="Z213" i="3"/>
  <c r="I212" i="3"/>
  <c r="W212" i="3" s="1"/>
  <c r="J212" i="3"/>
  <c r="M212" i="3"/>
  <c r="N212" i="3" s="1"/>
  <c r="T213" i="3" l="1"/>
  <c r="L212" i="3"/>
  <c r="U212" i="3" l="1"/>
  <c r="E213" i="3" s="1"/>
  <c r="H213" i="3" s="1"/>
  <c r="AH213" i="3"/>
  <c r="AG213" i="3"/>
  <c r="Y211" i="3"/>
  <c r="D213" i="3" l="1"/>
  <c r="G213" i="3" s="1"/>
  <c r="K213" i="3"/>
  <c r="F213" i="3" l="1"/>
  <c r="I213" i="3"/>
  <c r="J213" i="3"/>
  <c r="M213" i="3"/>
  <c r="N213" i="3" s="1"/>
  <c r="V213" i="3"/>
  <c r="A214" i="3"/>
  <c r="B214" i="3" s="1"/>
  <c r="AE213" i="3"/>
  <c r="W213" i="3" l="1"/>
  <c r="L213" i="3"/>
  <c r="P214" i="3"/>
  <c r="Q214" i="3" s="1"/>
  <c r="R214" i="3" s="1"/>
  <c r="S214" i="3" s="1"/>
  <c r="AC214" i="3"/>
  <c r="AA214" i="3"/>
  <c r="Z214" i="3"/>
  <c r="U213" i="3" l="1"/>
  <c r="Y212" i="3"/>
  <c r="T214" i="3"/>
  <c r="D214" i="3" l="1"/>
  <c r="G214" i="3" s="1"/>
  <c r="E214" i="3"/>
  <c r="H214" i="3" s="1"/>
  <c r="AG214" i="3"/>
  <c r="AH214" i="3"/>
  <c r="F214" i="3" l="1"/>
  <c r="I214" i="3"/>
  <c r="J214" i="3"/>
  <c r="M214" i="3"/>
  <c r="N214" i="3" s="1"/>
  <c r="K214" i="3"/>
  <c r="AE214" i="3" s="1"/>
  <c r="V214" i="3" l="1"/>
  <c r="W214" i="3" s="1"/>
  <c r="A215" i="3"/>
  <c r="B215" i="3" s="1"/>
  <c r="L214" i="3"/>
  <c r="AD214" i="3"/>
  <c r="U214" i="3" l="1"/>
  <c r="Y213" i="3"/>
  <c r="AC215" i="3"/>
  <c r="AD215" i="3"/>
  <c r="Z215" i="3"/>
  <c r="P215" i="3"/>
  <c r="Q215" i="3" s="1"/>
  <c r="R215" i="3" s="1"/>
  <c r="S215" i="3" s="1"/>
  <c r="AA215" i="3"/>
  <c r="T215" i="3" l="1"/>
  <c r="AH215" i="3" s="1"/>
  <c r="D215" i="3" l="1"/>
  <c r="G215" i="3" s="1"/>
  <c r="E215" i="3"/>
  <c r="H215" i="3" s="1"/>
  <c r="K215" i="3" s="1"/>
  <c r="AE215" i="3" s="1"/>
  <c r="AG215" i="3"/>
  <c r="F215" i="3" l="1"/>
  <c r="V215" i="3"/>
  <c r="A216" i="3"/>
  <c r="B216" i="3" s="1"/>
  <c r="I215" i="3"/>
  <c r="J215" i="3"/>
  <c r="M215" i="3"/>
  <c r="N215" i="3" s="1"/>
  <c r="W215" i="3" l="1"/>
  <c r="L215" i="3"/>
  <c r="P216" i="3"/>
  <c r="Q216" i="3" s="1"/>
  <c r="R216" i="3" s="1"/>
  <c r="S216" i="3" s="1"/>
  <c r="Z216" i="3"/>
  <c r="AC216" i="3"/>
  <c r="AD216" i="3"/>
  <c r="AA216" i="3"/>
  <c r="U215" i="3" l="1"/>
  <c r="Y214" i="3"/>
  <c r="T216" i="3"/>
  <c r="AH216" i="3" s="1"/>
  <c r="D216" i="3" l="1"/>
  <c r="G216" i="3" s="1"/>
  <c r="AG216" i="3"/>
  <c r="E216" i="3"/>
  <c r="H216" i="3" s="1"/>
  <c r="K216" i="3" l="1"/>
  <c r="AE216" i="3" s="1"/>
  <c r="I216" i="3"/>
  <c r="J216" i="3"/>
  <c r="M216" i="3"/>
  <c r="N216" i="3" s="1"/>
  <c r="F216" i="3"/>
  <c r="V216" i="3" l="1"/>
  <c r="W216" i="3" s="1"/>
  <c r="A217" i="3"/>
  <c r="B217" i="3" s="1"/>
  <c r="L216" i="3"/>
  <c r="U216" i="3" l="1"/>
  <c r="Y215" i="3"/>
  <c r="P217" i="3"/>
  <c r="Q217" i="3" s="1"/>
  <c r="R217" i="3" s="1"/>
  <c r="S217" i="3" s="1"/>
  <c r="AC217" i="3"/>
  <c r="AA217" i="3"/>
  <c r="Z217" i="3"/>
  <c r="T217" i="3" l="1"/>
  <c r="D217" i="3" s="1"/>
  <c r="G217" i="3" l="1"/>
  <c r="AG217" i="3"/>
  <c r="AH217" i="3"/>
  <c r="E217" i="3"/>
  <c r="H217" i="3" s="1"/>
  <c r="I217" i="3" l="1"/>
  <c r="J217" i="3"/>
  <c r="AD217" i="3" s="1"/>
  <c r="M217" i="3"/>
  <c r="N217" i="3" s="1"/>
  <c r="K217" i="3"/>
  <c r="AE217" i="3" s="1"/>
  <c r="F217" i="3"/>
  <c r="V217" i="3" l="1"/>
  <c r="W217" i="3" s="1"/>
  <c r="A218" i="3"/>
  <c r="B218" i="3" s="1"/>
  <c r="L217" i="3"/>
  <c r="U217" i="3" l="1"/>
  <c r="Y216" i="3"/>
  <c r="AC218" i="3"/>
  <c r="AA218" i="3"/>
  <c r="Z218" i="3"/>
  <c r="P218" i="3"/>
  <c r="Q218" i="3" s="1"/>
  <c r="R218" i="3" s="1"/>
  <c r="S218" i="3" s="1"/>
  <c r="T218" i="3" l="1"/>
  <c r="AG218" i="3" s="1"/>
  <c r="AH218" i="3" l="1"/>
  <c r="E218" i="3"/>
  <c r="H218" i="3" s="1"/>
  <c r="K218" i="3" s="1"/>
  <c r="AE218" i="3" s="1"/>
  <c r="D218" i="3"/>
  <c r="G218" i="3" s="1"/>
  <c r="F218" i="3" l="1"/>
  <c r="I218" i="3"/>
  <c r="J218" i="3"/>
  <c r="AD218" i="3" s="1"/>
  <c r="M218" i="3"/>
  <c r="N218" i="3" s="1"/>
  <c r="V218" i="3"/>
  <c r="A219" i="3"/>
  <c r="B219" i="3" s="1"/>
  <c r="W218" i="3" l="1"/>
  <c r="L218" i="3"/>
  <c r="P219" i="3"/>
  <c r="Q219" i="3" s="1"/>
  <c r="R219" i="3" s="1"/>
  <c r="S219" i="3" s="1"/>
  <c r="AD219" i="3"/>
  <c r="AC219" i="3"/>
  <c r="AA219" i="3"/>
  <c r="Z219" i="3"/>
  <c r="U218" i="3" l="1"/>
  <c r="Y217" i="3"/>
  <c r="T219" i="3"/>
  <c r="AG219" i="3" s="1"/>
  <c r="D219" i="3" l="1"/>
  <c r="E219" i="3"/>
  <c r="H219" i="3" s="1"/>
  <c r="AH219" i="3"/>
  <c r="F219" i="3" l="1"/>
  <c r="G219" i="3"/>
  <c r="K219" i="3"/>
  <c r="AE219" i="3" s="1"/>
  <c r="I219" i="3" l="1"/>
  <c r="J219" i="3"/>
  <c r="M219" i="3"/>
  <c r="N219" i="3" s="1"/>
  <c r="V219" i="3"/>
  <c r="A220" i="3"/>
  <c r="B220" i="3" s="1"/>
  <c r="W219" i="3" l="1"/>
  <c r="L219" i="3"/>
  <c r="AC220" i="3"/>
  <c r="AD220" i="3"/>
  <c r="Z220" i="3"/>
  <c r="P220" i="3"/>
  <c r="Q220" i="3" s="1"/>
  <c r="R220" i="3" s="1"/>
  <c r="S220" i="3" s="1"/>
  <c r="AA220" i="3"/>
  <c r="U219" i="3" l="1"/>
  <c r="Y218" i="3"/>
  <c r="T220" i="3"/>
  <c r="E220" i="3" l="1"/>
  <c r="H220" i="3" s="1"/>
  <c r="K220" i="3" s="1"/>
  <c r="AE220" i="3" s="1"/>
  <c r="D220" i="3"/>
  <c r="G220" i="3" s="1"/>
  <c r="AG220" i="3"/>
  <c r="AH220" i="3"/>
  <c r="F220" i="3" l="1"/>
  <c r="I220" i="3"/>
  <c r="J220" i="3"/>
  <c r="M220" i="3"/>
  <c r="N220" i="3" s="1"/>
  <c r="V220" i="3"/>
  <c r="A221" i="3"/>
  <c r="B221" i="3" s="1"/>
  <c r="W220" i="3" l="1"/>
  <c r="L220" i="3"/>
  <c r="AA221" i="3"/>
  <c r="AC221" i="3"/>
  <c r="AD221" i="3"/>
  <c r="P221" i="3"/>
  <c r="Q221" i="3" s="1"/>
  <c r="R221" i="3" s="1"/>
  <c r="S221" i="3" s="1"/>
  <c r="Z221" i="3"/>
  <c r="T221" i="3" l="1"/>
  <c r="U220" i="3"/>
  <c r="Y219" i="3"/>
  <c r="D221" i="3" l="1"/>
  <c r="G221" i="3" s="1"/>
  <c r="AH221" i="3"/>
  <c r="AG221" i="3"/>
  <c r="E221" i="3"/>
  <c r="H221" i="3" s="1"/>
  <c r="K221" i="3" l="1"/>
  <c r="AE221" i="3" s="1"/>
  <c r="I221" i="3"/>
  <c r="J221" i="3"/>
  <c r="M221" i="3"/>
  <c r="N221" i="3" s="1"/>
  <c r="F221" i="3"/>
  <c r="L221" i="3" l="1"/>
  <c r="V221" i="3"/>
  <c r="W221" i="3" s="1"/>
  <c r="A222" i="3"/>
  <c r="B222" i="3" s="1"/>
  <c r="P222" i="3" l="1"/>
  <c r="Q222" i="3" s="1"/>
  <c r="R222" i="3" s="1"/>
  <c r="S222" i="3" s="1"/>
  <c r="AC222" i="3"/>
  <c r="Z222" i="3"/>
  <c r="AA222" i="3"/>
  <c r="AD222" i="3"/>
  <c r="U221" i="3"/>
  <c r="Y220" i="3"/>
  <c r="T222" i="3" l="1"/>
  <c r="AH222" i="3" s="1"/>
  <c r="E222" i="3" l="1"/>
  <c r="H222" i="3" s="1"/>
  <c r="AG222" i="3"/>
  <c r="D222" i="3"/>
  <c r="F222" i="3" l="1"/>
  <c r="G222" i="3"/>
  <c r="K222" i="3"/>
  <c r="AE222" i="3" s="1"/>
  <c r="I222" i="3" l="1"/>
  <c r="J222" i="3"/>
  <c r="M222" i="3"/>
  <c r="N222" i="3" s="1"/>
  <c r="V222" i="3"/>
  <c r="A223" i="3"/>
  <c r="B223" i="3" s="1"/>
  <c r="W222" i="3" l="1"/>
  <c r="L222" i="3"/>
  <c r="P223" i="3"/>
  <c r="Q223" i="3" s="1"/>
  <c r="R223" i="3" s="1"/>
  <c r="S223" i="3" s="1"/>
  <c r="Z223" i="3"/>
  <c r="AC223" i="3"/>
  <c r="AD223" i="3"/>
  <c r="AA223" i="3"/>
  <c r="U222" i="3" l="1"/>
  <c r="Y221" i="3"/>
  <c r="T223" i="3"/>
  <c r="D223" i="3" l="1"/>
  <c r="G223" i="3" s="1"/>
  <c r="AG223" i="3"/>
  <c r="AH223" i="3"/>
  <c r="E223" i="3"/>
  <c r="H223" i="3" s="1"/>
  <c r="K223" i="3" s="1"/>
  <c r="AE223" i="3" s="1"/>
  <c r="F223" i="3" l="1"/>
  <c r="I223" i="3"/>
  <c r="J223" i="3"/>
  <c r="M223" i="3"/>
  <c r="N223" i="3" s="1"/>
  <c r="V223" i="3"/>
  <c r="A224" i="3"/>
  <c r="B224" i="3" s="1"/>
  <c r="W223" i="3" l="1"/>
  <c r="L223" i="3"/>
  <c r="Z224" i="3"/>
  <c r="P224" i="3"/>
  <c r="Q224" i="3" s="1"/>
  <c r="R224" i="3" s="1"/>
  <c r="S224" i="3" s="1"/>
  <c r="AC224" i="3"/>
  <c r="AA224" i="3"/>
  <c r="U223" i="3" l="1"/>
  <c r="Y222" i="3"/>
  <c r="T224" i="3"/>
  <c r="D224" i="3" l="1"/>
  <c r="G224" i="3" s="1"/>
  <c r="AG224" i="3"/>
  <c r="AH224" i="3"/>
  <c r="E224" i="3"/>
  <c r="H224" i="3" s="1"/>
  <c r="K224" i="3" s="1"/>
  <c r="AE224" i="3" s="1"/>
  <c r="F224" i="3" l="1"/>
  <c r="I224" i="3"/>
  <c r="J224" i="3"/>
  <c r="M224" i="3"/>
  <c r="N224" i="3" s="1"/>
  <c r="V224" i="3"/>
  <c r="A225" i="3"/>
  <c r="B225" i="3" s="1"/>
  <c r="W224" i="3" l="1"/>
  <c r="L224" i="3"/>
  <c r="AD224" i="3"/>
  <c r="AC225" i="3"/>
  <c r="P225" i="3"/>
  <c r="Q225" i="3" s="1"/>
  <c r="R225" i="3" s="1"/>
  <c r="S225" i="3" s="1"/>
  <c r="AA225" i="3"/>
  <c r="AD225" i="3"/>
  <c r="Z225" i="3"/>
  <c r="U224" i="3" l="1"/>
  <c r="Y223" i="3"/>
  <c r="T225" i="3"/>
  <c r="AG225" i="3" s="1"/>
  <c r="AH225" i="3" l="1"/>
  <c r="E225" i="3"/>
  <c r="H225" i="3" s="1"/>
  <c r="D225" i="3"/>
  <c r="K225" i="3" l="1"/>
  <c r="AE225" i="3" s="1"/>
  <c r="F225" i="3"/>
  <c r="G225" i="3"/>
  <c r="I225" i="3" l="1"/>
  <c r="J225" i="3"/>
  <c r="M225" i="3"/>
  <c r="N225" i="3" s="1"/>
  <c r="V225" i="3"/>
  <c r="A226" i="3"/>
  <c r="B226" i="3" s="1"/>
  <c r="W225" i="3" l="1"/>
  <c r="L225" i="3"/>
  <c r="AD226" i="3"/>
  <c r="Z226" i="3"/>
  <c r="AA226" i="3"/>
  <c r="P226" i="3"/>
  <c r="Q226" i="3" s="1"/>
  <c r="R226" i="3" s="1"/>
  <c r="S226" i="3" s="1"/>
  <c r="AC226" i="3"/>
  <c r="U225" i="3" l="1"/>
  <c r="Y224" i="3"/>
  <c r="T226" i="3"/>
  <c r="D226" i="3" l="1"/>
  <c r="G226" i="3" s="1"/>
  <c r="AH226" i="3"/>
  <c r="AG226" i="3"/>
  <c r="E226" i="3"/>
  <c r="H226" i="3" s="1"/>
  <c r="F226" i="3" l="1"/>
  <c r="I226" i="3"/>
  <c r="J226" i="3"/>
  <c r="M226" i="3"/>
  <c r="N226" i="3" s="1"/>
  <c r="K226" i="3"/>
  <c r="AE226" i="3" s="1"/>
  <c r="V226" i="3" l="1"/>
  <c r="W226" i="3" s="1"/>
  <c r="A227" i="3"/>
  <c r="B227" i="3" s="1"/>
  <c r="L226" i="3"/>
  <c r="U226" i="3" l="1"/>
  <c r="Y225" i="3"/>
  <c r="P227" i="3"/>
  <c r="Q227" i="3" s="1"/>
  <c r="R227" i="3" s="1"/>
  <c r="S227" i="3" s="1"/>
  <c r="AA227" i="3"/>
  <c r="Z227" i="3"/>
  <c r="AC227" i="3"/>
  <c r="T227" i="3" l="1"/>
  <c r="D227" i="3" s="1"/>
  <c r="E227" i="3" l="1"/>
  <c r="H227" i="3" s="1"/>
  <c r="K227" i="3" s="1"/>
  <c r="AE227" i="3" s="1"/>
  <c r="AH227" i="3"/>
  <c r="AG227" i="3"/>
  <c r="G227" i="3"/>
  <c r="F227" i="3" l="1"/>
  <c r="V227" i="3"/>
  <c r="A228" i="3"/>
  <c r="B228" i="3" s="1"/>
  <c r="I227" i="3"/>
  <c r="J227" i="3"/>
  <c r="AD227" i="3" s="1"/>
  <c r="M227" i="3"/>
  <c r="N227" i="3" s="1"/>
  <c r="L227" i="3" l="1"/>
  <c r="W227" i="3"/>
  <c r="AA228" i="3"/>
  <c r="Z228" i="3"/>
  <c r="P228" i="3"/>
  <c r="Q228" i="3" s="1"/>
  <c r="R228" i="3" s="1"/>
  <c r="S228" i="3" s="1"/>
  <c r="AC228" i="3"/>
  <c r="T228" i="3" l="1"/>
  <c r="AG228" i="3" s="1"/>
  <c r="U227" i="3"/>
  <c r="Y226" i="3"/>
  <c r="AH228" i="3" l="1"/>
  <c r="E228" i="3"/>
  <c r="H228" i="3" s="1"/>
  <c r="D228" i="3"/>
  <c r="K228" i="3" l="1"/>
  <c r="AE228" i="3" s="1"/>
  <c r="F228" i="3"/>
  <c r="G228" i="3"/>
  <c r="V228" i="3" l="1"/>
  <c r="A229" i="3"/>
  <c r="B229" i="3" s="1"/>
  <c r="I228" i="3"/>
  <c r="J228" i="3"/>
  <c r="AD228" i="3" s="1"/>
  <c r="M228" i="3"/>
  <c r="N228" i="3" s="1"/>
  <c r="W228" i="3" l="1"/>
  <c r="L228" i="3"/>
  <c r="AA229" i="3"/>
  <c r="AD229" i="3"/>
  <c r="AC229" i="3"/>
  <c r="P229" i="3"/>
  <c r="Q229" i="3" s="1"/>
  <c r="R229" i="3" s="1"/>
  <c r="S229" i="3" s="1"/>
  <c r="Z229" i="3"/>
  <c r="U228" i="3" l="1"/>
  <c r="Y227" i="3"/>
  <c r="T229" i="3"/>
  <c r="AH229" i="3" s="1"/>
  <c r="D229" i="3" l="1"/>
  <c r="E229" i="3"/>
  <c r="H229" i="3" s="1"/>
  <c r="AG229" i="3"/>
  <c r="K229" i="3" l="1"/>
  <c r="AE229" i="3" s="1"/>
  <c r="F229" i="3"/>
  <c r="G229" i="3"/>
  <c r="V229" i="3" l="1"/>
  <c r="A230" i="3"/>
  <c r="B230" i="3" s="1"/>
  <c r="I229" i="3"/>
  <c r="J229" i="3"/>
  <c r="M229" i="3"/>
  <c r="N229" i="3" s="1"/>
  <c r="L229" i="3" l="1"/>
  <c r="W229" i="3"/>
  <c r="P230" i="3"/>
  <c r="Q230" i="3" s="1"/>
  <c r="R230" i="3" s="1"/>
  <c r="S230" i="3" s="1"/>
  <c r="AA230" i="3"/>
  <c r="AC230" i="3"/>
  <c r="AD230" i="3"/>
  <c r="Z230" i="3"/>
  <c r="U229" i="3" l="1"/>
  <c r="Y228" i="3"/>
  <c r="T230" i="3"/>
  <c r="AH230" i="3" s="1"/>
  <c r="AG230" i="3" l="1"/>
  <c r="D230" i="3"/>
  <c r="E230" i="3"/>
  <c r="H230" i="3" s="1"/>
  <c r="K230" i="3" l="1"/>
  <c r="AE230" i="3" s="1"/>
  <c r="F230" i="3"/>
  <c r="G230" i="3"/>
  <c r="I230" i="3" l="1"/>
  <c r="J230" i="3"/>
  <c r="M230" i="3"/>
  <c r="N230" i="3" s="1"/>
  <c r="V230" i="3"/>
  <c r="A231" i="3"/>
  <c r="B231" i="3" s="1"/>
  <c r="W230" i="3" l="1"/>
  <c r="L230" i="3"/>
  <c r="AD231" i="3"/>
  <c r="P231" i="3"/>
  <c r="Q231" i="3" s="1"/>
  <c r="R231" i="3" s="1"/>
  <c r="S231" i="3" s="1"/>
  <c r="AA231" i="3"/>
  <c r="Z231" i="3"/>
  <c r="AC231" i="3"/>
  <c r="T231" i="3" l="1"/>
  <c r="U230" i="3"/>
  <c r="Y229" i="3"/>
  <c r="D231" i="3" l="1"/>
  <c r="G231" i="3" s="1"/>
  <c r="E231" i="3"/>
  <c r="H231" i="3" s="1"/>
  <c r="K231" i="3" s="1"/>
  <c r="AE231" i="3" s="1"/>
  <c r="AG231" i="3"/>
  <c r="AH231" i="3"/>
  <c r="F231" i="3" l="1"/>
  <c r="V231" i="3"/>
  <c r="A232" i="3"/>
  <c r="B232" i="3" s="1"/>
  <c r="I231" i="3"/>
  <c r="J231" i="3"/>
  <c r="M231" i="3"/>
  <c r="N231" i="3" s="1"/>
  <c r="L231" i="3" l="1"/>
  <c r="W231" i="3"/>
  <c r="P232" i="3"/>
  <c r="Q232" i="3" s="1"/>
  <c r="R232" i="3" s="1"/>
  <c r="S232" i="3" s="1"/>
  <c r="AD232" i="3"/>
  <c r="Z232" i="3"/>
  <c r="AA232" i="3"/>
  <c r="AC232" i="3"/>
  <c r="U231" i="3" l="1"/>
  <c r="Y230" i="3"/>
  <c r="T232" i="3"/>
  <c r="D232" i="3" l="1"/>
  <c r="G232" i="3" s="1"/>
  <c r="AG232" i="3"/>
  <c r="E232" i="3"/>
  <c r="H232" i="3" s="1"/>
  <c r="AH232" i="3"/>
  <c r="F232" i="3" l="1"/>
  <c r="I232" i="3"/>
  <c r="J232" i="3"/>
  <c r="M232" i="3"/>
  <c r="N232" i="3" s="1"/>
  <c r="K232" i="3"/>
  <c r="AE232" i="3" s="1"/>
  <c r="V232" i="3" l="1"/>
  <c r="W232" i="3" s="1"/>
  <c r="A233" i="3"/>
  <c r="B233" i="3" s="1"/>
  <c r="L232" i="3"/>
  <c r="U232" i="3" l="1"/>
  <c r="Y231" i="3"/>
  <c r="AA233" i="3"/>
  <c r="AD233" i="3"/>
  <c r="AC233" i="3"/>
  <c r="P233" i="3"/>
  <c r="Q233" i="3" s="1"/>
  <c r="R233" i="3" s="1"/>
  <c r="S233" i="3" s="1"/>
  <c r="Z233" i="3"/>
  <c r="T233" i="3" l="1"/>
  <c r="D233" i="3" s="1"/>
  <c r="AG233" i="3" l="1"/>
  <c r="AH233" i="3"/>
  <c r="E233" i="3"/>
  <c r="H233" i="3" s="1"/>
  <c r="K233" i="3" s="1"/>
  <c r="AE233" i="3" s="1"/>
  <c r="G233" i="3"/>
  <c r="F233" i="3" l="1"/>
  <c r="I233" i="3"/>
  <c r="J233" i="3"/>
  <c r="M233" i="3"/>
  <c r="N233" i="3" s="1"/>
  <c r="V233" i="3"/>
  <c r="A234" i="3"/>
  <c r="B234" i="3" s="1"/>
  <c r="W233" i="3" l="1"/>
  <c r="L233" i="3"/>
  <c r="Z234" i="3"/>
  <c r="P234" i="3"/>
  <c r="Q234" i="3" s="1"/>
  <c r="R234" i="3" s="1"/>
  <c r="S234" i="3" s="1"/>
  <c r="AC234" i="3"/>
  <c r="AA234" i="3"/>
  <c r="U233" i="3" l="1"/>
  <c r="Y232" i="3"/>
  <c r="T234" i="3"/>
  <c r="E234" i="3" l="1"/>
  <c r="H234" i="3" s="1"/>
  <c r="K234" i="3" s="1"/>
  <c r="AE234" i="3" s="1"/>
  <c r="AG234" i="3"/>
  <c r="AH234" i="3"/>
  <c r="D234" i="3"/>
  <c r="G234" i="3" s="1"/>
  <c r="F234" i="3" l="1"/>
  <c r="I234" i="3"/>
  <c r="J234" i="3"/>
  <c r="M234" i="3"/>
  <c r="N234" i="3" s="1"/>
  <c r="V234" i="3"/>
  <c r="A235" i="3"/>
  <c r="B235" i="3" s="1"/>
  <c r="L234" i="3" l="1"/>
  <c r="AD234" i="3"/>
  <c r="W234" i="3"/>
  <c r="AC235" i="3"/>
  <c r="AA235" i="3"/>
  <c r="Z235" i="3"/>
  <c r="P235" i="3"/>
  <c r="Q235" i="3" s="1"/>
  <c r="R235" i="3" s="1"/>
  <c r="S235" i="3" s="1"/>
  <c r="AD235" i="3"/>
  <c r="U234" i="3" l="1"/>
  <c r="Y233" i="3"/>
  <c r="T235" i="3"/>
  <c r="E235" i="3" l="1"/>
  <c r="H235" i="3" s="1"/>
  <c r="K235" i="3" s="1"/>
  <c r="AE235" i="3" s="1"/>
  <c r="AG235" i="3"/>
  <c r="D235" i="3"/>
  <c r="AH235" i="3"/>
  <c r="F235" i="3" l="1"/>
  <c r="G235" i="3"/>
  <c r="V235" i="3"/>
  <c r="A236" i="3"/>
  <c r="B236" i="3" s="1"/>
  <c r="AD236" i="3" l="1"/>
  <c r="P236" i="3"/>
  <c r="Q236" i="3" s="1"/>
  <c r="R236" i="3" s="1"/>
  <c r="S236" i="3" s="1"/>
  <c r="AA236" i="3"/>
  <c r="Z236" i="3"/>
  <c r="AC236" i="3"/>
  <c r="I235" i="3"/>
  <c r="W235" i="3" s="1"/>
  <c r="J235" i="3"/>
  <c r="M235" i="3"/>
  <c r="N235" i="3" s="1"/>
  <c r="T236" i="3" l="1"/>
  <c r="L235" i="3"/>
  <c r="U235" i="3" l="1"/>
  <c r="D236" i="3" s="1"/>
  <c r="AH236" i="3"/>
  <c r="AG236" i="3"/>
  <c r="Y234" i="3"/>
  <c r="E236" i="3" l="1"/>
  <c r="H236" i="3" s="1"/>
  <c r="K236" i="3" s="1"/>
  <c r="AE236" i="3" s="1"/>
  <c r="G236" i="3"/>
  <c r="F236" i="3" l="1"/>
  <c r="I236" i="3"/>
  <c r="J236" i="3"/>
  <c r="M236" i="3"/>
  <c r="N236" i="3" s="1"/>
  <c r="V236" i="3"/>
  <c r="A237" i="3"/>
  <c r="B237" i="3" s="1"/>
  <c r="W236" i="3" l="1"/>
  <c r="L236" i="3"/>
  <c r="P237" i="3"/>
  <c r="Q237" i="3" s="1"/>
  <c r="R237" i="3" s="1"/>
  <c r="S237" i="3" s="1"/>
  <c r="AA237" i="3"/>
  <c r="Z237" i="3"/>
  <c r="AC237" i="3"/>
  <c r="U236" i="3" l="1"/>
  <c r="Y235" i="3"/>
  <c r="T237" i="3"/>
  <c r="AH237" i="3" s="1"/>
  <c r="E237" i="3" l="1"/>
  <c r="H237" i="3" s="1"/>
  <c r="K237" i="3" s="1"/>
  <c r="AE237" i="3" s="1"/>
  <c r="AG237" i="3"/>
  <c r="D237" i="3"/>
  <c r="F237" i="3" l="1"/>
  <c r="G237" i="3"/>
  <c r="M237" i="3" s="1"/>
  <c r="N237" i="3" s="1"/>
  <c r="V237" i="3"/>
  <c r="A238" i="3"/>
  <c r="B238" i="3" s="1"/>
  <c r="I237" i="3" l="1"/>
  <c r="W237" i="3" s="1"/>
  <c r="J237" i="3"/>
  <c r="P238" i="3"/>
  <c r="Q238" i="3" s="1"/>
  <c r="R238" i="3" s="1"/>
  <c r="S238" i="3" s="1"/>
  <c r="Z238" i="3"/>
  <c r="AC238" i="3"/>
  <c r="AA238" i="3"/>
  <c r="L237" i="3" l="1"/>
  <c r="U237" i="3" s="1"/>
  <c r="AD237" i="3"/>
  <c r="T238" i="3"/>
  <c r="Y236" i="3" l="1"/>
  <c r="AG238" i="3"/>
  <c r="AH238" i="3"/>
  <c r="E238" i="3"/>
  <c r="H238" i="3" s="1"/>
  <c r="K238" i="3" s="1"/>
  <c r="AE238" i="3" s="1"/>
  <c r="D238" i="3"/>
  <c r="F238" i="3" l="1"/>
  <c r="G238" i="3"/>
  <c r="M238" i="3" s="1"/>
  <c r="N238" i="3" s="1"/>
  <c r="V238" i="3"/>
  <c r="A239" i="3"/>
  <c r="B239" i="3" s="1"/>
  <c r="I238" i="3" l="1"/>
  <c r="W238" i="3" s="1"/>
  <c r="J238" i="3"/>
  <c r="AD239" i="3"/>
  <c r="P239" i="3"/>
  <c r="Q239" i="3" s="1"/>
  <c r="R239" i="3" s="1"/>
  <c r="S239" i="3" s="1"/>
  <c r="AC239" i="3"/>
  <c r="Z239" i="3"/>
  <c r="AA239" i="3"/>
  <c r="L238" i="3" l="1"/>
  <c r="U238" i="3" s="1"/>
  <c r="AD238" i="3"/>
  <c r="T239" i="3"/>
  <c r="Y237" i="3" l="1"/>
  <c r="D239" i="3"/>
  <c r="G239" i="3" s="1"/>
  <c r="E239" i="3"/>
  <c r="H239" i="3" s="1"/>
  <c r="K239" i="3" s="1"/>
  <c r="AE239" i="3" s="1"/>
  <c r="AG239" i="3"/>
  <c r="AH239" i="3"/>
  <c r="F239" i="3" l="1"/>
  <c r="I239" i="3"/>
  <c r="J239" i="3"/>
  <c r="M239" i="3"/>
  <c r="N239" i="3" s="1"/>
  <c r="V239" i="3"/>
  <c r="A240" i="3"/>
  <c r="B240" i="3" s="1"/>
  <c r="W239" i="3" l="1"/>
  <c r="L239" i="3"/>
  <c r="Z240" i="3"/>
  <c r="P240" i="3"/>
  <c r="Q240" i="3" s="1"/>
  <c r="R240" i="3" s="1"/>
  <c r="S240" i="3" s="1"/>
  <c r="AD240" i="3"/>
  <c r="AA240" i="3"/>
  <c r="AC240" i="3"/>
  <c r="U239" i="3" l="1"/>
  <c r="Y238" i="3"/>
  <c r="T240" i="3"/>
  <c r="E240" i="3" l="1"/>
  <c r="H240" i="3" s="1"/>
  <c r="K240" i="3" s="1"/>
  <c r="AE240" i="3" s="1"/>
  <c r="D240" i="3"/>
  <c r="AG240" i="3"/>
  <c r="AH240" i="3"/>
  <c r="V240" i="3" l="1"/>
  <c r="A241" i="3"/>
  <c r="B241" i="3" s="1"/>
  <c r="F240" i="3"/>
  <c r="G240" i="3"/>
  <c r="I240" i="3" l="1"/>
  <c r="W240" i="3" s="1"/>
  <c r="J240" i="3"/>
  <c r="M240" i="3"/>
  <c r="N240" i="3" s="1"/>
  <c r="Z241" i="3"/>
  <c r="AD241" i="3"/>
  <c r="AC241" i="3"/>
  <c r="P241" i="3"/>
  <c r="Q241" i="3" s="1"/>
  <c r="R241" i="3" s="1"/>
  <c r="S241" i="3" s="1"/>
  <c r="AA241" i="3"/>
  <c r="T241" i="3" l="1"/>
  <c r="L240" i="3"/>
  <c r="AG241" i="3" l="1"/>
  <c r="AH241" i="3"/>
  <c r="U240" i="3"/>
  <c r="D241" i="3" s="1"/>
  <c r="Y239" i="3"/>
  <c r="G241" i="3" l="1"/>
  <c r="E241" i="3"/>
  <c r="H241" i="3" s="1"/>
  <c r="F241" i="3" l="1"/>
  <c r="I241" i="3"/>
  <c r="J241" i="3"/>
  <c r="M241" i="3"/>
  <c r="N241" i="3" s="1"/>
  <c r="K241" i="3"/>
  <c r="AE241" i="3" s="1"/>
  <c r="V241" i="3" l="1"/>
  <c r="W241" i="3" s="1"/>
  <c r="A242" i="3"/>
  <c r="B242" i="3" s="1"/>
  <c r="L241" i="3"/>
  <c r="U241" i="3" l="1"/>
  <c r="Y240" i="3"/>
  <c r="Z242" i="3"/>
  <c r="AA242" i="3"/>
  <c r="P242" i="3"/>
  <c r="Q242" i="3" s="1"/>
  <c r="R242" i="3" s="1"/>
  <c r="S242" i="3" s="1"/>
  <c r="AD242" i="3"/>
  <c r="AC242" i="3"/>
  <c r="T242" i="3" l="1"/>
  <c r="D242" i="3" s="1"/>
  <c r="E242" i="3" l="1"/>
  <c r="H242" i="3" s="1"/>
  <c r="K242" i="3" s="1"/>
  <c r="AE242" i="3" s="1"/>
  <c r="G242" i="3"/>
  <c r="AH242" i="3"/>
  <c r="AG242" i="3"/>
  <c r="F242" i="3" l="1"/>
  <c r="I242" i="3"/>
  <c r="J242" i="3"/>
  <c r="M242" i="3"/>
  <c r="N242" i="3" s="1"/>
  <c r="V242" i="3"/>
  <c r="A243" i="3"/>
  <c r="B243" i="3" s="1"/>
  <c r="W242" i="3" l="1"/>
  <c r="L242" i="3"/>
  <c r="AA243" i="3"/>
  <c r="AC243" i="3"/>
  <c r="Z243" i="3"/>
  <c r="P243" i="3"/>
  <c r="Q243" i="3" s="1"/>
  <c r="R243" i="3" s="1"/>
  <c r="S243" i="3" s="1"/>
  <c r="AD243" i="3"/>
  <c r="U242" i="3" l="1"/>
  <c r="Y241" i="3"/>
  <c r="T243" i="3"/>
  <c r="AH243" i="3" s="1"/>
  <c r="D243" i="3" l="1"/>
  <c r="G243" i="3" s="1"/>
  <c r="E243" i="3"/>
  <c r="H243" i="3" s="1"/>
  <c r="K243" i="3" s="1"/>
  <c r="AE243" i="3" s="1"/>
  <c r="AG243" i="3"/>
  <c r="F243" i="3" l="1"/>
  <c r="I243" i="3"/>
  <c r="J243" i="3"/>
  <c r="M243" i="3"/>
  <c r="N243" i="3" s="1"/>
  <c r="V243" i="3"/>
  <c r="A244" i="3"/>
  <c r="B244" i="3" s="1"/>
  <c r="W243" i="3" l="1"/>
  <c r="L243" i="3"/>
  <c r="AA244" i="3"/>
  <c r="P244" i="3"/>
  <c r="Q244" i="3" s="1"/>
  <c r="R244" i="3" s="1"/>
  <c r="S244" i="3" s="1"/>
  <c r="Z244" i="3"/>
  <c r="AC244" i="3"/>
  <c r="U243" i="3" l="1"/>
  <c r="Y242" i="3"/>
  <c r="T244" i="3"/>
  <c r="D244" i="3" l="1"/>
  <c r="G244" i="3" s="1"/>
  <c r="E244" i="3"/>
  <c r="H244" i="3" s="1"/>
  <c r="AG244" i="3"/>
  <c r="AH244" i="3"/>
  <c r="I244" i="3" l="1"/>
  <c r="J244" i="3"/>
  <c r="M244" i="3"/>
  <c r="N244" i="3" s="1"/>
  <c r="F244" i="3"/>
  <c r="K244" i="3"/>
  <c r="AE244" i="3" s="1"/>
  <c r="L244" i="3" l="1"/>
  <c r="AD244" i="3"/>
  <c r="V244" i="3"/>
  <c r="W244" i="3" s="1"/>
  <c r="A245" i="3"/>
  <c r="B245" i="3" s="1"/>
  <c r="U244" i="3" l="1"/>
  <c r="Y243" i="3"/>
  <c r="Z245" i="3"/>
  <c r="AD245" i="3"/>
  <c r="AA245" i="3"/>
  <c r="P245" i="3"/>
  <c r="Q245" i="3" s="1"/>
  <c r="R245" i="3" s="1"/>
  <c r="S245" i="3" s="1"/>
  <c r="AC245" i="3"/>
  <c r="T245" i="3" l="1"/>
  <c r="AG245" i="3" s="1"/>
  <c r="D245" i="3" l="1"/>
  <c r="G245" i="3" s="1"/>
  <c r="AH245" i="3"/>
  <c r="E245" i="3"/>
  <c r="H245" i="3" s="1"/>
  <c r="F245" i="3" l="1"/>
  <c r="I245" i="3"/>
  <c r="J245" i="3"/>
  <c r="M245" i="3"/>
  <c r="N245" i="3" s="1"/>
  <c r="K245" i="3"/>
  <c r="AE245" i="3" s="1"/>
  <c r="V245" i="3" l="1"/>
  <c r="W245" i="3" s="1"/>
  <c r="A246" i="3"/>
  <c r="B246" i="3" s="1"/>
  <c r="L245" i="3"/>
  <c r="U245" i="3" l="1"/>
  <c r="Y244" i="3"/>
  <c r="P246" i="3"/>
  <c r="Q246" i="3" s="1"/>
  <c r="R246" i="3" s="1"/>
  <c r="S246" i="3" s="1"/>
  <c r="AC246" i="3"/>
  <c r="Z246" i="3"/>
  <c r="AD246" i="3"/>
  <c r="AA246" i="3"/>
  <c r="T246" i="3" l="1"/>
  <c r="D246" i="3" s="1"/>
  <c r="E246" i="3" l="1"/>
  <c r="H246" i="3" s="1"/>
  <c r="K246" i="3" s="1"/>
  <c r="AE246" i="3" s="1"/>
  <c r="AG246" i="3"/>
  <c r="AH246" i="3"/>
  <c r="G246" i="3"/>
  <c r="F246" i="3" l="1"/>
  <c r="I246" i="3"/>
  <c r="J246" i="3"/>
  <c r="M246" i="3"/>
  <c r="N246" i="3" s="1"/>
  <c r="V246" i="3"/>
  <c r="A247" i="3"/>
  <c r="B247" i="3" s="1"/>
  <c r="W246" i="3" l="1"/>
  <c r="L246" i="3"/>
  <c r="P247" i="3"/>
  <c r="Q247" i="3" s="1"/>
  <c r="R247" i="3" s="1"/>
  <c r="S247" i="3" s="1"/>
  <c r="AA247" i="3"/>
  <c r="AC247" i="3"/>
  <c r="Z247" i="3"/>
  <c r="U246" i="3" l="1"/>
  <c r="Y245" i="3"/>
  <c r="T247" i="3"/>
  <c r="AG247" i="3" s="1"/>
  <c r="AH247" i="3" l="1"/>
  <c r="D247" i="3"/>
  <c r="E247" i="3"/>
  <c r="H247" i="3" s="1"/>
  <c r="K247" i="3" s="1"/>
  <c r="AE247" i="3" s="1"/>
  <c r="F247" i="3" l="1"/>
  <c r="G247" i="3"/>
  <c r="M247" i="3" s="1"/>
  <c r="N247" i="3" s="1"/>
  <c r="V247" i="3"/>
  <c r="A248" i="3"/>
  <c r="B248" i="3" s="1"/>
  <c r="I247" i="3" l="1"/>
  <c r="W247" i="3" s="1"/>
  <c r="J247" i="3"/>
  <c r="Z248" i="3"/>
  <c r="P248" i="3"/>
  <c r="Q248" i="3" s="1"/>
  <c r="R248" i="3" s="1"/>
  <c r="S248" i="3" s="1"/>
  <c r="AA248" i="3"/>
  <c r="AC248" i="3"/>
  <c r="L247" i="3" l="1"/>
  <c r="U247" i="3" s="1"/>
  <c r="AD247" i="3"/>
  <c r="T248" i="3"/>
  <c r="AG248" i="3" l="1"/>
  <c r="Y246" i="3"/>
  <c r="E248" i="3"/>
  <c r="H248" i="3" s="1"/>
  <c r="K248" i="3" s="1"/>
  <c r="AE248" i="3" s="1"/>
  <c r="AH248" i="3"/>
  <c r="D248" i="3"/>
  <c r="G248" i="3" s="1"/>
  <c r="F248" i="3" l="1"/>
  <c r="I248" i="3"/>
  <c r="J248" i="3"/>
  <c r="AD248" i="3" s="1"/>
  <c r="M248" i="3"/>
  <c r="N248" i="3" s="1"/>
  <c r="V248" i="3"/>
  <c r="A249" i="3"/>
  <c r="B249" i="3" s="1"/>
  <c r="W248" i="3" l="1"/>
  <c r="L248" i="3"/>
  <c r="AC249" i="3"/>
  <c r="P249" i="3"/>
  <c r="Q249" i="3" s="1"/>
  <c r="R249" i="3" s="1"/>
  <c r="S249" i="3" s="1"/>
  <c r="Z249" i="3"/>
  <c r="AD249" i="3"/>
  <c r="AA249" i="3"/>
  <c r="U248" i="3" l="1"/>
  <c r="Y247" i="3"/>
  <c r="T249" i="3"/>
  <c r="AG249" i="3" s="1"/>
  <c r="D249" i="3" l="1"/>
  <c r="G249" i="3" s="1"/>
  <c r="AH249" i="3"/>
  <c r="E249" i="3"/>
  <c r="H249" i="3" s="1"/>
  <c r="K249" i="3" s="1"/>
  <c r="AE249" i="3" s="1"/>
  <c r="F249" i="3" l="1"/>
  <c r="I249" i="3"/>
  <c r="J249" i="3"/>
  <c r="M249" i="3"/>
  <c r="N249" i="3" s="1"/>
  <c r="V249" i="3"/>
  <c r="A250" i="3"/>
  <c r="B250" i="3" s="1"/>
  <c r="W249" i="3" l="1"/>
  <c r="L249" i="3"/>
  <c r="AC250" i="3"/>
  <c r="AA250" i="3"/>
  <c r="P250" i="3"/>
  <c r="Q250" i="3" s="1"/>
  <c r="R250" i="3" s="1"/>
  <c r="S250" i="3" s="1"/>
  <c r="AD250" i="3"/>
  <c r="Z250" i="3"/>
  <c r="T250" i="3" l="1"/>
  <c r="AG250" i="3" s="1"/>
  <c r="U249" i="3"/>
  <c r="Y248" i="3"/>
  <c r="D250" i="3" l="1"/>
  <c r="E250" i="3"/>
  <c r="H250" i="3" s="1"/>
  <c r="AH250" i="3"/>
  <c r="F250" i="3" l="1"/>
  <c r="G250" i="3"/>
  <c r="K250" i="3"/>
  <c r="AE250" i="3" s="1"/>
  <c r="V250" i="3" l="1"/>
  <c r="A251" i="3"/>
  <c r="B251" i="3" s="1"/>
  <c r="I250" i="3"/>
  <c r="J250" i="3"/>
  <c r="M250" i="3"/>
  <c r="N250" i="3" s="1"/>
  <c r="W250" i="3" l="1"/>
  <c r="L250" i="3"/>
  <c r="P251" i="3"/>
  <c r="Q251" i="3" s="1"/>
  <c r="R251" i="3" s="1"/>
  <c r="S251" i="3" s="1"/>
  <c r="AC251" i="3"/>
  <c r="AA251" i="3"/>
  <c r="Z251" i="3"/>
  <c r="AD251" i="3"/>
  <c r="U250" i="3" l="1"/>
  <c r="Y249" i="3"/>
  <c r="T251" i="3"/>
  <c r="D251" i="3" l="1"/>
  <c r="G251" i="3" s="1"/>
  <c r="AG251" i="3"/>
  <c r="AH251" i="3"/>
  <c r="E251" i="3"/>
  <c r="H251" i="3" s="1"/>
  <c r="I251" i="3" l="1"/>
  <c r="J251" i="3"/>
  <c r="M251" i="3"/>
  <c r="N251" i="3" s="1"/>
  <c r="K251" i="3"/>
  <c r="AE251" i="3" s="1"/>
  <c r="F251" i="3"/>
  <c r="V251" i="3" l="1"/>
  <c r="W251" i="3" s="1"/>
  <c r="A252" i="3"/>
  <c r="B252" i="3" s="1"/>
  <c r="L251" i="3"/>
  <c r="U251" i="3" l="1"/>
  <c r="Y250" i="3"/>
  <c r="AD252" i="3"/>
  <c r="Z252" i="3"/>
  <c r="AA252" i="3"/>
  <c r="P252" i="3"/>
  <c r="Q252" i="3" s="1"/>
  <c r="R252" i="3" s="1"/>
  <c r="S252" i="3" s="1"/>
  <c r="AC252" i="3"/>
  <c r="T252" i="3" l="1"/>
  <c r="AH252" i="3" s="1"/>
  <c r="E252" i="3" l="1"/>
  <c r="H252" i="3" s="1"/>
  <c r="K252" i="3" s="1"/>
  <c r="AE252" i="3" s="1"/>
  <c r="AG252" i="3"/>
  <c r="D252" i="3"/>
  <c r="F252" i="3" l="1"/>
  <c r="G252" i="3"/>
  <c r="V252" i="3"/>
  <c r="A253" i="3"/>
  <c r="B253" i="3" s="1"/>
  <c r="AC253" i="3" l="1"/>
  <c r="AA253" i="3"/>
  <c r="AD253" i="3"/>
  <c r="P253" i="3"/>
  <c r="Q253" i="3" s="1"/>
  <c r="R253" i="3" s="1"/>
  <c r="S253" i="3" s="1"/>
  <c r="Z253" i="3"/>
  <c r="I252" i="3"/>
  <c r="W252" i="3" s="1"/>
  <c r="J252" i="3"/>
  <c r="M252" i="3"/>
  <c r="N252" i="3" s="1"/>
  <c r="L252" i="3" l="1"/>
  <c r="T253" i="3"/>
  <c r="AH253" i="3" l="1"/>
  <c r="U252" i="3"/>
  <c r="E253" i="3" s="1"/>
  <c r="H253" i="3" s="1"/>
  <c r="AG253" i="3"/>
  <c r="Y251" i="3"/>
  <c r="D253" i="3" l="1"/>
  <c r="F253" i="3" s="1"/>
  <c r="K253" i="3"/>
  <c r="AE253" i="3" s="1"/>
  <c r="G253" i="3" l="1"/>
  <c r="J253" i="3" s="1"/>
  <c r="V253" i="3"/>
  <c r="A254" i="3"/>
  <c r="B254" i="3" s="1"/>
  <c r="M253" i="3" l="1"/>
  <c r="N253" i="3" s="1"/>
  <c r="I253" i="3"/>
  <c r="W253" i="3" s="1"/>
  <c r="L253" i="3"/>
  <c r="AA254" i="3"/>
  <c r="AC254" i="3"/>
  <c r="P254" i="3"/>
  <c r="Q254" i="3" s="1"/>
  <c r="R254" i="3" s="1"/>
  <c r="S254" i="3" s="1"/>
  <c r="Z254" i="3"/>
  <c r="U253" i="3" l="1"/>
  <c r="Y252" i="3"/>
  <c r="T254" i="3"/>
  <c r="AH254" i="3" s="1"/>
  <c r="D254" i="3" l="1"/>
  <c r="G254" i="3" s="1"/>
  <c r="E254" i="3"/>
  <c r="H254" i="3" s="1"/>
  <c r="K254" i="3" s="1"/>
  <c r="AE254" i="3" s="1"/>
  <c r="AG254" i="3"/>
  <c r="F254" i="3" l="1"/>
  <c r="I254" i="3"/>
  <c r="J254" i="3"/>
  <c r="M254" i="3"/>
  <c r="N254" i="3" s="1"/>
  <c r="V254" i="3"/>
  <c r="A255" i="3"/>
  <c r="B255" i="3" s="1"/>
  <c r="W254" i="3" l="1"/>
  <c r="L254" i="3"/>
  <c r="AD254" i="3"/>
  <c r="AA255" i="3"/>
  <c r="AC255" i="3"/>
  <c r="AD255" i="3"/>
  <c r="Z255" i="3"/>
  <c r="P255" i="3"/>
  <c r="Q255" i="3" s="1"/>
  <c r="R255" i="3" s="1"/>
  <c r="S255" i="3" s="1"/>
  <c r="U254" i="3" l="1"/>
  <c r="Y253" i="3"/>
  <c r="T255" i="3"/>
  <c r="D255" i="3" l="1"/>
  <c r="G255" i="3" s="1"/>
  <c r="AG255" i="3"/>
  <c r="AH255" i="3"/>
  <c r="E255" i="3"/>
  <c r="H255" i="3" s="1"/>
  <c r="K255" i="3" s="1"/>
  <c r="AE255" i="3" s="1"/>
  <c r="F255" i="3" l="1"/>
  <c r="I255" i="3"/>
  <c r="J255" i="3"/>
  <c r="M255" i="3"/>
  <c r="N255" i="3" s="1"/>
  <c r="V255" i="3"/>
  <c r="A256" i="3"/>
  <c r="B256" i="3" s="1"/>
  <c r="W255" i="3" l="1"/>
  <c r="L255" i="3"/>
  <c r="AA256" i="3"/>
  <c r="AD256" i="3"/>
  <c r="P256" i="3"/>
  <c r="Q256" i="3" s="1"/>
  <c r="R256" i="3" s="1"/>
  <c r="S256" i="3" s="1"/>
  <c r="Z256" i="3"/>
  <c r="AC256" i="3"/>
  <c r="U255" i="3" l="1"/>
  <c r="Y254" i="3"/>
  <c r="T256" i="3"/>
  <c r="D256" i="3" l="1"/>
  <c r="G256" i="3" s="1"/>
  <c r="E256" i="3"/>
  <c r="H256" i="3" s="1"/>
  <c r="AH256" i="3"/>
  <c r="AG256" i="3"/>
  <c r="F256" i="3" l="1"/>
  <c r="I256" i="3"/>
  <c r="J256" i="3"/>
  <c r="M256" i="3"/>
  <c r="N256" i="3" s="1"/>
  <c r="K256" i="3"/>
  <c r="AE256" i="3" s="1"/>
  <c r="L256" i="3" l="1"/>
  <c r="V256" i="3"/>
  <c r="W256" i="3" s="1"/>
  <c r="A257" i="3"/>
  <c r="B257" i="3" s="1"/>
  <c r="U256" i="3" l="1"/>
  <c r="Y255" i="3"/>
  <c r="AC257" i="3"/>
  <c r="Z257" i="3"/>
  <c r="P257" i="3"/>
  <c r="Q257" i="3" s="1"/>
  <c r="R257" i="3" s="1"/>
  <c r="S257" i="3" s="1"/>
  <c r="AA257" i="3"/>
  <c r="T257" i="3" l="1"/>
  <c r="D257" i="3" s="1"/>
  <c r="E257" i="3" l="1"/>
  <c r="H257" i="3" s="1"/>
  <c r="K257" i="3" s="1"/>
  <c r="AE257" i="3" s="1"/>
  <c r="AG257" i="3"/>
  <c r="AH257" i="3"/>
  <c r="G257" i="3"/>
  <c r="F257" i="3" l="1"/>
  <c r="V257" i="3"/>
  <c r="A258" i="3"/>
  <c r="B258" i="3" s="1"/>
  <c r="I257" i="3"/>
  <c r="J257" i="3"/>
  <c r="AD257" i="3" s="1"/>
  <c r="M257" i="3"/>
  <c r="N257" i="3" s="1"/>
  <c r="W257" i="3" l="1"/>
  <c r="L257" i="3"/>
  <c r="AC258" i="3"/>
  <c r="Z258" i="3"/>
  <c r="P258" i="3"/>
  <c r="Q258" i="3" s="1"/>
  <c r="R258" i="3" s="1"/>
  <c r="S258" i="3" s="1"/>
  <c r="AA258" i="3"/>
  <c r="U257" i="3" l="1"/>
  <c r="Y256" i="3"/>
  <c r="T258" i="3"/>
  <c r="AG258" i="3" s="1"/>
  <c r="E258" i="3" l="1"/>
  <c r="H258" i="3" s="1"/>
  <c r="D258" i="3"/>
  <c r="AH258" i="3"/>
  <c r="F258" i="3" l="1"/>
  <c r="G258" i="3"/>
  <c r="K258" i="3"/>
  <c r="AE258" i="3" s="1"/>
  <c r="V258" i="3" l="1"/>
  <c r="A259" i="3"/>
  <c r="B259" i="3" s="1"/>
  <c r="I258" i="3"/>
  <c r="J258" i="3"/>
  <c r="AD258" i="3" s="1"/>
  <c r="M258" i="3"/>
  <c r="N258" i="3" s="1"/>
  <c r="L258" i="3" l="1"/>
  <c r="AC259" i="3"/>
  <c r="P259" i="3"/>
  <c r="Q259" i="3" s="1"/>
  <c r="R259" i="3" s="1"/>
  <c r="S259" i="3" s="1"/>
  <c r="Z259" i="3"/>
  <c r="AD259" i="3"/>
  <c r="AA259" i="3"/>
  <c r="W258" i="3"/>
  <c r="U258" i="3" l="1"/>
  <c r="Y257" i="3"/>
  <c r="T259" i="3"/>
  <c r="AH259" i="3" s="1"/>
  <c r="D259" i="3" l="1"/>
  <c r="G259" i="3" s="1"/>
  <c r="AG259" i="3"/>
  <c r="E259" i="3"/>
  <c r="H259" i="3" s="1"/>
  <c r="K259" i="3" s="1"/>
  <c r="AE259" i="3" s="1"/>
  <c r="F259" i="3" l="1"/>
  <c r="I259" i="3"/>
  <c r="J259" i="3"/>
  <c r="M259" i="3"/>
  <c r="N259" i="3" s="1"/>
  <c r="V259" i="3"/>
  <c r="A260" i="3"/>
  <c r="B260" i="3" s="1"/>
  <c r="W259" i="3" l="1"/>
  <c r="L259" i="3"/>
  <c r="AA260" i="3"/>
  <c r="P260" i="3"/>
  <c r="Q260" i="3" s="1"/>
  <c r="R260" i="3" s="1"/>
  <c r="S260" i="3" s="1"/>
  <c r="AD260" i="3"/>
  <c r="Z260" i="3"/>
  <c r="AC260" i="3"/>
  <c r="U259" i="3" l="1"/>
  <c r="Y258" i="3"/>
  <c r="T260" i="3"/>
  <c r="AH260" i="3" s="1"/>
  <c r="AG260" i="3" l="1"/>
  <c r="D260" i="3"/>
  <c r="E260" i="3"/>
  <c r="H260" i="3" s="1"/>
  <c r="K260" i="3" l="1"/>
  <c r="AE260" i="3" s="1"/>
  <c r="F260" i="3"/>
  <c r="G260" i="3"/>
  <c r="I260" i="3" l="1"/>
  <c r="J260" i="3"/>
  <c r="M260" i="3"/>
  <c r="N260" i="3" s="1"/>
  <c r="V260" i="3"/>
  <c r="A261" i="3"/>
  <c r="B261" i="3" s="1"/>
  <c r="W260" i="3" l="1"/>
  <c r="L260" i="3"/>
  <c r="Z261" i="3"/>
  <c r="AA261" i="3"/>
  <c r="AD261" i="3"/>
  <c r="P261" i="3"/>
  <c r="Q261" i="3" s="1"/>
  <c r="R261" i="3" s="1"/>
  <c r="S261" i="3" s="1"/>
  <c r="AC261" i="3"/>
  <c r="U260" i="3" l="1"/>
  <c r="Y259" i="3"/>
  <c r="T261" i="3"/>
  <c r="AH261" i="3" s="1"/>
  <c r="E261" i="3" l="1"/>
  <c r="H261" i="3" s="1"/>
  <c r="D261" i="3"/>
  <c r="AG261" i="3"/>
  <c r="K261" i="3" l="1"/>
  <c r="AE261" i="3" s="1"/>
  <c r="F261" i="3"/>
  <c r="G261" i="3"/>
  <c r="I261" i="3" l="1"/>
  <c r="J261" i="3"/>
  <c r="M261" i="3"/>
  <c r="N261" i="3" s="1"/>
  <c r="V261" i="3"/>
  <c r="A262" i="3"/>
  <c r="B262" i="3" s="1"/>
  <c r="W261" i="3" l="1"/>
  <c r="L261" i="3"/>
  <c r="AA262" i="3"/>
  <c r="Z262" i="3"/>
  <c r="P262" i="3"/>
  <c r="Q262" i="3" s="1"/>
  <c r="R262" i="3" s="1"/>
  <c r="S262" i="3" s="1"/>
  <c r="AC262" i="3"/>
  <c r="AD262" i="3"/>
  <c r="T262" i="3" l="1"/>
  <c r="AG262" i="3" s="1"/>
  <c r="U261" i="3"/>
  <c r="Y260" i="3"/>
  <c r="E262" i="3" l="1"/>
  <c r="H262" i="3" s="1"/>
  <c r="K262" i="3" s="1"/>
  <c r="AE262" i="3" s="1"/>
  <c r="AH262" i="3"/>
  <c r="D262" i="3"/>
  <c r="F262" i="3" l="1"/>
  <c r="G262" i="3"/>
  <c r="V262" i="3"/>
  <c r="A263" i="3"/>
  <c r="B263" i="3" s="1"/>
  <c r="P263" i="3" l="1"/>
  <c r="Q263" i="3" s="1"/>
  <c r="R263" i="3" s="1"/>
  <c r="S263" i="3" s="1"/>
  <c r="AA263" i="3"/>
  <c r="Z263" i="3"/>
  <c r="AD263" i="3"/>
  <c r="AC263" i="3"/>
  <c r="I262" i="3"/>
  <c r="W262" i="3" s="1"/>
  <c r="J262" i="3"/>
  <c r="M262" i="3"/>
  <c r="N262" i="3" s="1"/>
  <c r="L262" i="3" l="1"/>
  <c r="T263" i="3"/>
  <c r="U262" i="3" l="1"/>
  <c r="E263" i="3" s="1"/>
  <c r="H263" i="3" s="1"/>
  <c r="AH263" i="3"/>
  <c r="AG263" i="3"/>
  <c r="Y261" i="3"/>
  <c r="D263" i="3" l="1"/>
  <c r="G263" i="3" s="1"/>
  <c r="K263" i="3"/>
  <c r="AE263" i="3" s="1"/>
  <c r="F263" i="3" l="1"/>
  <c r="V263" i="3"/>
  <c r="A264" i="3"/>
  <c r="B264" i="3" s="1"/>
  <c r="I263" i="3"/>
  <c r="J263" i="3"/>
  <c r="M263" i="3"/>
  <c r="N263" i="3" s="1"/>
  <c r="W263" i="3" l="1"/>
  <c r="L263" i="3"/>
  <c r="P264" i="3"/>
  <c r="Q264" i="3" s="1"/>
  <c r="R264" i="3" s="1"/>
  <c r="S264" i="3" s="1"/>
  <c r="AA264" i="3"/>
  <c r="AC264" i="3"/>
  <c r="Z264" i="3"/>
  <c r="U263" i="3" l="1"/>
  <c r="Y262" i="3"/>
  <c r="T264" i="3"/>
  <c r="AH264" i="3" s="1"/>
  <c r="AG264" i="3" l="1"/>
  <c r="D264" i="3"/>
  <c r="G264" i="3" s="1"/>
  <c r="E264" i="3"/>
  <c r="H264" i="3" s="1"/>
  <c r="K264" i="3" l="1"/>
  <c r="AE264" i="3" s="1"/>
  <c r="I264" i="3"/>
  <c r="J264" i="3"/>
  <c r="AD264" i="3" s="1"/>
  <c r="M264" i="3"/>
  <c r="N264" i="3" s="1"/>
  <c r="F264" i="3"/>
  <c r="L264" i="3" l="1"/>
  <c r="V264" i="3"/>
  <c r="W264" i="3" s="1"/>
  <c r="A265" i="3"/>
  <c r="B265" i="3" s="1"/>
  <c r="U264" i="3" l="1"/>
  <c r="Y263" i="3"/>
  <c r="P265" i="3"/>
  <c r="Q265" i="3" s="1"/>
  <c r="R265" i="3" s="1"/>
  <c r="S265" i="3" s="1"/>
  <c r="AA265" i="3"/>
  <c r="AD265" i="3"/>
  <c r="Z265" i="3"/>
  <c r="AC265" i="3"/>
  <c r="T265" i="3" l="1"/>
  <c r="AG265" i="3" l="1"/>
  <c r="AH265" i="3"/>
  <c r="D265" i="3"/>
  <c r="E265" i="3"/>
  <c r="H265" i="3" s="1"/>
  <c r="F265" i="3" l="1"/>
  <c r="G265" i="3"/>
  <c r="K265" i="3"/>
  <c r="AE265" i="3" s="1"/>
  <c r="I265" i="3" l="1"/>
  <c r="J265" i="3"/>
  <c r="M265" i="3"/>
  <c r="N265" i="3" s="1"/>
  <c r="V265" i="3"/>
  <c r="A266" i="3"/>
  <c r="B266" i="3" s="1"/>
  <c r="L265" i="3" l="1"/>
  <c r="W265" i="3"/>
  <c r="P266" i="3"/>
  <c r="Q266" i="3" s="1"/>
  <c r="R266" i="3" s="1"/>
  <c r="S266" i="3" s="1"/>
  <c r="AC266" i="3"/>
  <c r="Z266" i="3"/>
  <c r="AA266" i="3"/>
  <c r="AD266" i="3"/>
  <c r="T266" i="3" l="1"/>
  <c r="U265" i="3"/>
  <c r="Y264" i="3"/>
  <c r="E266" i="3" l="1"/>
  <c r="H266" i="3" s="1"/>
  <c r="K266" i="3" s="1"/>
  <c r="AE266" i="3" s="1"/>
  <c r="AH266" i="3"/>
  <c r="AG266" i="3"/>
  <c r="D266" i="3"/>
  <c r="V266" i="3" l="1"/>
  <c r="A267" i="3"/>
  <c r="B267" i="3" s="1"/>
  <c r="F266" i="3"/>
  <c r="G266" i="3"/>
  <c r="I266" i="3" l="1"/>
  <c r="W266" i="3" s="1"/>
  <c r="J266" i="3"/>
  <c r="M266" i="3"/>
  <c r="N266" i="3" s="1"/>
  <c r="AC267" i="3"/>
  <c r="P267" i="3"/>
  <c r="Q267" i="3" s="1"/>
  <c r="R267" i="3" s="1"/>
  <c r="S267" i="3" s="1"/>
  <c r="AA267" i="3"/>
  <c r="Z267" i="3"/>
  <c r="T267" i="3" l="1"/>
  <c r="L266" i="3"/>
  <c r="AH267" i="3" l="1"/>
  <c r="AG267" i="3"/>
  <c r="U266" i="3"/>
  <c r="E267" i="3" s="1"/>
  <c r="H267" i="3" s="1"/>
  <c r="Y265" i="3"/>
  <c r="K267" i="3" l="1"/>
  <c r="AE267" i="3" s="1"/>
  <c r="D267" i="3"/>
  <c r="V267" i="3" l="1"/>
  <c r="A268" i="3"/>
  <c r="B268" i="3" s="1"/>
  <c r="F267" i="3"/>
  <c r="G267" i="3"/>
  <c r="I267" i="3" l="1"/>
  <c r="W267" i="3" s="1"/>
  <c r="J267" i="3"/>
  <c r="AD267" i="3" s="1"/>
  <c r="M267" i="3"/>
  <c r="N267" i="3" s="1"/>
  <c r="AC268" i="3"/>
  <c r="P268" i="3"/>
  <c r="Q268" i="3" s="1"/>
  <c r="R268" i="3" s="1"/>
  <c r="S268" i="3" s="1"/>
  <c r="Z268" i="3"/>
  <c r="AA268" i="3"/>
  <c r="T268" i="3" l="1"/>
  <c r="L267" i="3"/>
  <c r="U267" i="3" l="1"/>
  <c r="E268" i="3" s="1"/>
  <c r="H268" i="3" s="1"/>
  <c r="AH268" i="3"/>
  <c r="AG268" i="3"/>
  <c r="Y266" i="3"/>
  <c r="K268" i="3" l="1"/>
  <c r="AE268" i="3" s="1"/>
  <c r="D268" i="3"/>
  <c r="V268" i="3" l="1"/>
  <c r="A269" i="3"/>
  <c r="B269" i="3" s="1"/>
  <c r="F268" i="3"/>
  <c r="G268" i="3"/>
  <c r="I268" i="3" l="1"/>
  <c r="W268" i="3" s="1"/>
  <c r="J268" i="3"/>
  <c r="AD268" i="3" s="1"/>
  <c r="M268" i="3"/>
  <c r="N268" i="3" s="1"/>
  <c r="AD269" i="3"/>
  <c r="P269" i="3"/>
  <c r="Q269" i="3" s="1"/>
  <c r="R269" i="3" s="1"/>
  <c r="S269" i="3" s="1"/>
  <c r="AA269" i="3"/>
  <c r="Z269" i="3"/>
  <c r="AC269" i="3"/>
  <c r="T269" i="3" l="1"/>
  <c r="L268" i="3"/>
  <c r="U268" i="3" l="1"/>
  <c r="D269" i="3" s="1"/>
  <c r="AH269" i="3"/>
  <c r="AG269" i="3"/>
  <c r="Y267" i="3"/>
  <c r="G269" i="3" l="1"/>
  <c r="E269" i="3"/>
  <c r="H269" i="3" s="1"/>
  <c r="F269" i="3" l="1"/>
  <c r="I269" i="3"/>
  <c r="J269" i="3"/>
  <c r="M269" i="3"/>
  <c r="N269" i="3" s="1"/>
  <c r="K269" i="3"/>
  <c r="AE269" i="3" s="1"/>
  <c r="V269" i="3" l="1"/>
  <c r="W269" i="3" s="1"/>
  <c r="A270" i="3"/>
  <c r="B270" i="3" s="1"/>
  <c r="L269" i="3"/>
  <c r="U269" i="3" l="1"/>
  <c r="Y268" i="3"/>
  <c r="AA270" i="3"/>
  <c r="Z270" i="3"/>
  <c r="P270" i="3"/>
  <c r="Q270" i="3" s="1"/>
  <c r="R270" i="3" s="1"/>
  <c r="S270" i="3" s="1"/>
  <c r="AC270" i="3"/>
  <c r="AD270" i="3"/>
  <c r="T270" i="3" l="1"/>
  <c r="AG270" i="3" s="1"/>
  <c r="AH270" i="3" l="1"/>
  <c r="E270" i="3"/>
  <c r="H270" i="3" s="1"/>
  <c r="K270" i="3" s="1"/>
  <c r="AE270" i="3" s="1"/>
  <c r="D270" i="3"/>
  <c r="G270" i="3" s="1"/>
  <c r="F270" i="3" l="1"/>
  <c r="V270" i="3"/>
  <c r="A271" i="3"/>
  <c r="B271" i="3" s="1"/>
  <c r="I270" i="3"/>
  <c r="J270" i="3"/>
  <c r="M270" i="3"/>
  <c r="N270" i="3" s="1"/>
  <c r="L270" i="3" l="1"/>
  <c r="Z271" i="3"/>
  <c r="AA271" i="3"/>
  <c r="P271" i="3"/>
  <c r="Q271" i="3" s="1"/>
  <c r="R271" i="3" s="1"/>
  <c r="S271" i="3" s="1"/>
  <c r="AC271" i="3"/>
  <c r="AD271" i="3"/>
  <c r="W270" i="3"/>
  <c r="U270" i="3" l="1"/>
  <c r="Y269" i="3"/>
  <c r="T271" i="3"/>
  <c r="AH271" i="3" s="1"/>
  <c r="AG271" i="3" l="1"/>
  <c r="D271" i="3"/>
  <c r="E271" i="3"/>
  <c r="H271" i="3" s="1"/>
  <c r="K271" i="3" l="1"/>
  <c r="AE271" i="3" s="1"/>
  <c r="F271" i="3"/>
  <c r="G271" i="3"/>
  <c r="I271" i="3" l="1"/>
  <c r="J271" i="3"/>
  <c r="M271" i="3"/>
  <c r="N271" i="3" s="1"/>
  <c r="V271" i="3"/>
  <c r="A272" i="3"/>
  <c r="B272" i="3" s="1"/>
  <c r="W271" i="3" l="1"/>
  <c r="L271" i="3"/>
  <c r="AD272" i="3"/>
  <c r="Z272" i="3"/>
  <c r="AA272" i="3"/>
  <c r="P272" i="3"/>
  <c r="Q272" i="3" s="1"/>
  <c r="R272" i="3" s="1"/>
  <c r="S272" i="3" s="1"/>
  <c r="AC272" i="3"/>
  <c r="T272" i="3" l="1"/>
  <c r="U271" i="3"/>
  <c r="Y270" i="3"/>
  <c r="D272" i="3" l="1"/>
  <c r="G272" i="3" s="1"/>
  <c r="E272" i="3"/>
  <c r="H272" i="3" s="1"/>
  <c r="K272" i="3" s="1"/>
  <c r="AE272" i="3" s="1"/>
  <c r="AG272" i="3"/>
  <c r="AH272" i="3"/>
  <c r="F272" i="3" l="1"/>
  <c r="I272" i="3"/>
  <c r="J272" i="3"/>
  <c r="M272" i="3"/>
  <c r="N272" i="3" s="1"/>
  <c r="V272" i="3"/>
  <c r="A273" i="3"/>
  <c r="B273" i="3" s="1"/>
  <c r="W272" i="3" l="1"/>
  <c r="L272" i="3"/>
  <c r="AA273" i="3"/>
  <c r="P273" i="3"/>
  <c r="Q273" i="3" s="1"/>
  <c r="R273" i="3" s="1"/>
  <c r="S273" i="3" s="1"/>
  <c r="Z273" i="3"/>
  <c r="AC273" i="3"/>
  <c r="AD273" i="3"/>
  <c r="T273" i="3" l="1"/>
  <c r="AG273" i="3" s="1"/>
  <c r="U272" i="3"/>
  <c r="Y271" i="3"/>
  <c r="D273" i="3" l="1"/>
  <c r="G273" i="3" s="1"/>
  <c r="AH273" i="3"/>
  <c r="E273" i="3"/>
  <c r="H273" i="3" s="1"/>
  <c r="F273" i="3" l="1"/>
  <c r="I273" i="3"/>
  <c r="J273" i="3"/>
  <c r="M273" i="3"/>
  <c r="N273" i="3" s="1"/>
  <c r="K273" i="3"/>
  <c r="AE273" i="3" s="1"/>
  <c r="L273" i="3" l="1"/>
  <c r="V273" i="3"/>
  <c r="W273" i="3" s="1"/>
  <c r="A274" i="3"/>
  <c r="B274" i="3" s="1"/>
  <c r="P274" i="3" l="1"/>
  <c r="Q274" i="3" s="1"/>
  <c r="R274" i="3" s="1"/>
  <c r="S274" i="3" s="1"/>
  <c r="AC274" i="3"/>
  <c r="Z274" i="3"/>
  <c r="AA274" i="3"/>
  <c r="U273" i="3"/>
  <c r="Y272" i="3"/>
  <c r="T274" i="3" l="1"/>
  <c r="AG274" i="3" s="1"/>
  <c r="D274" i="3" l="1"/>
  <c r="G274" i="3" s="1"/>
  <c r="AH274" i="3"/>
  <c r="E274" i="3"/>
  <c r="H274" i="3" s="1"/>
  <c r="I274" i="3" l="1"/>
  <c r="J274" i="3"/>
  <c r="AD274" i="3" s="1"/>
  <c r="M274" i="3"/>
  <c r="N274" i="3" s="1"/>
  <c r="K274" i="3"/>
  <c r="AE274" i="3" s="1"/>
  <c r="F274" i="3"/>
  <c r="L274" i="3" l="1"/>
  <c r="V274" i="3"/>
  <c r="W274" i="3" s="1"/>
  <c r="A275" i="3"/>
  <c r="B275" i="3" s="1"/>
  <c r="U274" i="3" l="1"/>
  <c r="Y273" i="3"/>
  <c r="AA275" i="3"/>
  <c r="P275" i="3"/>
  <c r="Q275" i="3" s="1"/>
  <c r="R275" i="3" s="1"/>
  <c r="S275" i="3" s="1"/>
  <c r="AD275" i="3"/>
  <c r="Z275" i="3"/>
  <c r="AC275" i="3"/>
  <c r="T275" i="3" l="1"/>
  <c r="AH275" i="3" s="1"/>
  <c r="E275" i="3" l="1"/>
  <c r="H275" i="3" s="1"/>
  <c r="AG275" i="3"/>
  <c r="D275" i="3"/>
  <c r="F275" i="3" l="1"/>
  <c r="G275" i="3"/>
  <c r="K275" i="3"/>
  <c r="AE275" i="3" s="1"/>
  <c r="I275" i="3" l="1"/>
  <c r="J275" i="3"/>
  <c r="M275" i="3"/>
  <c r="N275" i="3" s="1"/>
  <c r="V275" i="3"/>
  <c r="A276" i="3"/>
  <c r="B276" i="3" s="1"/>
  <c r="W275" i="3" l="1"/>
  <c r="L275" i="3"/>
  <c r="AA276" i="3"/>
  <c r="Z276" i="3"/>
  <c r="P276" i="3"/>
  <c r="Q276" i="3" s="1"/>
  <c r="R276" i="3" s="1"/>
  <c r="S276" i="3" s="1"/>
  <c r="AC276" i="3"/>
  <c r="AD276" i="3"/>
  <c r="U275" i="3" l="1"/>
  <c r="Y274" i="3"/>
  <c r="T276" i="3"/>
  <c r="AH276" i="3" s="1"/>
  <c r="D276" i="3" l="1"/>
  <c r="AG276" i="3"/>
  <c r="E276" i="3"/>
  <c r="H276" i="3" s="1"/>
  <c r="F276" i="3" l="1"/>
  <c r="G276" i="3"/>
  <c r="K276" i="3"/>
  <c r="AE276" i="3" s="1"/>
  <c r="I276" i="3" l="1"/>
  <c r="J276" i="3"/>
  <c r="M276" i="3"/>
  <c r="N276" i="3" s="1"/>
  <c r="V276" i="3"/>
  <c r="A277" i="3"/>
  <c r="B277" i="3" s="1"/>
  <c r="W276" i="3" l="1"/>
  <c r="L276" i="3"/>
  <c r="P277" i="3"/>
  <c r="Q277" i="3" s="1"/>
  <c r="R277" i="3" s="1"/>
  <c r="S277" i="3" s="1"/>
  <c r="AC277" i="3"/>
  <c r="Z277" i="3"/>
  <c r="AA277" i="3"/>
  <c r="U276" i="3" l="1"/>
  <c r="Y275" i="3"/>
  <c r="T277" i="3"/>
  <c r="AG277" i="3" s="1"/>
  <c r="D277" i="3" l="1"/>
  <c r="G277" i="3" s="1"/>
  <c r="E277" i="3"/>
  <c r="H277" i="3" s="1"/>
  <c r="K277" i="3" s="1"/>
  <c r="AE277" i="3" s="1"/>
  <c r="AH277" i="3"/>
  <c r="F277" i="3" l="1"/>
  <c r="V277" i="3"/>
  <c r="A278" i="3"/>
  <c r="B278" i="3" s="1"/>
  <c r="I277" i="3"/>
  <c r="J277" i="3"/>
  <c r="AD277" i="3" s="1"/>
  <c r="M277" i="3"/>
  <c r="N277" i="3" s="1"/>
  <c r="W277" i="3" l="1"/>
  <c r="L277" i="3"/>
  <c r="AC278" i="3"/>
  <c r="Z278" i="3"/>
  <c r="P278" i="3"/>
  <c r="Q278" i="3" s="1"/>
  <c r="R278" i="3" s="1"/>
  <c r="S278" i="3" s="1"/>
  <c r="AA278" i="3"/>
  <c r="T278" i="3" l="1"/>
  <c r="U277" i="3"/>
  <c r="Y276" i="3"/>
  <c r="E278" i="3" l="1"/>
  <c r="H278" i="3" s="1"/>
  <c r="K278" i="3" s="1"/>
  <c r="AE278" i="3" s="1"/>
  <c r="D278" i="3"/>
  <c r="AH278" i="3"/>
  <c r="AG278" i="3"/>
  <c r="V278" i="3" l="1"/>
  <c r="A279" i="3"/>
  <c r="B279" i="3" s="1"/>
  <c r="F278" i="3"/>
  <c r="G278" i="3"/>
  <c r="I278" i="3" l="1"/>
  <c r="W278" i="3" s="1"/>
  <c r="J278" i="3"/>
  <c r="AD278" i="3" s="1"/>
  <c r="M278" i="3"/>
  <c r="N278" i="3" s="1"/>
  <c r="P279" i="3"/>
  <c r="Q279" i="3" s="1"/>
  <c r="R279" i="3" s="1"/>
  <c r="S279" i="3" s="1"/>
  <c r="AA279" i="3"/>
  <c r="AD279" i="3"/>
  <c r="Z279" i="3"/>
  <c r="AC279" i="3"/>
  <c r="T279" i="3" l="1"/>
  <c r="L278" i="3"/>
  <c r="U278" i="3" l="1"/>
  <c r="D279" i="3" s="1"/>
  <c r="AG279" i="3"/>
  <c r="AH279" i="3"/>
  <c r="Y277" i="3"/>
  <c r="G279" i="3" l="1"/>
  <c r="E279" i="3"/>
  <c r="H279" i="3" s="1"/>
  <c r="I279" i="3" l="1"/>
  <c r="J279" i="3"/>
  <c r="M279" i="3"/>
  <c r="N279" i="3" s="1"/>
  <c r="F279" i="3"/>
  <c r="K279" i="3"/>
  <c r="AE279" i="3" s="1"/>
  <c r="V279" i="3" l="1"/>
  <c r="W279" i="3" s="1"/>
  <c r="A280" i="3"/>
  <c r="B280" i="3" s="1"/>
  <c r="L279" i="3"/>
  <c r="U279" i="3" l="1"/>
  <c r="Y278" i="3"/>
  <c r="AA280" i="3"/>
  <c r="P280" i="3"/>
  <c r="Q280" i="3" s="1"/>
  <c r="R280" i="3" s="1"/>
  <c r="S280" i="3" s="1"/>
  <c r="AD280" i="3"/>
  <c r="AC280" i="3"/>
  <c r="Z280" i="3"/>
  <c r="T280" i="3" l="1"/>
  <c r="AH280" i="3" s="1"/>
  <c r="D280" i="3" l="1"/>
  <c r="G280" i="3" s="1"/>
  <c r="E280" i="3"/>
  <c r="H280" i="3" s="1"/>
  <c r="K280" i="3" s="1"/>
  <c r="AE280" i="3" s="1"/>
  <c r="AG280" i="3"/>
  <c r="F280" i="3" l="1"/>
  <c r="I280" i="3"/>
  <c r="J280" i="3"/>
  <c r="M280" i="3"/>
  <c r="N280" i="3" s="1"/>
  <c r="V280" i="3"/>
  <c r="A281" i="3"/>
  <c r="B281" i="3" s="1"/>
  <c r="L280" i="3" l="1"/>
  <c r="W280" i="3"/>
  <c r="AC281" i="3"/>
  <c r="AA281" i="3"/>
  <c r="P281" i="3"/>
  <c r="Q281" i="3" s="1"/>
  <c r="R281" i="3" s="1"/>
  <c r="S281" i="3" s="1"/>
  <c r="AD281" i="3"/>
  <c r="Z281" i="3"/>
  <c r="T281" i="3" l="1"/>
  <c r="AG281" i="3" s="1"/>
  <c r="U280" i="3"/>
  <c r="Y279" i="3"/>
  <c r="D281" i="3" l="1"/>
  <c r="E281" i="3"/>
  <c r="H281" i="3" s="1"/>
  <c r="AH281" i="3"/>
  <c r="F281" i="3" l="1"/>
  <c r="G281" i="3"/>
  <c r="K281" i="3"/>
  <c r="AE281" i="3" s="1"/>
  <c r="I281" i="3" l="1"/>
  <c r="J281" i="3"/>
  <c r="M281" i="3"/>
  <c r="N281" i="3" s="1"/>
  <c r="V281" i="3"/>
  <c r="A282" i="3"/>
  <c r="B282" i="3" s="1"/>
  <c r="W281" i="3" l="1"/>
  <c r="L281" i="3"/>
  <c r="AC282" i="3"/>
  <c r="Z282" i="3"/>
  <c r="AD282" i="3"/>
  <c r="P282" i="3"/>
  <c r="Q282" i="3" s="1"/>
  <c r="R282" i="3" s="1"/>
  <c r="S282" i="3" s="1"/>
  <c r="AA282" i="3"/>
  <c r="U281" i="3" l="1"/>
  <c r="Y280" i="3"/>
  <c r="T282" i="3"/>
  <c r="D282" i="3" l="1"/>
  <c r="G282" i="3" s="1"/>
  <c r="E282" i="3"/>
  <c r="H282" i="3" s="1"/>
  <c r="AH282" i="3"/>
  <c r="AG282" i="3"/>
  <c r="F282" i="3" l="1"/>
  <c r="I282" i="3"/>
  <c r="J282" i="3"/>
  <c r="M282" i="3"/>
  <c r="N282" i="3" s="1"/>
  <c r="K282" i="3"/>
  <c r="AE282" i="3" s="1"/>
  <c r="V282" i="3" l="1"/>
  <c r="W282" i="3" s="1"/>
  <c r="A283" i="3"/>
  <c r="B283" i="3" s="1"/>
  <c r="L282" i="3"/>
  <c r="U282" i="3" l="1"/>
  <c r="Y281" i="3"/>
  <c r="Z283" i="3"/>
  <c r="AC283" i="3"/>
  <c r="AD283" i="3"/>
  <c r="P283" i="3"/>
  <c r="Q283" i="3" s="1"/>
  <c r="R283" i="3" s="1"/>
  <c r="S283" i="3" s="1"/>
  <c r="AA283" i="3"/>
  <c r="T283" i="3" l="1"/>
  <c r="AH283" i="3" s="1"/>
  <c r="AG283" i="3" l="1"/>
  <c r="E283" i="3"/>
  <c r="H283" i="3" s="1"/>
  <c r="K283" i="3" s="1"/>
  <c r="AE283" i="3" s="1"/>
  <c r="D283" i="3"/>
  <c r="F283" i="3" l="1"/>
  <c r="G283" i="3"/>
  <c r="J283" i="3" s="1"/>
  <c r="V283" i="3"/>
  <c r="A284" i="3"/>
  <c r="B284" i="3" s="1"/>
  <c r="M283" i="3" l="1"/>
  <c r="N283" i="3" s="1"/>
  <c r="I283" i="3"/>
  <c r="W283" i="3" s="1"/>
  <c r="L283" i="3"/>
  <c r="AC284" i="3"/>
  <c r="AA284" i="3"/>
  <c r="P284" i="3"/>
  <c r="Q284" i="3" s="1"/>
  <c r="R284" i="3" s="1"/>
  <c r="S284" i="3" s="1"/>
  <c r="Z284" i="3"/>
  <c r="T284" i="3" l="1"/>
  <c r="AH284" i="3" s="1"/>
  <c r="U283" i="3"/>
  <c r="Y282" i="3"/>
  <c r="AG284" i="3" l="1"/>
  <c r="D284" i="3"/>
  <c r="E284" i="3"/>
  <c r="H284" i="3" s="1"/>
  <c r="F284" i="3" l="1"/>
  <c r="G284" i="3"/>
  <c r="K284" i="3"/>
  <c r="AE284" i="3" s="1"/>
  <c r="V284" i="3" l="1"/>
  <c r="A285" i="3"/>
  <c r="B285" i="3" s="1"/>
  <c r="I284" i="3"/>
  <c r="J284" i="3"/>
  <c r="AD284" i="3" s="1"/>
  <c r="M284" i="3"/>
  <c r="N284" i="3" s="1"/>
  <c r="W284" i="3" l="1"/>
  <c r="L284" i="3"/>
  <c r="AD285" i="3"/>
  <c r="AA285" i="3"/>
  <c r="P285" i="3"/>
  <c r="Q285" i="3" s="1"/>
  <c r="R285" i="3" s="1"/>
  <c r="S285" i="3" s="1"/>
  <c r="Z285" i="3"/>
  <c r="AC285" i="3"/>
  <c r="U284" i="3" l="1"/>
  <c r="Y283" i="3"/>
  <c r="T285" i="3"/>
  <c r="E285" i="3" l="1"/>
  <c r="H285" i="3" s="1"/>
  <c r="K285" i="3" s="1"/>
  <c r="AE285" i="3" s="1"/>
  <c r="AH285" i="3"/>
  <c r="D285" i="3"/>
  <c r="G285" i="3" s="1"/>
  <c r="AG285" i="3"/>
  <c r="F285" i="3" l="1"/>
  <c r="V285" i="3"/>
  <c r="A286" i="3"/>
  <c r="B286" i="3" s="1"/>
  <c r="I285" i="3"/>
  <c r="J285" i="3"/>
  <c r="M285" i="3"/>
  <c r="N285" i="3" s="1"/>
  <c r="W285" i="3" l="1"/>
  <c r="L285" i="3"/>
  <c r="AA286" i="3"/>
  <c r="P286" i="3"/>
  <c r="Q286" i="3" s="1"/>
  <c r="R286" i="3" s="1"/>
  <c r="S286" i="3" s="1"/>
  <c r="AD286" i="3"/>
  <c r="AC286" i="3"/>
  <c r="Z286" i="3"/>
  <c r="T286" i="3" l="1"/>
  <c r="AH286" i="3" s="1"/>
  <c r="U285" i="3"/>
  <c r="Y284" i="3"/>
  <c r="D286" i="3" l="1"/>
  <c r="G286" i="3" s="1"/>
  <c r="AG286" i="3"/>
  <c r="E286" i="3"/>
  <c r="H286" i="3" s="1"/>
  <c r="F286" i="3" l="1"/>
  <c r="I286" i="3"/>
  <c r="J286" i="3"/>
  <c r="M286" i="3"/>
  <c r="N286" i="3" s="1"/>
  <c r="K286" i="3"/>
  <c r="AE286" i="3" s="1"/>
  <c r="V286" i="3" l="1"/>
  <c r="W286" i="3" s="1"/>
  <c r="A287" i="3"/>
  <c r="B287" i="3" s="1"/>
  <c r="L286" i="3"/>
  <c r="U286" i="3" l="1"/>
  <c r="Y285" i="3"/>
  <c r="P287" i="3"/>
  <c r="Q287" i="3" s="1"/>
  <c r="R287" i="3" s="1"/>
  <c r="S287" i="3" s="1"/>
  <c r="AA287" i="3"/>
  <c r="Z287" i="3"/>
  <c r="AC287" i="3"/>
  <c r="T287" i="3" l="1"/>
  <c r="D287" i="3" s="1"/>
  <c r="G287" i="3" l="1"/>
  <c r="AH287" i="3"/>
  <c r="AG287" i="3"/>
  <c r="E287" i="3"/>
  <c r="H287" i="3" s="1"/>
  <c r="F287" i="3" l="1"/>
  <c r="K287" i="3"/>
  <c r="AE287" i="3" s="1"/>
  <c r="I287" i="3"/>
  <c r="J287" i="3"/>
  <c r="AD287" i="3" s="1"/>
  <c r="M287" i="3"/>
  <c r="N287" i="3" s="1"/>
  <c r="L287" i="3" l="1"/>
  <c r="V287" i="3"/>
  <c r="W287" i="3" s="1"/>
  <c r="A288" i="3"/>
  <c r="B288" i="3" s="1"/>
  <c r="U287" i="3" l="1"/>
  <c r="Y286" i="3"/>
  <c r="P288" i="3"/>
  <c r="Q288" i="3" s="1"/>
  <c r="R288" i="3" s="1"/>
  <c r="S288" i="3" s="1"/>
  <c r="AA288" i="3"/>
  <c r="AC288" i="3"/>
  <c r="Z288" i="3"/>
  <c r="T288" i="3" l="1"/>
  <c r="D288" i="3" s="1"/>
  <c r="AG288" i="3" l="1"/>
  <c r="AH288" i="3"/>
  <c r="E288" i="3"/>
  <c r="H288" i="3" s="1"/>
  <c r="K288" i="3" s="1"/>
  <c r="AE288" i="3" s="1"/>
  <c r="G288" i="3"/>
  <c r="F288" i="3" l="1"/>
  <c r="I288" i="3"/>
  <c r="J288" i="3"/>
  <c r="AD288" i="3" s="1"/>
  <c r="M288" i="3"/>
  <c r="N288" i="3" s="1"/>
  <c r="V288" i="3"/>
  <c r="A289" i="3"/>
  <c r="B289" i="3" s="1"/>
  <c r="W288" i="3" l="1"/>
  <c r="L288" i="3"/>
  <c r="AD289" i="3"/>
  <c r="P289" i="3"/>
  <c r="Q289" i="3" s="1"/>
  <c r="R289" i="3" s="1"/>
  <c r="S289" i="3" s="1"/>
  <c r="AA289" i="3"/>
  <c r="AC289" i="3"/>
  <c r="Z289" i="3"/>
  <c r="T289" i="3" l="1"/>
  <c r="U288" i="3"/>
  <c r="Y287" i="3"/>
  <c r="E289" i="3" l="1"/>
  <c r="H289" i="3" s="1"/>
  <c r="K289" i="3" s="1"/>
  <c r="AE289" i="3" s="1"/>
  <c r="AH289" i="3"/>
  <c r="AG289" i="3"/>
  <c r="D289" i="3"/>
  <c r="V289" i="3" l="1"/>
  <c r="A290" i="3"/>
  <c r="B290" i="3" s="1"/>
  <c r="F289" i="3"/>
  <c r="G289" i="3"/>
  <c r="I289" i="3" l="1"/>
  <c r="W289" i="3" s="1"/>
  <c r="J289" i="3"/>
  <c r="M289" i="3"/>
  <c r="N289" i="3" s="1"/>
  <c r="AA290" i="3"/>
  <c r="AC290" i="3"/>
  <c r="Z290" i="3"/>
  <c r="P290" i="3"/>
  <c r="Q290" i="3" s="1"/>
  <c r="R290" i="3" s="1"/>
  <c r="S290" i="3" s="1"/>
  <c r="AD290" i="3"/>
  <c r="T290" i="3" l="1"/>
  <c r="L289" i="3"/>
  <c r="U289" i="3" l="1"/>
  <c r="E290" i="3" s="1"/>
  <c r="H290" i="3" s="1"/>
  <c r="AH290" i="3"/>
  <c r="AG290" i="3"/>
  <c r="Y288" i="3"/>
  <c r="D290" i="3" l="1"/>
  <c r="G290" i="3" s="1"/>
  <c r="K290" i="3"/>
  <c r="AE290" i="3" s="1"/>
  <c r="F290" i="3" l="1"/>
  <c r="I290" i="3"/>
  <c r="J290" i="3"/>
  <c r="M290" i="3"/>
  <c r="N290" i="3" s="1"/>
  <c r="V290" i="3"/>
  <c r="A291" i="3"/>
  <c r="B291" i="3" s="1"/>
  <c r="L290" i="3" l="1"/>
  <c r="W290" i="3"/>
  <c r="P291" i="3"/>
  <c r="Q291" i="3" s="1"/>
  <c r="R291" i="3" s="1"/>
  <c r="S291" i="3" s="1"/>
  <c r="AD291" i="3"/>
  <c r="Z291" i="3"/>
  <c r="AA291" i="3"/>
  <c r="AC291" i="3"/>
  <c r="U290" i="3" l="1"/>
  <c r="Y289" i="3"/>
  <c r="T291" i="3"/>
  <c r="AG291" i="3" s="1"/>
  <c r="D291" i="3" l="1"/>
  <c r="E291" i="3"/>
  <c r="H291" i="3" s="1"/>
  <c r="AH291" i="3"/>
  <c r="K291" i="3" l="1"/>
  <c r="AE291" i="3" s="1"/>
  <c r="F291" i="3"/>
  <c r="G291" i="3"/>
  <c r="I291" i="3" l="1"/>
  <c r="J291" i="3"/>
  <c r="M291" i="3"/>
  <c r="N291" i="3" s="1"/>
  <c r="V291" i="3"/>
  <c r="A292" i="3"/>
  <c r="B292" i="3" s="1"/>
  <c r="W291" i="3" l="1"/>
  <c r="L291" i="3"/>
  <c r="Z292" i="3"/>
  <c r="AC292" i="3"/>
  <c r="AD292" i="3"/>
  <c r="AA292" i="3"/>
  <c r="P292" i="3"/>
  <c r="Q292" i="3" s="1"/>
  <c r="R292" i="3" s="1"/>
  <c r="S292" i="3" s="1"/>
  <c r="U291" i="3" l="1"/>
  <c r="Y290" i="3"/>
  <c r="T292" i="3"/>
  <c r="E292" i="3" l="1"/>
  <c r="H292" i="3" s="1"/>
  <c r="K292" i="3" s="1"/>
  <c r="AE292" i="3" s="1"/>
  <c r="D292" i="3"/>
  <c r="AG292" i="3"/>
  <c r="AH292" i="3"/>
  <c r="V292" i="3" l="1"/>
  <c r="A293" i="3"/>
  <c r="B293" i="3" s="1"/>
  <c r="F292" i="3"/>
  <c r="G292" i="3"/>
  <c r="I292" i="3" l="1"/>
  <c r="W292" i="3" s="1"/>
  <c r="J292" i="3"/>
  <c r="M292" i="3"/>
  <c r="N292" i="3" s="1"/>
  <c r="Z293" i="3"/>
  <c r="AC293" i="3"/>
  <c r="AD293" i="3"/>
  <c r="P293" i="3"/>
  <c r="Q293" i="3" s="1"/>
  <c r="R293" i="3" s="1"/>
  <c r="S293" i="3" s="1"/>
  <c r="AA293" i="3"/>
  <c r="L292" i="3" l="1"/>
  <c r="T293" i="3"/>
  <c r="U292" i="3" l="1"/>
  <c r="E293" i="3" s="1"/>
  <c r="H293" i="3" s="1"/>
  <c r="AH293" i="3"/>
  <c r="AG293" i="3"/>
  <c r="Y291" i="3"/>
  <c r="K293" i="3" l="1"/>
  <c r="AE293" i="3" s="1"/>
  <c r="D293" i="3"/>
  <c r="V293" i="3" l="1"/>
  <c r="A294" i="3"/>
  <c r="B294" i="3" s="1"/>
  <c r="F293" i="3"/>
  <c r="G293" i="3"/>
  <c r="I293" i="3" l="1"/>
  <c r="W293" i="3" s="1"/>
  <c r="J293" i="3"/>
  <c r="M293" i="3"/>
  <c r="N293" i="3" s="1"/>
  <c r="AA294" i="3"/>
  <c r="P294" i="3"/>
  <c r="Q294" i="3" s="1"/>
  <c r="R294" i="3" s="1"/>
  <c r="S294" i="3" s="1"/>
  <c r="Z294" i="3"/>
  <c r="AC294" i="3"/>
  <c r="L293" i="3" l="1"/>
  <c r="T294" i="3"/>
  <c r="AG294" i="3" l="1"/>
  <c r="U293" i="3"/>
  <c r="E294" i="3" s="1"/>
  <c r="H294" i="3" s="1"/>
  <c r="AH294" i="3"/>
  <c r="Y292" i="3"/>
  <c r="D294" i="3" l="1"/>
  <c r="G294" i="3" s="1"/>
  <c r="K294" i="3"/>
  <c r="AE294" i="3" s="1"/>
  <c r="F294" i="3" l="1"/>
  <c r="I294" i="3"/>
  <c r="J294" i="3"/>
  <c r="AD294" i="3" s="1"/>
  <c r="M294" i="3"/>
  <c r="N294" i="3" s="1"/>
  <c r="V294" i="3"/>
  <c r="A295" i="3"/>
  <c r="B295" i="3" s="1"/>
  <c r="L294" i="3" l="1"/>
  <c r="W294" i="3"/>
  <c r="AA295" i="3"/>
  <c r="AD295" i="3"/>
  <c r="P295" i="3"/>
  <c r="Q295" i="3" s="1"/>
  <c r="R295" i="3" s="1"/>
  <c r="S295" i="3" s="1"/>
  <c r="AC295" i="3"/>
  <c r="Z295" i="3"/>
  <c r="U294" i="3" l="1"/>
  <c r="Y293" i="3"/>
  <c r="T295" i="3"/>
  <c r="AG295" i="3" s="1"/>
  <c r="D295" i="3" l="1"/>
  <c r="AH295" i="3"/>
  <c r="E295" i="3"/>
  <c r="H295" i="3" s="1"/>
  <c r="F295" i="3" l="1"/>
  <c r="G295" i="3"/>
  <c r="K295" i="3"/>
  <c r="AE295" i="3" s="1"/>
  <c r="V295" i="3" l="1"/>
  <c r="A296" i="3"/>
  <c r="B296" i="3" s="1"/>
  <c r="I295" i="3"/>
  <c r="J295" i="3"/>
  <c r="M295" i="3"/>
  <c r="N295" i="3" s="1"/>
  <c r="L295" i="3" l="1"/>
  <c r="AC296" i="3"/>
  <c r="Z296" i="3"/>
  <c r="AD296" i="3"/>
  <c r="P296" i="3"/>
  <c r="Q296" i="3" s="1"/>
  <c r="R296" i="3" s="1"/>
  <c r="S296" i="3" s="1"/>
  <c r="AA296" i="3"/>
  <c r="W295" i="3"/>
  <c r="T296" i="3" l="1"/>
  <c r="U295" i="3"/>
  <c r="Y294" i="3"/>
  <c r="D296" i="3" l="1"/>
  <c r="G296" i="3" s="1"/>
  <c r="AG296" i="3"/>
  <c r="AH296" i="3"/>
  <c r="E296" i="3"/>
  <c r="H296" i="3" s="1"/>
  <c r="F296" i="3" l="1"/>
  <c r="I296" i="3"/>
  <c r="J296" i="3"/>
  <c r="M296" i="3"/>
  <c r="N296" i="3" s="1"/>
  <c r="K296" i="3"/>
  <c r="AE296" i="3" s="1"/>
  <c r="V296" i="3" l="1"/>
  <c r="W296" i="3" s="1"/>
  <c r="A297" i="3"/>
  <c r="B297" i="3" s="1"/>
  <c r="L296" i="3"/>
  <c r="U296" i="3" l="1"/>
  <c r="Y295" i="3"/>
  <c r="AA297" i="3"/>
  <c r="P297" i="3"/>
  <c r="Q297" i="3" s="1"/>
  <c r="R297" i="3" s="1"/>
  <c r="S297" i="3" s="1"/>
  <c r="Z297" i="3"/>
  <c r="AC297" i="3"/>
  <c r="T297" i="3" l="1"/>
  <c r="E297" i="3" s="1"/>
  <c r="H297" i="3" s="1"/>
  <c r="D297" i="3" l="1"/>
  <c r="F297" i="3" s="1"/>
  <c r="AG297" i="3"/>
  <c r="K297" i="3"/>
  <c r="AE297" i="3" s="1"/>
  <c r="AH297" i="3"/>
  <c r="G297" i="3" l="1"/>
  <c r="M297" i="3" s="1"/>
  <c r="N297" i="3" s="1"/>
  <c r="V297" i="3"/>
  <c r="A298" i="3"/>
  <c r="B298" i="3" s="1"/>
  <c r="J297" i="3" l="1"/>
  <c r="I297" i="3"/>
  <c r="W297" i="3" s="1"/>
  <c r="Z298" i="3"/>
  <c r="P298" i="3"/>
  <c r="Q298" i="3" s="1"/>
  <c r="R298" i="3" s="1"/>
  <c r="S298" i="3" s="1"/>
  <c r="AA298" i="3"/>
  <c r="AC298" i="3"/>
  <c r="L297" i="3" l="1"/>
  <c r="U297" i="3" s="1"/>
  <c r="AD297" i="3"/>
  <c r="T298" i="3"/>
  <c r="Y296" i="3" l="1"/>
  <c r="E298" i="3"/>
  <c r="H298" i="3" s="1"/>
  <c r="K298" i="3" s="1"/>
  <c r="AE298" i="3" s="1"/>
  <c r="AH298" i="3"/>
  <c r="D298" i="3"/>
  <c r="AG298" i="3"/>
  <c r="F298" i="3" l="1"/>
  <c r="G298" i="3"/>
  <c r="V298" i="3"/>
  <c r="A299" i="3"/>
  <c r="B299" i="3" s="1"/>
  <c r="I298" i="3" l="1"/>
  <c r="W298" i="3" s="1"/>
  <c r="J298" i="3"/>
  <c r="AD298" i="3" s="1"/>
  <c r="M298" i="3"/>
  <c r="N298" i="3" s="1"/>
  <c r="Z299" i="3"/>
  <c r="AD299" i="3"/>
  <c r="P299" i="3"/>
  <c r="Q299" i="3" s="1"/>
  <c r="R299" i="3" s="1"/>
  <c r="S299" i="3" s="1"/>
  <c r="AA299" i="3"/>
  <c r="AC299" i="3"/>
  <c r="L298" i="3" l="1"/>
  <c r="T299" i="3"/>
  <c r="AG299" i="3" l="1"/>
  <c r="U298" i="3"/>
  <c r="E299" i="3" s="1"/>
  <c r="H299" i="3" s="1"/>
  <c r="AH299" i="3"/>
  <c r="Y297" i="3"/>
  <c r="D299" i="3" l="1"/>
  <c r="G299" i="3" s="1"/>
  <c r="K299" i="3"/>
  <c r="AE299" i="3" s="1"/>
  <c r="F299" i="3" l="1"/>
  <c r="I299" i="3"/>
  <c r="J299" i="3"/>
  <c r="M299" i="3"/>
  <c r="N299" i="3" s="1"/>
  <c r="V299" i="3"/>
  <c r="A300" i="3"/>
  <c r="B300" i="3" s="1"/>
  <c r="W299" i="3" l="1"/>
  <c r="L299" i="3"/>
  <c r="Z300" i="3"/>
  <c r="P300" i="3"/>
  <c r="Q300" i="3" s="1"/>
  <c r="R300" i="3" s="1"/>
  <c r="S300" i="3" s="1"/>
  <c r="AD300" i="3"/>
  <c r="AA300" i="3"/>
  <c r="AC300" i="3"/>
  <c r="U299" i="3" l="1"/>
  <c r="Y298" i="3"/>
  <c r="T300" i="3"/>
  <c r="E300" i="3" l="1"/>
  <c r="H300" i="3" s="1"/>
  <c r="K300" i="3" s="1"/>
  <c r="AE300" i="3" s="1"/>
  <c r="AH300" i="3"/>
  <c r="AG300" i="3"/>
  <c r="D300" i="3"/>
  <c r="F300" i="3" l="1"/>
  <c r="G300" i="3"/>
  <c r="V300" i="3"/>
  <c r="A301" i="3"/>
  <c r="B301" i="3" s="1"/>
  <c r="I300" i="3" l="1"/>
  <c r="W300" i="3" s="1"/>
  <c r="J300" i="3"/>
  <c r="M300" i="3"/>
  <c r="N300" i="3" s="1"/>
  <c r="AC301" i="3"/>
  <c r="Z301" i="3"/>
  <c r="AD301" i="3"/>
  <c r="AA301" i="3"/>
  <c r="P301" i="3"/>
  <c r="Q301" i="3" s="1"/>
  <c r="R301" i="3" s="1"/>
  <c r="S301" i="3" s="1"/>
  <c r="L300" i="3" l="1"/>
  <c r="T301" i="3"/>
  <c r="AH301" i="3" l="1"/>
  <c r="U300" i="3"/>
  <c r="D301" i="3" s="1"/>
  <c r="AG301" i="3"/>
  <c r="Y299" i="3"/>
  <c r="E301" i="3" l="1"/>
  <c r="H301" i="3" s="1"/>
  <c r="K301" i="3" s="1"/>
  <c r="AE301" i="3" s="1"/>
  <c r="G301" i="3"/>
  <c r="F301" i="3" l="1"/>
  <c r="I301" i="3"/>
  <c r="J301" i="3"/>
  <c r="M301" i="3"/>
  <c r="N301" i="3" s="1"/>
  <c r="V301" i="3"/>
  <c r="A302" i="3"/>
  <c r="B302" i="3" s="1"/>
  <c r="W301" i="3" l="1"/>
  <c r="L301" i="3"/>
  <c r="P302" i="3"/>
  <c r="Q302" i="3" s="1"/>
  <c r="R302" i="3" s="1"/>
  <c r="S302" i="3" s="1"/>
  <c r="AA302" i="3"/>
  <c r="AC302" i="3"/>
  <c r="AD302" i="3"/>
  <c r="Z302" i="3"/>
  <c r="U301" i="3" l="1"/>
  <c r="Y300" i="3"/>
  <c r="T302" i="3"/>
  <c r="AG302" i="3" s="1"/>
  <c r="AH302" i="3" l="1"/>
  <c r="D302" i="3"/>
  <c r="E302" i="3"/>
  <c r="H302" i="3" s="1"/>
  <c r="K302" i="3" s="1"/>
  <c r="AE302" i="3" s="1"/>
  <c r="F302" i="3" l="1"/>
  <c r="G302" i="3"/>
  <c r="M302" i="3" s="1"/>
  <c r="N302" i="3" s="1"/>
  <c r="V302" i="3"/>
  <c r="A303" i="3"/>
  <c r="B303" i="3" s="1"/>
  <c r="I302" i="3" l="1"/>
  <c r="W302" i="3" s="1"/>
  <c r="J302" i="3"/>
  <c r="L302" i="3" s="1"/>
  <c r="AD303" i="3"/>
  <c r="Z303" i="3"/>
  <c r="P303" i="3"/>
  <c r="Q303" i="3" s="1"/>
  <c r="R303" i="3" s="1"/>
  <c r="S303" i="3" s="1"/>
  <c r="AA303" i="3"/>
  <c r="AC303" i="3"/>
  <c r="T303" i="3" l="1"/>
  <c r="U302" i="3"/>
  <c r="Y301" i="3"/>
  <c r="E303" i="3" l="1"/>
  <c r="H303" i="3" s="1"/>
  <c r="K303" i="3" s="1"/>
  <c r="AE303" i="3" s="1"/>
  <c r="D303" i="3"/>
  <c r="G303" i="3" s="1"/>
  <c r="AH303" i="3"/>
  <c r="AG303" i="3"/>
  <c r="F303" i="3" l="1"/>
  <c r="I303" i="3"/>
  <c r="J303" i="3"/>
  <c r="M303" i="3"/>
  <c r="N303" i="3" s="1"/>
  <c r="V303" i="3"/>
  <c r="A304" i="3"/>
  <c r="B304" i="3" s="1"/>
  <c r="W303" i="3" l="1"/>
  <c r="L303" i="3"/>
  <c r="Z304" i="3"/>
  <c r="P304" i="3"/>
  <c r="Q304" i="3" s="1"/>
  <c r="R304" i="3" s="1"/>
  <c r="S304" i="3" s="1"/>
  <c r="AC304" i="3"/>
  <c r="AA304" i="3"/>
  <c r="U303" i="3" l="1"/>
  <c r="Y302" i="3"/>
  <c r="T304" i="3"/>
  <c r="AH304" i="3" s="1"/>
  <c r="AG304" i="3" l="1"/>
  <c r="D304" i="3"/>
  <c r="G304" i="3" s="1"/>
  <c r="E304" i="3"/>
  <c r="H304" i="3" s="1"/>
  <c r="K304" i="3" s="1"/>
  <c r="AE304" i="3" s="1"/>
  <c r="F304" i="3" l="1"/>
  <c r="I304" i="3"/>
  <c r="J304" i="3"/>
  <c r="AD304" i="3" s="1"/>
  <c r="M304" i="3"/>
  <c r="N304" i="3" s="1"/>
  <c r="V304" i="3"/>
  <c r="A305" i="3"/>
  <c r="B305" i="3" s="1"/>
  <c r="W304" i="3" l="1"/>
  <c r="L304" i="3"/>
  <c r="Z305" i="3"/>
  <c r="AA305" i="3"/>
  <c r="P305" i="3"/>
  <c r="Q305" i="3" s="1"/>
  <c r="R305" i="3" s="1"/>
  <c r="S305" i="3" s="1"/>
  <c r="AC305" i="3"/>
  <c r="AD305" i="3"/>
  <c r="U304" i="3" l="1"/>
  <c r="Y303" i="3"/>
  <c r="T305" i="3"/>
  <c r="AG305" i="3" s="1"/>
  <c r="AH305" i="3" l="1"/>
  <c r="E305" i="3"/>
  <c r="H305" i="3" s="1"/>
  <c r="K305" i="3" s="1"/>
  <c r="AE305" i="3" s="1"/>
  <c r="D305" i="3"/>
  <c r="V305" i="3" l="1"/>
  <c r="A306" i="3"/>
  <c r="B306" i="3" s="1"/>
  <c r="F305" i="3"/>
  <c r="G305" i="3"/>
  <c r="I305" i="3" l="1"/>
  <c r="W305" i="3" s="1"/>
  <c r="J305" i="3"/>
  <c r="M305" i="3"/>
  <c r="N305" i="3" s="1"/>
  <c r="AA306" i="3"/>
  <c r="Z306" i="3"/>
  <c r="P306" i="3"/>
  <c r="Q306" i="3" s="1"/>
  <c r="R306" i="3" s="1"/>
  <c r="S306" i="3" s="1"/>
  <c r="AC306" i="3"/>
  <c r="AD306" i="3"/>
  <c r="T306" i="3" l="1"/>
  <c r="L305" i="3"/>
  <c r="U305" i="3" l="1"/>
  <c r="E306" i="3" s="1"/>
  <c r="H306" i="3" s="1"/>
  <c r="AH306" i="3"/>
  <c r="AG306" i="3"/>
  <c r="Y304" i="3"/>
  <c r="D306" i="3" l="1"/>
  <c r="G306" i="3" s="1"/>
  <c r="K306" i="3"/>
  <c r="AE306" i="3" s="1"/>
  <c r="F306" i="3" l="1"/>
  <c r="I306" i="3"/>
  <c r="J306" i="3"/>
  <c r="M306" i="3"/>
  <c r="N306" i="3" s="1"/>
  <c r="V306" i="3"/>
  <c r="A307" i="3"/>
  <c r="B307" i="3" s="1"/>
  <c r="W306" i="3" l="1"/>
  <c r="L306" i="3"/>
  <c r="AC307" i="3"/>
  <c r="P307" i="3"/>
  <c r="Q307" i="3" s="1"/>
  <c r="R307" i="3" s="1"/>
  <c r="S307" i="3" s="1"/>
  <c r="AA307" i="3"/>
  <c r="Z307" i="3"/>
  <c r="T307" i="3" l="1"/>
  <c r="AH307" i="3" s="1"/>
  <c r="U306" i="3"/>
  <c r="Y305" i="3"/>
  <c r="D307" i="3" l="1"/>
  <c r="E307" i="3"/>
  <c r="H307" i="3" s="1"/>
  <c r="AG307" i="3"/>
  <c r="F307" i="3" l="1"/>
  <c r="G307" i="3"/>
  <c r="K307" i="3"/>
  <c r="AE307" i="3" s="1"/>
  <c r="I307" i="3" l="1"/>
  <c r="J307" i="3"/>
  <c r="AD307" i="3" s="1"/>
  <c r="M307" i="3"/>
  <c r="N307" i="3" s="1"/>
  <c r="V307" i="3"/>
  <c r="A308" i="3"/>
  <c r="B308" i="3" s="1"/>
  <c r="L307" i="3" l="1"/>
  <c r="Z308" i="3"/>
  <c r="AA308" i="3"/>
  <c r="P308" i="3"/>
  <c r="Q308" i="3" s="1"/>
  <c r="R308" i="3" s="1"/>
  <c r="S308" i="3" s="1"/>
  <c r="AC308" i="3"/>
  <c r="W307" i="3"/>
  <c r="T308" i="3" l="1"/>
  <c r="U307" i="3"/>
  <c r="Y306" i="3"/>
  <c r="E308" i="3" l="1"/>
  <c r="H308" i="3" s="1"/>
  <c r="K308" i="3" s="1"/>
  <c r="AE308" i="3" s="1"/>
  <c r="AH308" i="3"/>
  <c r="AG308" i="3"/>
  <c r="D308" i="3"/>
  <c r="F308" i="3" l="1"/>
  <c r="G308" i="3"/>
  <c r="V308" i="3"/>
  <c r="A309" i="3"/>
  <c r="B309" i="3" s="1"/>
  <c r="I308" i="3" l="1"/>
  <c r="W308" i="3" s="1"/>
  <c r="J308" i="3"/>
  <c r="AD308" i="3" s="1"/>
  <c r="M308" i="3"/>
  <c r="N308" i="3" s="1"/>
  <c r="AC309" i="3"/>
  <c r="AD309" i="3"/>
  <c r="P309" i="3"/>
  <c r="Q309" i="3" s="1"/>
  <c r="R309" i="3" s="1"/>
  <c r="S309" i="3" s="1"/>
  <c r="AA309" i="3"/>
  <c r="Z309" i="3"/>
  <c r="T309" i="3" l="1"/>
  <c r="L308" i="3"/>
  <c r="AG309" i="3" l="1"/>
  <c r="AH309" i="3"/>
  <c r="U308" i="3"/>
  <c r="E309" i="3" s="1"/>
  <c r="H309" i="3" s="1"/>
  <c r="Y307" i="3"/>
  <c r="D309" i="3" l="1"/>
  <c r="G309" i="3" s="1"/>
  <c r="K309" i="3"/>
  <c r="AE309" i="3" s="1"/>
  <c r="F309" i="3" l="1"/>
  <c r="V309" i="3"/>
  <c r="A310" i="3"/>
  <c r="B310" i="3" s="1"/>
  <c r="I309" i="3"/>
  <c r="J309" i="3"/>
  <c r="M309" i="3"/>
  <c r="N309" i="3" s="1"/>
  <c r="W309" i="3" l="1"/>
  <c r="L309" i="3"/>
  <c r="AC310" i="3"/>
  <c r="AD310" i="3"/>
  <c r="Z310" i="3"/>
  <c r="AA310" i="3"/>
  <c r="P310" i="3"/>
  <c r="Q310" i="3" s="1"/>
  <c r="R310" i="3" s="1"/>
  <c r="S310" i="3" s="1"/>
  <c r="T310" i="3" l="1"/>
  <c r="AH310" i="3" s="1"/>
  <c r="U309" i="3"/>
  <c r="Y308" i="3"/>
  <c r="AG310" i="3" l="1"/>
  <c r="E310" i="3"/>
  <c r="H310" i="3" s="1"/>
  <c r="D310" i="3"/>
  <c r="K310" i="3" l="1"/>
  <c r="AE310" i="3" s="1"/>
  <c r="F310" i="3"/>
  <c r="G310" i="3"/>
  <c r="I310" i="3" l="1"/>
  <c r="J310" i="3"/>
  <c r="M310" i="3"/>
  <c r="N310" i="3" s="1"/>
  <c r="V310" i="3"/>
  <c r="A311" i="3"/>
  <c r="B311" i="3" s="1"/>
  <c r="W310" i="3" l="1"/>
  <c r="L310" i="3"/>
  <c r="AA311" i="3"/>
  <c r="Z311" i="3"/>
  <c r="P311" i="3"/>
  <c r="Q311" i="3" s="1"/>
  <c r="R311" i="3" s="1"/>
  <c r="S311" i="3" s="1"/>
  <c r="AC311" i="3"/>
  <c r="AD311" i="3"/>
  <c r="T311" i="3" l="1"/>
  <c r="AH311" i="3" s="1"/>
  <c r="U310" i="3"/>
  <c r="Y309" i="3"/>
  <c r="D311" i="3" l="1"/>
  <c r="G311" i="3" s="1"/>
  <c r="E311" i="3"/>
  <c r="H311" i="3" s="1"/>
  <c r="AG311" i="3"/>
  <c r="I311" i="3" l="1"/>
  <c r="J311" i="3"/>
  <c r="M311" i="3"/>
  <c r="N311" i="3" s="1"/>
  <c r="K311" i="3"/>
  <c r="AE311" i="3" s="1"/>
  <c r="F311" i="3"/>
  <c r="V311" i="3" l="1"/>
  <c r="W311" i="3" s="1"/>
  <c r="A312" i="3"/>
  <c r="B312" i="3" s="1"/>
  <c r="L311" i="3"/>
  <c r="U311" i="3" l="1"/>
  <c r="Y310" i="3"/>
  <c r="AA312" i="3"/>
  <c r="Z312" i="3"/>
  <c r="AD312" i="3"/>
  <c r="P312" i="3"/>
  <c r="Q312" i="3" s="1"/>
  <c r="R312" i="3" s="1"/>
  <c r="S312" i="3" s="1"/>
  <c r="AC312" i="3"/>
  <c r="T312" i="3" l="1"/>
  <c r="AG312" i="3" s="1"/>
  <c r="E312" i="3" l="1"/>
  <c r="H312" i="3" s="1"/>
  <c r="K312" i="3" s="1"/>
  <c r="AE312" i="3" s="1"/>
  <c r="D312" i="3"/>
  <c r="AH312" i="3"/>
  <c r="V312" i="3" l="1"/>
  <c r="A313" i="3"/>
  <c r="B313" i="3" s="1"/>
  <c r="F312" i="3"/>
  <c r="G312" i="3"/>
  <c r="I312" i="3" l="1"/>
  <c r="W312" i="3" s="1"/>
  <c r="J312" i="3"/>
  <c r="M312" i="3"/>
  <c r="N312" i="3" s="1"/>
  <c r="Z313" i="3"/>
  <c r="AC313" i="3"/>
  <c r="P313" i="3"/>
  <c r="Q313" i="3" s="1"/>
  <c r="R313" i="3" s="1"/>
  <c r="S313" i="3" s="1"/>
  <c r="AD313" i="3"/>
  <c r="AA313" i="3"/>
  <c r="T313" i="3" l="1"/>
  <c r="L312" i="3"/>
  <c r="AG313" i="3" l="1"/>
  <c r="AH313" i="3"/>
  <c r="U312" i="3"/>
  <c r="D313" i="3" s="1"/>
  <c r="Y311" i="3"/>
  <c r="E313" i="3" l="1"/>
  <c r="H313" i="3" s="1"/>
  <c r="K313" i="3" s="1"/>
  <c r="AE313" i="3" s="1"/>
  <c r="G313" i="3"/>
  <c r="F313" i="3" l="1"/>
  <c r="I313" i="3"/>
  <c r="J313" i="3"/>
  <c r="M313" i="3"/>
  <c r="N313" i="3" s="1"/>
  <c r="V313" i="3"/>
  <c r="A314" i="3"/>
  <c r="B314" i="3" s="1"/>
  <c r="Z314" i="3" l="1"/>
  <c r="AC314" i="3"/>
  <c r="AA314" i="3"/>
  <c r="P314" i="3"/>
  <c r="Q314" i="3" s="1"/>
  <c r="R314" i="3" s="1"/>
  <c r="S314" i="3" s="1"/>
  <c r="L313" i="3"/>
  <c r="W313" i="3"/>
  <c r="U313" i="3" l="1"/>
  <c r="Y312" i="3"/>
  <c r="T314" i="3"/>
  <c r="D314" i="3" l="1"/>
  <c r="G314" i="3" s="1"/>
  <c r="AG314" i="3"/>
  <c r="AH314" i="3"/>
  <c r="E314" i="3"/>
  <c r="H314" i="3" s="1"/>
  <c r="F314" i="3" l="1"/>
  <c r="I314" i="3"/>
  <c r="J314" i="3"/>
  <c r="AD314" i="3" s="1"/>
  <c r="M314" i="3"/>
  <c r="N314" i="3" s="1"/>
  <c r="K314" i="3"/>
  <c r="AE314" i="3" s="1"/>
  <c r="V314" i="3" l="1"/>
  <c r="W314" i="3" s="1"/>
  <c r="A315" i="3"/>
  <c r="B315" i="3" s="1"/>
  <c r="L314" i="3"/>
  <c r="U314" i="3" l="1"/>
  <c r="Y313" i="3"/>
  <c r="Z315" i="3"/>
  <c r="P315" i="3"/>
  <c r="Q315" i="3" s="1"/>
  <c r="R315" i="3" s="1"/>
  <c r="S315" i="3" s="1"/>
  <c r="AD315" i="3"/>
  <c r="AA315" i="3"/>
  <c r="AC315" i="3"/>
  <c r="T315" i="3" l="1"/>
  <c r="D315" i="3" s="1"/>
  <c r="AH315" i="3" l="1"/>
  <c r="AG315" i="3"/>
  <c r="E315" i="3"/>
  <c r="H315" i="3" s="1"/>
  <c r="K315" i="3" s="1"/>
  <c r="AE315" i="3" s="1"/>
  <c r="G315" i="3"/>
  <c r="F315" i="3" l="1"/>
  <c r="I315" i="3"/>
  <c r="J315" i="3"/>
  <c r="M315" i="3"/>
  <c r="N315" i="3" s="1"/>
  <c r="V315" i="3"/>
  <c r="A316" i="3"/>
  <c r="B316" i="3" s="1"/>
  <c r="W315" i="3" l="1"/>
  <c r="L315" i="3"/>
  <c r="Z316" i="3"/>
  <c r="AC316" i="3"/>
  <c r="P316" i="3"/>
  <c r="Q316" i="3" s="1"/>
  <c r="R316" i="3" s="1"/>
  <c r="S316" i="3" s="1"/>
  <c r="AD316" i="3"/>
  <c r="AA316" i="3"/>
  <c r="U315" i="3" l="1"/>
  <c r="Y314" i="3"/>
  <c r="T316" i="3"/>
  <c r="AG316" i="3" s="1"/>
  <c r="D316" i="3" l="1"/>
  <c r="AH316" i="3"/>
  <c r="E316" i="3"/>
  <c r="H316" i="3" s="1"/>
  <c r="F316" i="3" l="1"/>
  <c r="G316" i="3"/>
  <c r="K316" i="3"/>
  <c r="AE316" i="3" s="1"/>
  <c r="V316" i="3" l="1"/>
  <c r="A317" i="3"/>
  <c r="B317" i="3" s="1"/>
  <c r="I316" i="3"/>
  <c r="J316" i="3"/>
  <c r="M316" i="3"/>
  <c r="N316" i="3" s="1"/>
  <c r="W316" i="3" l="1"/>
  <c r="L316" i="3"/>
  <c r="Z317" i="3"/>
  <c r="AA317" i="3"/>
  <c r="P317" i="3"/>
  <c r="Q317" i="3" s="1"/>
  <c r="R317" i="3" s="1"/>
  <c r="S317" i="3" s="1"/>
  <c r="AC317" i="3"/>
  <c r="T317" i="3" l="1"/>
  <c r="AG317" i="3" s="1"/>
  <c r="U316" i="3"/>
  <c r="Y315" i="3"/>
  <c r="E317" i="3" l="1"/>
  <c r="H317" i="3" s="1"/>
  <c r="K317" i="3" s="1"/>
  <c r="AE317" i="3" s="1"/>
  <c r="D317" i="3"/>
  <c r="AH317" i="3"/>
  <c r="V317" i="3" l="1"/>
  <c r="A318" i="3"/>
  <c r="B318" i="3" s="1"/>
  <c r="F317" i="3"/>
  <c r="G317" i="3"/>
  <c r="I317" i="3" l="1"/>
  <c r="W317" i="3" s="1"/>
  <c r="J317" i="3"/>
  <c r="AD317" i="3" s="1"/>
  <c r="M317" i="3"/>
  <c r="N317" i="3" s="1"/>
  <c r="AA318" i="3"/>
  <c r="P318" i="3"/>
  <c r="Q318" i="3" s="1"/>
  <c r="R318" i="3" s="1"/>
  <c r="S318" i="3" s="1"/>
  <c r="Z318" i="3"/>
  <c r="AC318" i="3"/>
  <c r="T318" i="3" l="1"/>
  <c r="L317" i="3"/>
  <c r="AH318" i="3" l="1"/>
  <c r="AG318" i="3"/>
  <c r="U317" i="3"/>
  <c r="E318" i="3" s="1"/>
  <c r="H318" i="3" s="1"/>
  <c r="Y316" i="3"/>
  <c r="K318" i="3" l="1"/>
  <c r="AE318" i="3" s="1"/>
  <c r="D318" i="3"/>
  <c r="V318" i="3" l="1"/>
  <c r="A319" i="3"/>
  <c r="B319" i="3" s="1"/>
  <c r="F318" i="3"/>
  <c r="G318" i="3"/>
  <c r="I318" i="3" l="1"/>
  <c r="W318" i="3" s="1"/>
  <c r="J318" i="3"/>
  <c r="AD318" i="3" s="1"/>
  <c r="M318" i="3"/>
  <c r="N318" i="3" s="1"/>
  <c r="Z319" i="3"/>
  <c r="AC319" i="3"/>
  <c r="P319" i="3"/>
  <c r="Q319" i="3" s="1"/>
  <c r="R319" i="3" s="1"/>
  <c r="S319" i="3" s="1"/>
  <c r="AD319" i="3"/>
  <c r="AA319" i="3"/>
  <c r="T319" i="3" l="1"/>
  <c r="L318" i="3"/>
  <c r="U318" i="3" l="1"/>
  <c r="E319" i="3" s="1"/>
  <c r="H319" i="3" s="1"/>
  <c r="AH319" i="3"/>
  <c r="AG319" i="3"/>
  <c r="Y317" i="3"/>
  <c r="D319" i="3" l="1"/>
  <c r="G319" i="3" s="1"/>
  <c r="K319" i="3"/>
  <c r="AE319" i="3" s="1"/>
  <c r="F319" i="3" l="1"/>
  <c r="V319" i="3"/>
  <c r="A320" i="3"/>
  <c r="B320" i="3" s="1"/>
  <c r="I319" i="3"/>
  <c r="J319" i="3"/>
  <c r="M319" i="3"/>
  <c r="N319" i="3" s="1"/>
  <c r="L319" i="3" l="1"/>
  <c r="W319" i="3"/>
  <c r="AA320" i="3"/>
  <c r="AC320" i="3"/>
  <c r="P320" i="3"/>
  <c r="Q320" i="3" s="1"/>
  <c r="R320" i="3" s="1"/>
  <c r="S320" i="3" s="1"/>
  <c r="Z320" i="3"/>
  <c r="AD320" i="3"/>
  <c r="U319" i="3" l="1"/>
  <c r="Y318" i="3"/>
  <c r="T320" i="3"/>
  <c r="AH320" i="3" s="1"/>
  <c r="D320" i="3" l="1"/>
  <c r="AG320" i="3"/>
  <c r="E320" i="3"/>
  <c r="H320" i="3" s="1"/>
  <c r="F320" i="3" l="1"/>
  <c r="G320" i="3"/>
  <c r="K320" i="3"/>
  <c r="AE320" i="3" s="1"/>
  <c r="I320" i="3" l="1"/>
  <c r="J320" i="3"/>
  <c r="M320" i="3"/>
  <c r="N320" i="3" s="1"/>
  <c r="V320" i="3"/>
  <c r="A321" i="3"/>
  <c r="B321" i="3" s="1"/>
  <c r="W320" i="3" l="1"/>
  <c r="L320" i="3"/>
  <c r="AC321" i="3"/>
  <c r="AA321" i="3"/>
  <c r="Z321" i="3"/>
  <c r="P321" i="3"/>
  <c r="Q321" i="3" s="1"/>
  <c r="R321" i="3" s="1"/>
  <c r="S321" i="3" s="1"/>
  <c r="AD321" i="3"/>
  <c r="U320" i="3" l="1"/>
  <c r="Y319" i="3"/>
  <c r="T321" i="3"/>
  <c r="D321" i="3" l="1"/>
  <c r="G321" i="3" s="1"/>
  <c r="AH321" i="3"/>
  <c r="E321" i="3"/>
  <c r="H321" i="3" s="1"/>
  <c r="AG321" i="3"/>
  <c r="F321" i="3" l="1"/>
  <c r="I321" i="3"/>
  <c r="J321" i="3"/>
  <c r="M321" i="3"/>
  <c r="N321" i="3" s="1"/>
  <c r="K321" i="3"/>
  <c r="AE321" i="3" s="1"/>
  <c r="V321" i="3" l="1"/>
  <c r="W321" i="3" s="1"/>
  <c r="A322" i="3"/>
  <c r="B322" i="3" s="1"/>
  <c r="L321" i="3"/>
  <c r="U321" i="3" l="1"/>
  <c r="Y320" i="3"/>
  <c r="P322" i="3"/>
  <c r="Q322" i="3" s="1"/>
  <c r="R322" i="3" s="1"/>
  <c r="S322" i="3" s="1"/>
  <c r="Z322" i="3"/>
  <c r="AC322" i="3"/>
  <c r="AD322" i="3"/>
  <c r="AA322" i="3"/>
  <c r="T322" i="3" l="1"/>
  <c r="AH322" i="3" s="1"/>
  <c r="E322" i="3" l="1"/>
  <c r="H322" i="3" s="1"/>
  <c r="K322" i="3" s="1"/>
  <c r="AE322" i="3" s="1"/>
  <c r="AG322" i="3"/>
  <c r="D322" i="3"/>
  <c r="V322" i="3" l="1"/>
  <c r="A323" i="3"/>
  <c r="B323" i="3" s="1"/>
  <c r="F322" i="3"/>
  <c r="G322" i="3"/>
  <c r="I322" i="3" l="1"/>
  <c r="W322" i="3" s="1"/>
  <c r="J322" i="3"/>
  <c r="M322" i="3"/>
  <c r="N322" i="3" s="1"/>
  <c r="P323" i="3"/>
  <c r="Q323" i="3" s="1"/>
  <c r="R323" i="3" s="1"/>
  <c r="S323" i="3" s="1"/>
  <c r="AA323" i="3"/>
  <c r="Z323" i="3"/>
  <c r="AD323" i="3"/>
  <c r="AC323" i="3"/>
  <c r="T323" i="3" l="1"/>
  <c r="L322" i="3"/>
  <c r="AH323" i="3" l="1"/>
  <c r="U322" i="3"/>
  <c r="D323" i="3" s="1"/>
  <c r="AG323" i="3"/>
  <c r="Y321" i="3"/>
  <c r="G323" i="3" l="1"/>
  <c r="E323" i="3"/>
  <c r="H323" i="3" s="1"/>
  <c r="F323" i="3" l="1"/>
  <c r="K323" i="3"/>
  <c r="AE323" i="3" s="1"/>
  <c r="I323" i="3"/>
  <c r="J323" i="3"/>
  <c r="M323" i="3"/>
  <c r="N323" i="3" s="1"/>
  <c r="L323" i="3" l="1"/>
  <c r="V323" i="3"/>
  <c r="W323" i="3" s="1"/>
  <c r="A324" i="3"/>
  <c r="B324" i="3" s="1"/>
  <c r="U323" i="3" l="1"/>
  <c r="Y322" i="3"/>
  <c r="Z324" i="3"/>
  <c r="P324" i="3"/>
  <c r="Q324" i="3" s="1"/>
  <c r="R324" i="3" s="1"/>
  <c r="S324" i="3" s="1"/>
  <c r="AA324" i="3"/>
  <c r="AC324" i="3"/>
  <c r="T324" i="3" l="1"/>
  <c r="AG324" i="3" s="1"/>
  <c r="E324" i="3" l="1"/>
  <c r="H324" i="3" s="1"/>
  <c r="K324" i="3" s="1"/>
  <c r="AE324" i="3" s="1"/>
  <c r="AH324" i="3"/>
  <c r="D324" i="3"/>
  <c r="V324" i="3" l="1"/>
  <c r="A325" i="3"/>
  <c r="B325" i="3" s="1"/>
  <c r="F324" i="3"/>
  <c r="G324" i="3"/>
  <c r="I324" i="3" l="1"/>
  <c r="W324" i="3" s="1"/>
  <c r="J324" i="3"/>
  <c r="AD324" i="3" s="1"/>
  <c r="M324" i="3"/>
  <c r="N324" i="3" s="1"/>
  <c r="P325" i="3"/>
  <c r="Q325" i="3" s="1"/>
  <c r="R325" i="3" s="1"/>
  <c r="S325" i="3" s="1"/>
  <c r="AC325" i="3"/>
  <c r="Z325" i="3"/>
  <c r="AA325" i="3"/>
  <c r="T325" i="3" l="1"/>
  <c r="L324" i="3"/>
  <c r="AG325" i="3" l="1"/>
  <c r="U324" i="3"/>
  <c r="D325" i="3" s="1"/>
  <c r="AH325" i="3"/>
  <c r="Y323" i="3"/>
  <c r="E325" i="3" l="1"/>
  <c r="H325" i="3" s="1"/>
  <c r="K325" i="3" s="1"/>
  <c r="AE325" i="3" s="1"/>
  <c r="G325" i="3"/>
  <c r="F325" i="3" l="1"/>
  <c r="V325" i="3"/>
  <c r="A326" i="3"/>
  <c r="B326" i="3" s="1"/>
  <c r="I325" i="3"/>
  <c r="J325" i="3"/>
  <c r="AD325" i="3" s="1"/>
  <c r="M325" i="3"/>
  <c r="N325" i="3" s="1"/>
  <c r="L325" i="3" l="1"/>
  <c r="W325" i="3"/>
  <c r="P326" i="3"/>
  <c r="Q326" i="3" s="1"/>
  <c r="R326" i="3" s="1"/>
  <c r="S326" i="3" s="1"/>
  <c r="AA326" i="3"/>
  <c r="AC326" i="3"/>
  <c r="Z326" i="3"/>
  <c r="U325" i="3" l="1"/>
  <c r="Y324" i="3"/>
  <c r="T326" i="3"/>
  <c r="AH326" i="3" s="1"/>
  <c r="E326" i="3" l="1"/>
  <c r="H326" i="3" s="1"/>
  <c r="K326" i="3" s="1"/>
  <c r="AE326" i="3" s="1"/>
  <c r="AG326" i="3"/>
  <c r="D326" i="3"/>
  <c r="G326" i="3" s="1"/>
  <c r="F326" i="3" l="1"/>
  <c r="I326" i="3"/>
  <c r="J326" i="3"/>
  <c r="AD326" i="3" s="1"/>
  <c r="M326" i="3"/>
  <c r="N326" i="3" s="1"/>
  <c r="V326" i="3"/>
  <c r="A327" i="3"/>
  <c r="B327" i="3" s="1"/>
  <c r="W326" i="3" l="1"/>
  <c r="L326" i="3"/>
  <c r="Z327" i="3"/>
  <c r="AA327" i="3"/>
  <c r="P327" i="3"/>
  <c r="Q327" i="3" s="1"/>
  <c r="R327" i="3" s="1"/>
  <c r="S327" i="3" s="1"/>
  <c r="AC327" i="3"/>
  <c r="U326" i="3" l="1"/>
  <c r="Y325" i="3"/>
  <c r="T327" i="3"/>
  <c r="AH327" i="3" s="1"/>
  <c r="E327" i="3" l="1"/>
  <c r="H327" i="3" s="1"/>
  <c r="K327" i="3" s="1"/>
  <c r="AE327" i="3" s="1"/>
  <c r="D327" i="3"/>
  <c r="AG327" i="3"/>
  <c r="F327" i="3" l="1"/>
  <c r="G327" i="3"/>
  <c r="M327" i="3" s="1"/>
  <c r="N327" i="3" s="1"/>
  <c r="V327" i="3"/>
  <c r="A328" i="3"/>
  <c r="B328" i="3" s="1"/>
  <c r="I327" i="3" l="1"/>
  <c r="W327" i="3" s="1"/>
  <c r="J327" i="3"/>
  <c r="Z328" i="3"/>
  <c r="P328" i="3"/>
  <c r="Q328" i="3" s="1"/>
  <c r="R328" i="3" s="1"/>
  <c r="S328" i="3" s="1"/>
  <c r="AA328" i="3"/>
  <c r="AC328" i="3"/>
  <c r="L327" i="3" l="1"/>
  <c r="U327" i="3" s="1"/>
  <c r="AD327" i="3"/>
  <c r="T328" i="3"/>
  <c r="AG328" i="3" l="1"/>
  <c r="Y326" i="3"/>
  <c r="AH328" i="3"/>
  <c r="E328" i="3"/>
  <c r="H328" i="3" s="1"/>
  <c r="K328" i="3" s="1"/>
  <c r="AE328" i="3" s="1"/>
  <c r="D328" i="3"/>
  <c r="V328" i="3" l="1"/>
  <c r="A329" i="3"/>
  <c r="B329" i="3" s="1"/>
  <c r="F328" i="3"/>
  <c r="G328" i="3"/>
  <c r="I328" i="3" l="1"/>
  <c r="W328" i="3" s="1"/>
  <c r="J328" i="3"/>
  <c r="AD328" i="3" s="1"/>
  <c r="M328" i="3"/>
  <c r="N328" i="3" s="1"/>
  <c r="P329" i="3"/>
  <c r="Q329" i="3" s="1"/>
  <c r="R329" i="3" s="1"/>
  <c r="S329" i="3" s="1"/>
  <c r="Z329" i="3"/>
  <c r="AC329" i="3"/>
  <c r="AA329" i="3"/>
  <c r="T329" i="3" l="1"/>
  <c r="L328" i="3"/>
  <c r="AH329" i="3" l="1"/>
  <c r="U328" i="3"/>
  <c r="D329" i="3" s="1"/>
  <c r="AG329" i="3"/>
  <c r="Y327" i="3"/>
  <c r="E329" i="3" l="1"/>
  <c r="H329" i="3" s="1"/>
  <c r="K329" i="3" s="1"/>
  <c r="AE329" i="3" s="1"/>
  <c r="G329" i="3"/>
  <c r="F329" i="3" l="1"/>
  <c r="I329" i="3"/>
  <c r="J329" i="3"/>
  <c r="AD329" i="3" s="1"/>
  <c r="M329" i="3"/>
  <c r="N329" i="3" s="1"/>
  <c r="V329" i="3"/>
  <c r="A330" i="3"/>
  <c r="B330" i="3" s="1"/>
  <c r="W329" i="3" l="1"/>
  <c r="L329" i="3"/>
  <c r="AA330" i="3"/>
  <c r="AC330" i="3"/>
  <c r="P330" i="3"/>
  <c r="Q330" i="3" s="1"/>
  <c r="R330" i="3" s="1"/>
  <c r="S330" i="3" s="1"/>
  <c r="Z330" i="3"/>
  <c r="U329" i="3" l="1"/>
  <c r="Y328" i="3"/>
  <c r="T330" i="3"/>
  <c r="AH330" i="3" s="1"/>
  <c r="AG330" i="3" l="1"/>
  <c r="E330" i="3"/>
  <c r="H330" i="3" s="1"/>
  <c r="D330" i="3"/>
  <c r="K330" i="3" l="1"/>
  <c r="AE330" i="3" s="1"/>
  <c r="F330" i="3"/>
  <c r="G330" i="3"/>
  <c r="I330" i="3" l="1"/>
  <c r="J330" i="3"/>
  <c r="AD330" i="3" s="1"/>
  <c r="M330" i="3"/>
  <c r="N330" i="3" s="1"/>
  <c r="V330" i="3"/>
  <c r="A331" i="3"/>
  <c r="B331" i="3" s="1"/>
  <c r="W330" i="3" l="1"/>
  <c r="L330" i="3"/>
  <c r="P331" i="3"/>
  <c r="Q331" i="3" s="1"/>
  <c r="R331" i="3" s="1"/>
  <c r="S331" i="3" s="1"/>
  <c r="AA331" i="3"/>
  <c r="AC331" i="3"/>
  <c r="Z331" i="3"/>
  <c r="U330" i="3" l="1"/>
  <c r="Y329" i="3"/>
  <c r="T331" i="3"/>
  <c r="D331" i="3" l="1"/>
  <c r="G331" i="3" s="1"/>
  <c r="AH331" i="3"/>
  <c r="AG331" i="3"/>
  <c r="E331" i="3"/>
  <c r="H331" i="3" s="1"/>
  <c r="F331" i="3" l="1"/>
  <c r="I331" i="3"/>
  <c r="J331" i="3"/>
  <c r="AD331" i="3" s="1"/>
  <c r="M331" i="3"/>
  <c r="N331" i="3" s="1"/>
  <c r="K331" i="3"/>
  <c r="AE331" i="3" s="1"/>
  <c r="V331" i="3" l="1"/>
  <c r="W331" i="3" s="1"/>
  <c r="A332" i="3"/>
  <c r="B332" i="3" s="1"/>
  <c r="L331" i="3"/>
  <c r="U331" i="3" l="1"/>
  <c r="Y330" i="3"/>
  <c r="AA332" i="3"/>
  <c r="Z332" i="3"/>
  <c r="AC332" i="3"/>
  <c r="P332" i="3"/>
  <c r="Q332" i="3" s="1"/>
  <c r="R332" i="3" s="1"/>
  <c r="S332" i="3" s="1"/>
  <c r="T332" i="3" l="1"/>
  <c r="AG332" i="3" s="1"/>
  <c r="E332" i="3" l="1"/>
  <c r="H332" i="3" s="1"/>
  <c r="K332" i="3" s="1"/>
  <c r="AE332" i="3" s="1"/>
  <c r="D332" i="3"/>
  <c r="AH332" i="3"/>
  <c r="V332" i="3" l="1"/>
  <c r="A333" i="3"/>
  <c r="B333" i="3" s="1"/>
  <c r="F332" i="3"/>
  <c r="G332" i="3"/>
  <c r="I332" i="3" l="1"/>
  <c r="W332" i="3" s="1"/>
  <c r="J332" i="3"/>
  <c r="AD332" i="3" s="1"/>
  <c r="M332" i="3"/>
  <c r="N332" i="3" s="1"/>
  <c r="AA333" i="3"/>
  <c r="P333" i="3"/>
  <c r="Q333" i="3" s="1"/>
  <c r="R333" i="3" s="1"/>
  <c r="S333" i="3" s="1"/>
  <c r="Z333" i="3"/>
  <c r="AC333" i="3"/>
  <c r="T333" i="3" l="1"/>
  <c r="L332" i="3"/>
  <c r="AH333" i="3" l="1"/>
  <c r="AG333" i="3"/>
  <c r="U332" i="3"/>
  <c r="D333" i="3" s="1"/>
  <c r="Y331" i="3"/>
  <c r="E333" i="3" l="1"/>
  <c r="H333" i="3" s="1"/>
  <c r="K333" i="3" s="1"/>
  <c r="AE333" i="3" s="1"/>
  <c r="G333" i="3"/>
  <c r="F333" i="3" l="1"/>
  <c r="I333" i="3"/>
  <c r="J333" i="3"/>
  <c r="AD333" i="3" s="1"/>
  <c r="M333" i="3"/>
  <c r="N333" i="3" s="1"/>
  <c r="V333" i="3"/>
  <c r="A334" i="3"/>
  <c r="B334" i="3" s="1"/>
  <c r="W333" i="3" l="1"/>
  <c r="L333" i="3"/>
  <c r="AA334" i="3"/>
  <c r="P334" i="3"/>
  <c r="Q334" i="3" s="1"/>
  <c r="R334" i="3" s="1"/>
  <c r="S334" i="3" s="1"/>
  <c r="Z334" i="3"/>
  <c r="AC334" i="3"/>
  <c r="T334" i="3" l="1"/>
  <c r="AH334" i="3" s="1"/>
  <c r="U333" i="3"/>
  <c r="Y332" i="3"/>
  <c r="D334" i="3" l="1"/>
  <c r="G334" i="3" s="1"/>
  <c r="E334" i="3"/>
  <c r="H334" i="3" s="1"/>
  <c r="AG334" i="3"/>
  <c r="F334" i="3" l="1"/>
  <c r="I334" i="3"/>
  <c r="J334" i="3"/>
  <c r="AD334" i="3" s="1"/>
  <c r="M334" i="3"/>
  <c r="N334" i="3" s="1"/>
  <c r="K334" i="3"/>
  <c r="AE334" i="3" s="1"/>
  <c r="L334" i="3" l="1"/>
  <c r="V334" i="3"/>
  <c r="W334" i="3" s="1"/>
  <c r="A335" i="3"/>
  <c r="B335" i="3" s="1"/>
  <c r="U334" i="3" l="1"/>
  <c r="Y333" i="3"/>
  <c r="AC335" i="3"/>
  <c r="P335" i="3"/>
  <c r="Q335" i="3" s="1"/>
  <c r="R335" i="3" s="1"/>
  <c r="S335" i="3" s="1"/>
  <c r="AA335" i="3"/>
  <c r="Z335" i="3"/>
  <c r="T335" i="3" l="1"/>
  <c r="AG335" i="3" s="1"/>
  <c r="AH335" i="3" l="1"/>
  <c r="D335" i="3"/>
  <c r="E335" i="3"/>
  <c r="H335" i="3" s="1"/>
  <c r="F335" i="3" l="1"/>
  <c r="G335" i="3"/>
  <c r="K335" i="3"/>
  <c r="AE335" i="3" s="1"/>
  <c r="I335" i="3" l="1"/>
  <c r="J335" i="3"/>
  <c r="AD335" i="3" s="1"/>
  <c r="M335" i="3"/>
  <c r="N335" i="3" s="1"/>
  <c r="V335" i="3"/>
  <c r="A336" i="3"/>
  <c r="B336" i="3" s="1"/>
  <c r="W335" i="3" l="1"/>
  <c r="L335" i="3"/>
  <c r="AA336" i="3"/>
  <c r="P336" i="3"/>
  <c r="Q336" i="3" s="1"/>
  <c r="R336" i="3" s="1"/>
  <c r="S336" i="3" s="1"/>
  <c r="AC336" i="3"/>
  <c r="Z336" i="3"/>
  <c r="T336" i="3" l="1"/>
  <c r="AG336" i="3" s="1"/>
  <c r="U335" i="3"/>
  <c r="Y334" i="3"/>
  <c r="E336" i="3" l="1"/>
  <c r="H336" i="3" s="1"/>
  <c r="D336" i="3"/>
  <c r="AH336" i="3"/>
  <c r="K336" i="3" l="1"/>
  <c r="AE336" i="3" s="1"/>
  <c r="F336" i="3"/>
  <c r="G336" i="3"/>
  <c r="I336" i="3" l="1"/>
  <c r="J336" i="3"/>
  <c r="AD336" i="3" s="1"/>
  <c r="M336" i="3"/>
  <c r="N336" i="3" s="1"/>
  <c r="V336" i="3"/>
  <c r="A337" i="3"/>
  <c r="B337" i="3" s="1"/>
  <c r="W336" i="3" l="1"/>
  <c r="P337" i="3"/>
  <c r="Q337" i="3" s="1"/>
  <c r="R337" i="3" s="1"/>
  <c r="S337" i="3" s="1"/>
  <c r="AC337" i="3"/>
  <c r="AA337" i="3"/>
  <c r="Z337" i="3"/>
  <c r="L336" i="3"/>
  <c r="T337" i="3" l="1"/>
  <c r="U336" i="3"/>
  <c r="Y335" i="3"/>
  <c r="E337" i="3" l="1"/>
  <c r="H337" i="3" s="1"/>
  <c r="K337" i="3" s="1"/>
  <c r="AE337" i="3" s="1"/>
  <c r="AH337" i="3"/>
  <c r="AG337" i="3"/>
  <c r="D337" i="3"/>
  <c r="V337" i="3" l="1"/>
  <c r="A338" i="3"/>
  <c r="B338" i="3" s="1"/>
  <c r="F337" i="3"/>
  <c r="G337" i="3"/>
  <c r="I337" i="3" l="1"/>
  <c r="W337" i="3" s="1"/>
  <c r="J337" i="3"/>
  <c r="AD337" i="3" s="1"/>
  <c r="M337" i="3"/>
  <c r="N337" i="3" s="1"/>
  <c r="P338" i="3"/>
  <c r="Q338" i="3" s="1"/>
  <c r="R338" i="3" s="1"/>
  <c r="S338" i="3" s="1"/>
  <c r="Z338" i="3"/>
  <c r="AC338" i="3"/>
  <c r="AA338" i="3"/>
  <c r="T338" i="3" l="1"/>
  <c r="L337" i="3"/>
  <c r="AH338" i="3" l="1"/>
  <c r="U337" i="3"/>
  <c r="E338" i="3" s="1"/>
  <c r="H338" i="3" s="1"/>
  <c r="AG338" i="3"/>
  <c r="Y336" i="3"/>
  <c r="D338" i="3" l="1"/>
  <c r="F338" i="3" s="1"/>
  <c r="K338" i="3"/>
  <c r="AE338" i="3" s="1"/>
  <c r="G338" i="3" l="1"/>
  <c r="M338" i="3" s="1"/>
  <c r="N338" i="3" s="1"/>
  <c r="V338" i="3"/>
  <c r="A339" i="3"/>
  <c r="B339" i="3" s="1"/>
  <c r="I338" i="3" l="1"/>
  <c r="W338" i="3" s="1"/>
  <c r="J338" i="3"/>
  <c r="Z339" i="3"/>
  <c r="P339" i="3"/>
  <c r="Q339" i="3" s="1"/>
  <c r="R339" i="3" s="1"/>
  <c r="S339" i="3" s="1"/>
  <c r="AA339" i="3"/>
  <c r="AC339" i="3"/>
  <c r="L338" i="3" l="1"/>
  <c r="U338" i="3" s="1"/>
  <c r="AD338" i="3"/>
  <c r="T339" i="3"/>
  <c r="Y337" i="3" l="1"/>
  <c r="AG339" i="3"/>
  <c r="AH339" i="3"/>
  <c r="E339" i="3"/>
  <c r="H339" i="3" s="1"/>
  <c r="D339" i="3"/>
  <c r="K339" i="3" l="1"/>
  <c r="AE339" i="3" s="1"/>
  <c r="F339" i="3"/>
  <c r="G339" i="3"/>
  <c r="V339" i="3" l="1"/>
  <c r="A340" i="3"/>
  <c r="B340" i="3" s="1"/>
  <c r="I339" i="3"/>
  <c r="J339" i="3"/>
  <c r="AD339" i="3" s="1"/>
  <c r="M339" i="3"/>
  <c r="N339" i="3" s="1"/>
  <c r="W339" i="3" l="1"/>
  <c r="L339" i="3"/>
  <c r="Z340" i="3"/>
  <c r="P340" i="3"/>
  <c r="Q340" i="3" s="1"/>
  <c r="R340" i="3" s="1"/>
  <c r="S340" i="3" s="1"/>
  <c r="AC340" i="3"/>
  <c r="AA340" i="3"/>
  <c r="T340" i="3" l="1"/>
  <c r="U339" i="3"/>
  <c r="Y338" i="3"/>
  <c r="D340" i="3" l="1"/>
  <c r="G340" i="3" s="1"/>
  <c r="E340" i="3"/>
  <c r="H340" i="3" s="1"/>
  <c r="K340" i="3" s="1"/>
  <c r="AE340" i="3" s="1"/>
  <c r="AH340" i="3"/>
  <c r="AG340" i="3"/>
  <c r="F340" i="3" l="1"/>
  <c r="V340" i="3"/>
  <c r="A341" i="3"/>
  <c r="B341" i="3" s="1"/>
  <c r="I340" i="3"/>
  <c r="J340" i="3"/>
  <c r="AD340" i="3" s="1"/>
  <c r="M340" i="3"/>
  <c r="N340" i="3" s="1"/>
  <c r="W340" i="3" l="1"/>
  <c r="L340" i="3"/>
  <c r="Z341" i="3"/>
  <c r="P341" i="3"/>
  <c r="Q341" i="3" s="1"/>
  <c r="R341" i="3" s="1"/>
  <c r="S341" i="3" s="1"/>
  <c r="AA341" i="3"/>
  <c r="AC341" i="3"/>
  <c r="U340" i="3" l="1"/>
  <c r="Y339" i="3"/>
  <c r="T341" i="3"/>
  <c r="AG341" i="3" s="1"/>
  <c r="D341" i="3" l="1"/>
  <c r="AH341" i="3"/>
  <c r="E341" i="3"/>
  <c r="H341" i="3" s="1"/>
  <c r="F341" i="3" l="1"/>
  <c r="G341" i="3"/>
  <c r="K341" i="3"/>
  <c r="AE341" i="3" s="1"/>
  <c r="I341" i="3" l="1"/>
  <c r="J341" i="3"/>
  <c r="AD341" i="3" s="1"/>
  <c r="M341" i="3"/>
  <c r="N341" i="3" s="1"/>
  <c r="V341" i="3"/>
  <c r="A342" i="3"/>
  <c r="B342" i="3" s="1"/>
  <c r="L341" i="3" l="1"/>
  <c r="W341" i="3"/>
  <c r="Z342" i="3"/>
  <c r="P342" i="3"/>
  <c r="Q342" i="3" s="1"/>
  <c r="R342" i="3" s="1"/>
  <c r="S342" i="3" s="1"/>
  <c r="AA342" i="3"/>
  <c r="AC342" i="3"/>
  <c r="U341" i="3" l="1"/>
  <c r="Y340" i="3"/>
  <c r="T342" i="3"/>
  <c r="D342" i="3" l="1"/>
  <c r="G342" i="3" s="1"/>
  <c r="AH342" i="3"/>
  <c r="E342" i="3"/>
  <c r="H342" i="3" s="1"/>
  <c r="AG342" i="3"/>
  <c r="F342" i="3" l="1"/>
  <c r="I342" i="3"/>
  <c r="J342" i="3"/>
  <c r="AD342" i="3" s="1"/>
  <c r="M342" i="3"/>
  <c r="N342" i="3" s="1"/>
  <c r="K342" i="3"/>
  <c r="AE342" i="3" s="1"/>
  <c r="V342" i="3" l="1"/>
  <c r="W342" i="3" s="1"/>
  <c r="A343" i="3"/>
  <c r="B343" i="3" s="1"/>
  <c r="L342" i="3"/>
  <c r="U342" i="3" l="1"/>
  <c r="Y341" i="3"/>
  <c r="P343" i="3"/>
  <c r="Q343" i="3" s="1"/>
  <c r="R343" i="3" s="1"/>
  <c r="S343" i="3" s="1"/>
  <c r="AA343" i="3"/>
  <c r="Z343" i="3"/>
  <c r="AC343" i="3"/>
  <c r="T343" i="3" l="1"/>
  <c r="D343" i="3" s="1"/>
  <c r="E343" i="3" l="1"/>
  <c r="H343" i="3" s="1"/>
  <c r="K343" i="3" s="1"/>
  <c r="AE343" i="3" s="1"/>
  <c r="G343" i="3"/>
  <c r="AG343" i="3"/>
  <c r="AH343" i="3"/>
  <c r="F343" i="3" l="1"/>
  <c r="I343" i="3"/>
  <c r="J343" i="3"/>
  <c r="AD343" i="3" s="1"/>
  <c r="M343" i="3"/>
  <c r="N343" i="3" s="1"/>
  <c r="V343" i="3"/>
  <c r="A344" i="3"/>
  <c r="B344" i="3" s="1"/>
  <c r="W343" i="3" l="1"/>
  <c r="L343" i="3"/>
  <c r="AA344" i="3"/>
  <c r="Z344" i="3"/>
  <c r="P344" i="3"/>
  <c r="Q344" i="3" s="1"/>
  <c r="R344" i="3" s="1"/>
  <c r="S344" i="3" s="1"/>
  <c r="AC344" i="3"/>
  <c r="U343" i="3" l="1"/>
  <c r="Y342" i="3"/>
  <c r="T344" i="3"/>
  <c r="AH344" i="3" s="1"/>
  <c r="AG344" i="3" l="1"/>
  <c r="E344" i="3"/>
  <c r="H344" i="3" s="1"/>
  <c r="D344" i="3"/>
  <c r="F344" i="3" l="1"/>
  <c r="G344" i="3"/>
  <c r="K344" i="3"/>
  <c r="AE344" i="3" s="1"/>
  <c r="I344" i="3" l="1"/>
  <c r="J344" i="3"/>
  <c r="AD344" i="3" s="1"/>
  <c r="M344" i="3"/>
  <c r="N344" i="3" s="1"/>
  <c r="V344" i="3"/>
  <c r="A345" i="3"/>
  <c r="B345" i="3" s="1"/>
  <c r="W344" i="3" l="1"/>
  <c r="P345" i="3"/>
  <c r="Q345" i="3" s="1"/>
  <c r="R345" i="3" s="1"/>
  <c r="S345" i="3" s="1"/>
  <c r="Z345" i="3"/>
  <c r="AC345" i="3"/>
  <c r="AA345" i="3"/>
  <c r="L344" i="3"/>
  <c r="T345" i="3" l="1"/>
  <c r="U344" i="3"/>
  <c r="Y343" i="3"/>
  <c r="E345" i="3" l="1"/>
  <c r="H345" i="3" s="1"/>
  <c r="K345" i="3" s="1"/>
  <c r="AE345" i="3" s="1"/>
  <c r="AH345" i="3"/>
  <c r="D345" i="3"/>
  <c r="AG345" i="3"/>
  <c r="F345" i="3" l="1"/>
  <c r="G345" i="3"/>
  <c r="V345" i="3"/>
  <c r="A346" i="3"/>
  <c r="B346" i="3" s="1"/>
  <c r="AC346" i="3" l="1"/>
  <c r="P346" i="3"/>
  <c r="Q346" i="3" s="1"/>
  <c r="R346" i="3" s="1"/>
  <c r="S346" i="3" s="1"/>
  <c r="AA346" i="3"/>
  <c r="Z346" i="3"/>
  <c r="I345" i="3"/>
  <c r="W345" i="3" s="1"/>
  <c r="J345" i="3"/>
  <c r="AD345" i="3" s="1"/>
  <c r="M345" i="3"/>
  <c r="N345" i="3" s="1"/>
  <c r="L345" i="3" l="1"/>
  <c r="T346" i="3"/>
  <c r="AH346" i="3" l="1"/>
  <c r="AG346" i="3"/>
  <c r="U345" i="3"/>
  <c r="D346" i="3" s="1"/>
  <c r="Y344" i="3"/>
  <c r="G346" i="3" l="1"/>
  <c r="E346" i="3"/>
  <c r="H346" i="3" s="1"/>
  <c r="F346" i="3" l="1"/>
  <c r="I346" i="3"/>
  <c r="J346" i="3"/>
  <c r="AD346" i="3" s="1"/>
  <c r="M346" i="3"/>
  <c r="N346" i="3" s="1"/>
  <c r="K346" i="3"/>
  <c r="AE346" i="3" s="1"/>
  <c r="V346" i="3" l="1"/>
  <c r="W346" i="3" s="1"/>
  <c r="A347" i="3"/>
  <c r="B347" i="3" s="1"/>
  <c r="L346" i="3"/>
  <c r="U346" i="3" l="1"/>
  <c r="Y345" i="3"/>
  <c r="AC347" i="3"/>
  <c r="Z347" i="3"/>
  <c r="AA347" i="3"/>
  <c r="P347" i="3"/>
  <c r="Q347" i="3" s="1"/>
  <c r="R347" i="3" s="1"/>
  <c r="S347" i="3" s="1"/>
  <c r="T347" i="3" l="1"/>
  <c r="E347" i="3" s="1"/>
  <c r="H347" i="3" s="1"/>
  <c r="K347" i="3" l="1"/>
  <c r="AE347" i="3" s="1"/>
  <c r="AH347" i="3"/>
  <c r="AG347" i="3"/>
  <c r="D347" i="3"/>
  <c r="F347" i="3" l="1"/>
  <c r="G347" i="3"/>
  <c r="V347" i="3"/>
  <c r="A348" i="3"/>
  <c r="B348" i="3" s="1"/>
  <c r="I347" i="3" l="1"/>
  <c r="W347" i="3" s="1"/>
  <c r="J347" i="3"/>
  <c r="AD347" i="3" s="1"/>
  <c r="M347" i="3"/>
  <c r="N347" i="3" s="1"/>
  <c r="AC348" i="3"/>
  <c r="AA348" i="3"/>
  <c r="P348" i="3"/>
  <c r="Q348" i="3" s="1"/>
  <c r="R348" i="3" s="1"/>
  <c r="S348" i="3" s="1"/>
  <c r="Z348" i="3"/>
  <c r="L347" i="3" l="1"/>
  <c r="T348" i="3"/>
  <c r="U347" i="3" l="1"/>
  <c r="D348" i="3" s="1"/>
  <c r="AH348" i="3"/>
  <c r="AG348" i="3"/>
  <c r="Y346" i="3"/>
  <c r="E348" i="3" l="1"/>
  <c r="H348" i="3" s="1"/>
  <c r="K348" i="3" s="1"/>
  <c r="AE348" i="3" s="1"/>
  <c r="G348" i="3"/>
  <c r="F348" i="3" l="1"/>
  <c r="I348" i="3"/>
  <c r="J348" i="3"/>
  <c r="AD348" i="3" s="1"/>
  <c r="M348" i="3"/>
  <c r="N348" i="3" s="1"/>
  <c r="V348" i="3"/>
  <c r="A349" i="3"/>
  <c r="B349" i="3" s="1"/>
  <c r="W348" i="3" l="1"/>
  <c r="L348" i="3"/>
  <c r="AC349" i="3"/>
  <c r="P349" i="3"/>
  <c r="Q349" i="3" s="1"/>
  <c r="R349" i="3" s="1"/>
  <c r="S349" i="3" s="1"/>
  <c r="AA349" i="3"/>
  <c r="Z349" i="3"/>
  <c r="U348" i="3" l="1"/>
  <c r="Y347" i="3"/>
  <c r="T349" i="3"/>
  <c r="AG349" i="3" s="1"/>
  <c r="E349" i="3" l="1"/>
  <c r="H349" i="3" s="1"/>
  <c r="K349" i="3" s="1"/>
  <c r="AE349" i="3" s="1"/>
  <c r="D349" i="3"/>
  <c r="AH349" i="3"/>
  <c r="V349" i="3" l="1"/>
  <c r="A350" i="3"/>
  <c r="B350" i="3" s="1"/>
  <c r="F349" i="3"/>
  <c r="G349" i="3"/>
  <c r="I349" i="3" l="1"/>
  <c r="W349" i="3" s="1"/>
  <c r="J349" i="3"/>
  <c r="AD349" i="3" s="1"/>
  <c r="M349" i="3"/>
  <c r="N349" i="3" s="1"/>
  <c r="P350" i="3"/>
  <c r="Q350" i="3" s="1"/>
  <c r="R350" i="3" s="1"/>
  <c r="S350" i="3" s="1"/>
  <c r="Z350" i="3"/>
  <c r="AC350" i="3"/>
  <c r="AA350" i="3"/>
  <c r="T350" i="3" l="1"/>
  <c r="L349" i="3"/>
  <c r="U349" i="3" l="1"/>
  <c r="D350" i="3" s="1"/>
  <c r="AG350" i="3"/>
  <c r="AH350" i="3"/>
  <c r="Y348" i="3"/>
  <c r="E350" i="3" l="1"/>
  <c r="H350" i="3" s="1"/>
  <c r="K350" i="3" s="1"/>
  <c r="AE350" i="3" s="1"/>
  <c r="G350" i="3"/>
  <c r="F350" i="3" l="1"/>
  <c r="V350" i="3"/>
  <c r="A351" i="3"/>
  <c r="B351" i="3" s="1"/>
  <c r="I350" i="3"/>
  <c r="J350" i="3"/>
  <c r="AD350" i="3" s="1"/>
  <c r="M350" i="3"/>
  <c r="N350" i="3" s="1"/>
  <c r="W350" i="3" l="1"/>
  <c r="L350" i="3"/>
  <c r="AA351" i="3"/>
  <c r="P351" i="3"/>
  <c r="Q351" i="3" s="1"/>
  <c r="R351" i="3" s="1"/>
  <c r="S351" i="3" s="1"/>
  <c r="Z351" i="3"/>
  <c r="AC351" i="3"/>
  <c r="U350" i="3" l="1"/>
  <c r="Y349" i="3"/>
  <c r="T351" i="3"/>
  <c r="D351" i="3" l="1"/>
  <c r="G351" i="3" s="1"/>
  <c r="AH351" i="3"/>
  <c r="E351" i="3"/>
  <c r="H351" i="3" s="1"/>
  <c r="K351" i="3" s="1"/>
  <c r="AE351" i="3" s="1"/>
  <c r="AG351" i="3"/>
  <c r="F351" i="3" l="1"/>
  <c r="V351" i="3"/>
  <c r="A352" i="3"/>
  <c r="B352" i="3" s="1"/>
  <c r="I351" i="3"/>
  <c r="J351" i="3"/>
  <c r="AD351" i="3" s="1"/>
  <c r="M351" i="3"/>
  <c r="N351" i="3" s="1"/>
  <c r="L351" i="3" l="1"/>
  <c r="W351" i="3"/>
  <c r="AC352" i="3"/>
  <c r="P352" i="3"/>
  <c r="Q352" i="3" s="1"/>
  <c r="R352" i="3" s="1"/>
  <c r="S352" i="3" s="1"/>
  <c r="AA352" i="3"/>
  <c r="Z352" i="3"/>
  <c r="U351" i="3" l="1"/>
  <c r="Y350" i="3"/>
  <c r="T352" i="3"/>
  <c r="E352" i="3" l="1"/>
  <c r="H352" i="3" s="1"/>
  <c r="K352" i="3" s="1"/>
  <c r="AE352" i="3" s="1"/>
  <c r="AH352" i="3"/>
  <c r="D352" i="3"/>
  <c r="AG352" i="3"/>
  <c r="F352" i="3" l="1"/>
  <c r="G352" i="3"/>
  <c r="V352" i="3"/>
  <c r="A353" i="3"/>
  <c r="B353" i="3" s="1"/>
  <c r="AC353" i="3" l="1"/>
  <c r="AA353" i="3"/>
  <c r="P353" i="3"/>
  <c r="Q353" i="3" s="1"/>
  <c r="R353" i="3" s="1"/>
  <c r="S353" i="3" s="1"/>
  <c r="Z353" i="3"/>
  <c r="I352" i="3"/>
  <c r="W352" i="3" s="1"/>
  <c r="J352" i="3"/>
  <c r="AD352" i="3" s="1"/>
  <c r="M352" i="3"/>
  <c r="N352" i="3" s="1"/>
  <c r="T353" i="3" l="1"/>
  <c r="L352" i="3"/>
  <c r="U352" i="3" l="1"/>
  <c r="D353" i="3" s="1"/>
  <c r="AH353" i="3"/>
  <c r="AG353" i="3"/>
  <c r="Y351" i="3"/>
  <c r="E353" i="3" l="1"/>
  <c r="H353" i="3" s="1"/>
  <c r="K353" i="3" s="1"/>
  <c r="AE353" i="3" s="1"/>
  <c r="G353" i="3"/>
  <c r="F353" i="3" l="1"/>
  <c r="I353" i="3"/>
  <c r="J353" i="3"/>
  <c r="AD353" i="3" s="1"/>
  <c r="M353" i="3"/>
  <c r="N353" i="3" s="1"/>
  <c r="V353" i="3"/>
  <c r="A354" i="3"/>
  <c r="B354" i="3" s="1"/>
  <c r="W353" i="3" l="1"/>
  <c r="L353" i="3"/>
  <c r="P354" i="3"/>
  <c r="Q354" i="3" s="1"/>
  <c r="R354" i="3" s="1"/>
  <c r="S354" i="3" s="1"/>
  <c r="AC354" i="3"/>
  <c r="Z354" i="3"/>
  <c r="AA354" i="3"/>
  <c r="U353" i="3" l="1"/>
  <c r="Y352" i="3"/>
  <c r="T354" i="3"/>
  <c r="AG354" i="3" s="1"/>
  <c r="D354" i="3" l="1"/>
  <c r="AH354" i="3"/>
  <c r="E354" i="3"/>
  <c r="H354" i="3" s="1"/>
  <c r="F354" i="3" l="1"/>
  <c r="G354" i="3"/>
  <c r="K354" i="3"/>
  <c r="AE354" i="3" s="1"/>
  <c r="V354" i="3" l="1"/>
  <c r="A355" i="3"/>
  <c r="B355" i="3" s="1"/>
  <c r="I354" i="3"/>
  <c r="J354" i="3"/>
  <c r="AD354" i="3" s="1"/>
  <c r="M354" i="3"/>
  <c r="N354" i="3" s="1"/>
  <c r="W354" i="3" l="1"/>
  <c r="L354" i="3"/>
  <c r="AA355" i="3"/>
  <c r="AC355" i="3"/>
  <c r="Z355" i="3"/>
  <c r="P355" i="3"/>
  <c r="Q355" i="3" s="1"/>
  <c r="R355" i="3" s="1"/>
  <c r="S355" i="3" s="1"/>
  <c r="T355" i="3" l="1"/>
  <c r="U354" i="3"/>
  <c r="Y353" i="3"/>
  <c r="D355" i="3" l="1"/>
  <c r="G355" i="3" s="1"/>
  <c r="AG355" i="3"/>
  <c r="E355" i="3"/>
  <c r="H355" i="3" s="1"/>
  <c r="K355" i="3" s="1"/>
  <c r="AE355" i="3" s="1"/>
  <c r="AH355" i="3"/>
  <c r="F355" i="3" l="1"/>
  <c r="V355" i="3"/>
  <c r="A356" i="3"/>
  <c r="B356" i="3" s="1"/>
  <c r="I355" i="3"/>
  <c r="J355" i="3"/>
  <c r="AD355" i="3" s="1"/>
  <c r="M355" i="3"/>
  <c r="N355" i="3" s="1"/>
  <c r="W355" i="3" l="1"/>
  <c r="L355" i="3"/>
  <c r="P356" i="3"/>
  <c r="Q356" i="3" s="1"/>
  <c r="R356" i="3" s="1"/>
  <c r="S356" i="3" s="1"/>
  <c r="AA356" i="3"/>
  <c r="Z356" i="3"/>
  <c r="AC356" i="3"/>
  <c r="U355" i="3" l="1"/>
  <c r="Y354" i="3"/>
  <c r="T356" i="3"/>
  <c r="AG356" i="3" s="1"/>
  <c r="AH356" i="3" l="1"/>
  <c r="D356" i="3"/>
  <c r="E356" i="3"/>
  <c r="H356" i="3" s="1"/>
  <c r="K356" i="3" s="1"/>
  <c r="AE356" i="3" s="1"/>
  <c r="F356" i="3" l="1"/>
  <c r="G356" i="3"/>
  <c r="M356" i="3" s="1"/>
  <c r="N356" i="3" s="1"/>
  <c r="V356" i="3"/>
  <c r="A357" i="3"/>
  <c r="B357" i="3" s="1"/>
  <c r="I356" i="3" l="1"/>
  <c r="W356" i="3" s="1"/>
  <c r="J356" i="3"/>
  <c r="Z357" i="3"/>
  <c r="P357" i="3"/>
  <c r="Q357" i="3" s="1"/>
  <c r="R357" i="3" s="1"/>
  <c r="S357" i="3" s="1"/>
  <c r="AC357" i="3"/>
  <c r="AA357" i="3"/>
  <c r="L356" i="3" l="1"/>
  <c r="U356" i="3" s="1"/>
  <c r="AD356" i="3"/>
  <c r="T357" i="3"/>
  <c r="Y355" i="3" l="1"/>
  <c r="AG357" i="3"/>
  <c r="AH357" i="3"/>
  <c r="E357" i="3"/>
  <c r="H357" i="3" s="1"/>
  <c r="D357" i="3"/>
  <c r="F357" i="3" l="1"/>
  <c r="G357" i="3"/>
  <c r="K357" i="3"/>
  <c r="AE357" i="3" s="1"/>
  <c r="V357" i="3" l="1"/>
  <c r="A358" i="3"/>
  <c r="B358" i="3" s="1"/>
  <c r="I357" i="3"/>
  <c r="J357" i="3"/>
  <c r="AD357" i="3" s="1"/>
  <c r="M357" i="3"/>
  <c r="N357" i="3" s="1"/>
  <c r="W357" i="3" l="1"/>
  <c r="L357" i="3"/>
  <c r="P358" i="3"/>
  <c r="Q358" i="3" s="1"/>
  <c r="R358" i="3" s="1"/>
  <c r="S358" i="3" s="1"/>
  <c r="Z358" i="3"/>
  <c r="AA358" i="3"/>
  <c r="AC358" i="3"/>
  <c r="T358" i="3" l="1"/>
  <c r="AH358" i="3" s="1"/>
  <c r="U357" i="3"/>
  <c r="Y356" i="3"/>
  <c r="D358" i="3" l="1"/>
  <c r="G358" i="3" s="1"/>
  <c r="E358" i="3"/>
  <c r="H358" i="3" s="1"/>
  <c r="AG358" i="3"/>
  <c r="I358" i="3" l="1"/>
  <c r="J358" i="3"/>
  <c r="AD358" i="3" s="1"/>
  <c r="M358" i="3"/>
  <c r="N358" i="3" s="1"/>
  <c r="F358" i="3"/>
  <c r="K358" i="3"/>
  <c r="AE358" i="3" s="1"/>
  <c r="V358" i="3" l="1"/>
  <c r="W358" i="3" s="1"/>
  <c r="A359" i="3"/>
  <c r="B359" i="3" s="1"/>
  <c r="L358" i="3"/>
  <c r="U358" i="3" l="1"/>
  <c r="Y357" i="3"/>
  <c r="P359" i="3"/>
  <c r="Q359" i="3" s="1"/>
  <c r="R359" i="3" s="1"/>
  <c r="S359" i="3" s="1"/>
  <c r="AC359" i="3"/>
  <c r="AA359" i="3"/>
  <c r="Z359" i="3"/>
  <c r="T359" i="3" l="1"/>
  <c r="AG359" i="3" s="1"/>
  <c r="AH359" i="3" l="1"/>
  <c r="E359" i="3"/>
  <c r="H359" i="3" s="1"/>
  <c r="D359" i="3"/>
  <c r="K359" i="3" l="1"/>
  <c r="AE359" i="3" s="1"/>
  <c r="F359" i="3"/>
  <c r="G359" i="3"/>
  <c r="I359" i="3" l="1"/>
  <c r="J359" i="3"/>
  <c r="AD359" i="3" s="1"/>
  <c r="M359" i="3"/>
  <c r="N359" i="3" s="1"/>
  <c r="V359" i="3"/>
  <c r="A360" i="3"/>
  <c r="B360" i="3" s="1"/>
  <c r="W359" i="3" l="1"/>
  <c r="L359" i="3"/>
  <c r="AC360" i="3"/>
  <c r="AA360" i="3"/>
  <c r="P360" i="3"/>
  <c r="Q360" i="3" s="1"/>
  <c r="R360" i="3" s="1"/>
  <c r="S360" i="3" s="1"/>
  <c r="Z360" i="3"/>
  <c r="T360" i="3" l="1"/>
  <c r="AH360" i="3" s="1"/>
  <c r="U359" i="3"/>
  <c r="Y358" i="3"/>
  <c r="E360" i="3" l="1"/>
  <c r="H360" i="3" s="1"/>
  <c r="K360" i="3" s="1"/>
  <c r="AE360" i="3" s="1"/>
  <c r="AG360" i="3"/>
  <c r="D360" i="3"/>
  <c r="F360" i="3" l="1"/>
  <c r="G360" i="3"/>
  <c r="V360" i="3"/>
  <c r="A361" i="3"/>
  <c r="B361" i="3" s="1"/>
  <c r="Z361" i="3" l="1"/>
  <c r="P361" i="3"/>
  <c r="Q361" i="3" s="1"/>
  <c r="R361" i="3" s="1"/>
  <c r="S361" i="3" s="1"/>
  <c r="AC361" i="3"/>
  <c r="AA361" i="3"/>
  <c r="I360" i="3"/>
  <c r="W360" i="3" s="1"/>
  <c r="J360" i="3"/>
  <c r="AD360" i="3" s="1"/>
  <c r="M360" i="3"/>
  <c r="N360" i="3" s="1"/>
  <c r="T361" i="3" l="1"/>
  <c r="L360" i="3"/>
  <c r="AG361" i="3" l="1"/>
  <c r="AH361" i="3"/>
  <c r="U360" i="3"/>
  <c r="E361" i="3" s="1"/>
  <c r="H361" i="3" s="1"/>
  <c r="Y359" i="3"/>
  <c r="D361" i="3" l="1"/>
  <c r="G361" i="3" s="1"/>
  <c r="K361" i="3"/>
  <c r="AE361" i="3" s="1"/>
  <c r="F361" i="3" l="1"/>
  <c r="I361" i="3"/>
  <c r="J361" i="3"/>
  <c r="AD361" i="3" s="1"/>
  <c r="M361" i="3"/>
  <c r="N361" i="3" s="1"/>
  <c r="V361" i="3"/>
  <c r="A362" i="3"/>
  <c r="B362" i="3" s="1"/>
  <c r="W361" i="3" l="1"/>
  <c r="L361" i="3"/>
  <c r="AC362" i="3"/>
  <c r="Z362" i="3"/>
  <c r="P362" i="3"/>
  <c r="Q362" i="3" s="1"/>
  <c r="R362" i="3" s="1"/>
  <c r="S362" i="3" s="1"/>
  <c r="AA362" i="3"/>
  <c r="U361" i="3" l="1"/>
  <c r="Y360" i="3"/>
  <c r="T362" i="3"/>
  <c r="AH362" i="3" s="1"/>
  <c r="D362" i="3" l="1"/>
  <c r="G362" i="3" s="1"/>
  <c r="E362" i="3"/>
  <c r="H362" i="3" s="1"/>
  <c r="K362" i="3" s="1"/>
  <c r="AE362" i="3" s="1"/>
  <c r="AG362" i="3"/>
  <c r="F362" i="3" l="1"/>
  <c r="I362" i="3"/>
  <c r="J362" i="3"/>
  <c r="AD362" i="3" s="1"/>
  <c r="M362" i="3"/>
  <c r="N362" i="3" s="1"/>
  <c r="V362" i="3"/>
  <c r="A363" i="3"/>
  <c r="B363" i="3" s="1"/>
  <c r="W362" i="3" l="1"/>
  <c r="L362" i="3"/>
  <c r="P363" i="3"/>
  <c r="Q363" i="3" s="1"/>
  <c r="R363" i="3" s="1"/>
  <c r="S363" i="3" s="1"/>
  <c r="AA363" i="3"/>
  <c r="Z363" i="3"/>
  <c r="AC363" i="3"/>
  <c r="T363" i="3" l="1"/>
  <c r="U362" i="3"/>
  <c r="Y361" i="3"/>
  <c r="E363" i="3" l="1"/>
  <c r="H363" i="3" s="1"/>
  <c r="K363" i="3" s="1"/>
  <c r="AE363" i="3" s="1"/>
  <c r="AH363" i="3"/>
  <c r="D363" i="3"/>
  <c r="AG363" i="3"/>
  <c r="F363" i="3" l="1"/>
  <c r="G363" i="3"/>
  <c r="M363" i="3" s="1"/>
  <c r="N363" i="3" s="1"/>
  <c r="V363" i="3"/>
  <c r="A364" i="3"/>
  <c r="B364" i="3" s="1"/>
  <c r="I363" i="3" l="1"/>
  <c r="W363" i="3" s="1"/>
  <c r="J363" i="3"/>
  <c r="P364" i="3"/>
  <c r="Q364" i="3" s="1"/>
  <c r="R364" i="3" s="1"/>
  <c r="S364" i="3" s="1"/>
  <c r="Z364" i="3"/>
  <c r="AC364" i="3"/>
  <c r="AA364" i="3"/>
  <c r="L363" i="3" l="1"/>
  <c r="U363" i="3" s="1"/>
  <c r="AD363" i="3"/>
  <c r="T364" i="3"/>
  <c r="Y362" i="3" l="1"/>
  <c r="D364" i="3"/>
  <c r="G364" i="3" s="1"/>
  <c r="E364" i="3"/>
  <c r="H364" i="3" s="1"/>
  <c r="K364" i="3" s="1"/>
  <c r="AE364" i="3" s="1"/>
  <c r="AG364" i="3"/>
  <c r="AH364" i="3"/>
  <c r="F364" i="3" l="1"/>
  <c r="V364" i="3"/>
  <c r="A365" i="3"/>
  <c r="B365" i="3" s="1"/>
  <c r="I364" i="3"/>
  <c r="J364" i="3"/>
  <c r="AD364" i="3" s="1"/>
  <c r="M364" i="3"/>
  <c r="N364" i="3" s="1"/>
  <c r="W364" i="3" l="1"/>
  <c r="L364" i="3"/>
  <c r="AC365" i="3"/>
  <c r="P365" i="3"/>
  <c r="Q365" i="3" s="1"/>
  <c r="R365" i="3" s="1"/>
  <c r="S365" i="3" s="1"/>
  <c r="AA365" i="3"/>
  <c r="AD365" i="3"/>
  <c r="Z365" i="3"/>
  <c r="U364" i="3" l="1"/>
  <c r="Y363" i="3"/>
  <c r="T365" i="3"/>
  <c r="AH365" i="3" s="1"/>
  <c r="D365" i="3" l="1"/>
  <c r="G365" i="3" s="1"/>
  <c r="AG365" i="3"/>
  <c r="E365" i="3"/>
  <c r="H365" i="3" s="1"/>
  <c r="K365" i="3" s="1"/>
  <c r="AE365" i="3" s="1"/>
  <c r="F365" i="3" l="1"/>
  <c r="I365" i="3"/>
  <c r="J365" i="3"/>
  <c r="M365" i="3"/>
  <c r="N365" i="3" s="1"/>
  <c r="V365" i="3"/>
  <c r="A366" i="3"/>
  <c r="B366" i="3" s="1"/>
  <c r="W365" i="3" l="1"/>
  <c r="L365" i="3"/>
  <c r="AC366" i="3"/>
  <c r="AD366" i="3"/>
  <c r="P366" i="3"/>
  <c r="Q366" i="3" s="1"/>
  <c r="R366" i="3" s="1"/>
  <c r="S366" i="3" s="1"/>
  <c r="AA366" i="3"/>
  <c r="Z366" i="3"/>
  <c r="U365" i="3" l="1"/>
  <c r="Y364" i="3"/>
  <c r="T366" i="3"/>
  <c r="E366" i="3" l="1"/>
  <c r="H366" i="3" s="1"/>
  <c r="K366" i="3" s="1"/>
  <c r="AE366" i="3" s="1"/>
  <c r="AH366" i="3"/>
  <c r="D366" i="3"/>
  <c r="G366" i="3" s="1"/>
  <c r="AG366" i="3"/>
  <c r="F366" i="3" l="1"/>
  <c r="V366" i="3"/>
  <c r="A367" i="3"/>
  <c r="B367" i="3" s="1"/>
  <c r="I366" i="3"/>
  <c r="J366" i="3"/>
  <c r="M366" i="3"/>
  <c r="N366" i="3" s="1"/>
  <c r="W366" i="3" l="1"/>
  <c r="L366" i="3"/>
  <c r="Z367" i="3"/>
  <c r="P367" i="3"/>
  <c r="Q367" i="3" s="1"/>
  <c r="R367" i="3" s="1"/>
  <c r="S367" i="3" s="1"/>
  <c r="AC367" i="3"/>
  <c r="AA367" i="3"/>
  <c r="T367" i="3" l="1"/>
  <c r="AG367" i="3" s="1"/>
  <c r="U366" i="3"/>
  <c r="Y365" i="3"/>
  <c r="D367" i="3" l="1"/>
  <c r="AH367" i="3"/>
  <c r="E367" i="3"/>
  <c r="H367" i="3" s="1"/>
  <c r="F367" i="3" l="1"/>
  <c r="G367" i="3"/>
  <c r="K367" i="3"/>
  <c r="AE367" i="3" s="1"/>
  <c r="I367" i="3" l="1"/>
  <c r="J367" i="3"/>
  <c r="AD367" i="3" s="1"/>
  <c r="M367" i="3"/>
  <c r="N367" i="3" s="1"/>
  <c r="V367" i="3"/>
  <c r="A368" i="3"/>
  <c r="B368" i="3" s="1"/>
  <c r="L367" i="3" l="1"/>
  <c r="W367" i="3"/>
  <c r="Z368" i="3"/>
  <c r="P368" i="3"/>
  <c r="Q368" i="3" s="1"/>
  <c r="R368" i="3" s="1"/>
  <c r="S368" i="3" s="1"/>
  <c r="AC368" i="3"/>
  <c r="AA368" i="3"/>
  <c r="T368" i="3" l="1"/>
  <c r="AH368" i="3" s="1"/>
  <c r="U367" i="3"/>
  <c r="Y366" i="3"/>
  <c r="E368" i="3" l="1"/>
  <c r="H368" i="3" s="1"/>
  <c r="K368" i="3" s="1"/>
  <c r="AE368" i="3" s="1"/>
  <c r="D368" i="3"/>
  <c r="AG368" i="3"/>
  <c r="V368" i="3" l="1"/>
  <c r="A369" i="3"/>
  <c r="B369" i="3" s="1"/>
  <c r="F368" i="3"/>
  <c r="G368" i="3"/>
  <c r="I368" i="3" l="1"/>
  <c r="W368" i="3" s="1"/>
  <c r="J368" i="3"/>
  <c r="AD368" i="3" s="1"/>
  <c r="M368" i="3"/>
  <c r="N368" i="3" s="1"/>
  <c r="AD369" i="3"/>
  <c r="Z369" i="3"/>
  <c r="AC369" i="3"/>
  <c r="P369" i="3"/>
  <c r="Q369" i="3" s="1"/>
  <c r="R369" i="3" s="1"/>
  <c r="S369" i="3" s="1"/>
  <c r="AA369" i="3"/>
  <c r="T369" i="3" l="1"/>
  <c r="L368" i="3"/>
  <c r="AH369" i="3" l="1"/>
  <c r="AG369" i="3"/>
  <c r="U368" i="3"/>
  <c r="E369" i="3" s="1"/>
  <c r="H369" i="3" s="1"/>
  <c r="Y367" i="3"/>
  <c r="D369" i="3" l="1"/>
  <c r="F369" i="3" s="1"/>
  <c r="K369" i="3"/>
  <c r="AE369" i="3" s="1"/>
  <c r="G369" i="3" l="1"/>
  <c r="M369" i="3" s="1"/>
  <c r="N369" i="3" s="1"/>
  <c r="V369" i="3"/>
  <c r="A370" i="3"/>
  <c r="B370" i="3" s="1"/>
  <c r="J369" i="3" l="1"/>
  <c r="L369" i="3" s="1"/>
  <c r="I369" i="3"/>
  <c r="W369" i="3" s="1"/>
  <c r="AD370" i="3"/>
  <c r="AA370" i="3"/>
  <c r="P370" i="3"/>
  <c r="Q370" i="3" s="1"/>
  <c r="R370" i="3" s="1"/>
  <c r="S370" i="3" s="1"/>
  <c r="AC370" i="3"/>
  <c r="Z370" i="3"/>
  <c r="U369" i="3" l="1"/>
  <c r="Y368" i="3"/>
  <c r="T370" i="3"/>
  <c r="AG370" i="3" s="1"/>
  <c r="E370" i="3" l="1"/>
  <c r="H370" i="3" s="1"/>
  <c r="K370" i="3" s="1"/>
  <c r="AE370" i="3" s="1"/>
  <c r="AH370" i="3"/>
  <c r="D370" i="3"/>
  <c r="F370" i="3" l="1"/>
  <c r="G370" i="3"/>
  <c r="M370" i="3" s="1"/>
  <c r="N370" i="3" s="1"/>
  <c r="V370" i="3"/>
  <c r="A371" i="3"/>
  <c r="B371" i="3" s="1"/>
  <c r="I370" i="3" l="1"/>
  <c r="W370" i="3" s="1"/>
  <c r="J370" i="3"/>
  <c r="L370" i="3" s="1"/>
  <c r="AD371" i="3"/>
  <c r="AC371" i="3"/>
  <c r="P371" i="3"/>
  <c r="Q371" i="3" s="1"/>
  <c r="R371" i="3" s="1"/>
  <c r="S371" i="3" s="1"/>
  <c r="AA371" i="3"/>
  <c r="Z371" i="3"/>
  <c r="T371" i="3" l="1"/>
  <c r="AG371" i="3" s="1"/>
  <c r="U370" i="3"/>
  <c r="Y369" i="3"/>
  <c r="E371" i="3" l="1"/>
  <c r="H371" i="3" s="1"/>
  <c r="K371" i="3" s="1"/>
  <c r="AE371" i="3" s="1"/>
  <c r="D371" i="3"/>
  <c r="AH371" i="3"/>
  <c r="V371" i="3" l="1"/>
  <c r="A372" i="3"/>
  <c r="B372" i="3" s="1"/>
  <c r="F371" i="3"/>
  <c r="G371" i="3"/>
  <c r="I371" i="3" l="1"/>
  <c r="W371" i="3" s="1"/>
  <c r="J371" i="3"/>
  <c r="M371" i="3"/>
  <c r="N371" i="3" s="1"/>
  <c r="P372" i="3"/>
  <c r="Q372" i="3" s="1"/>
  <c r="R372" i="3" s="1"/>
  <c r="S372" i="3" s="1"/>
  <c r="AA372" i="3"/>
  <c r="AC372" i="3"/>
  <c r="Z372" i="3"/>
  <c r="AD372" i="3"/>
  <c r="L371" i="3" l="1"/>
  <c r="T372" i="3"/>
  <c r="U371" i="3" l="1"/>
  <c r="E372" i="3" s="1"/>
  <c r="H372" i="3" s="1"/>
  <c r="AG372" i="3"/>
  <c r="AH372" i="3"/>
  <c r="Y370" i="3"/>
  <c r="D372" i="3" l="1"/>
  <c r="F372" i="3" s="1"/>
  <c r="K372" i="3"/>
  <c r="AE372" i="3" s="1"/>
  <c r="G372" i="3" l="1"/>
  <c r="M372" i="3" s="1"/>
  <c r="N372" i="3" s="1"/>
  <c r="V372" i="3"/>
  <c r="A373" i="3"/>
  <c r="B373" i="3" s="1"/>
  <c r="J372" i="3" l="1"/>
  <c r="L372" i="3" s="1"/>
  <c r="I372" i="3"/>
  <c r="W372" i="3" s="1"/>
  <c r="AD373" i="3"/>
  <c r="Z373" i="3"/>
  <c r="AC373" i="3"/>
  <c r="P373" i="3"/>
  <c r="Q373" i="3" s="1"/>
  <c r="R373" i="3" s="1"/>
  <c r="S373" i="3" s="1"/>
  <c r="AA373" i="3"/>
  <c r="U372" i="3" l="1"/>
  <c r="Y371" i="3"/>
  <c r="T373" i="3"/>
  <c r="AH373" i="3" s="1"/>
  <c r="D373" i="3" l="1"/>
  <c r="G373" i="3" s="1"/>
  <c r="E373" i="3"/>
  <c r="H373" i="3" s="1"/>
  <c r="AG373" i="3"/>
  <c r="F373" i="3" l="1"/>
  <c r="I373" i="3"/>
  <c r="J373" i="3"/>
  <c r="M373" i="3"/>
  <c r="N373" i="3" s="1"/>
  <c r="K373" i="3"/>
  <c r="AE373" i="3" s="1"/>
  <c r="V373" i="3" l="1"/>
  <c r="W373" i="3" s="1"/>
  <c r="A374" i="3"/>
  <c r="B374" i="3" s="1"/>
  <c r="L373" i="3"/>
  <c r="U373" i="3" l="1"/>
  <c r="Y372" i="3"/>
  <c r="AA374" i="3"/>
  <c r="AC374" i="3"/>
  <c r="Z374" i="3"/>
  <c r="P374" i="3"/>
  <c r="Q374" i="3" s="1"/>
  <c r="R374" i="3" s="1"/>
  <c r="S374" i="3" s="1"/>
  <c r="T374" i="3" l="1"/>
  <c r="AH374" i="3" s="1"/>
  <c r="AG374" i="3" l="1"/>
  <c r="E374" i="3"/>
  <c r="H374" i="3" s="1"/>
  <c r="K374" i="3" s="1"/>
  <c r="AE374" i="3" s="1"/>
  <c r="D374" i="3"/>
  <c r="F374" i="3" l="1"/>
  <c r="G374" i="3"/>
  <c r="I374" i="3" s="1"/>
  <c r="V374" i="3"/>
  <c r="A375" i="3"/>
  <c r="B375" i="3" s="1"/>
  <c r="J374" i="3" l="1"/>
  <c r="M374" i="3"/>
  <c r="N374" i="3" s="1"/>
  <c r="W374" i="3"/>
  <c r="P375" i="3"/>
  <c r="Q375" i="3" s="1"/>
  <c r="R375" i="3" s="1"/>
  <c r="S375" i="3" s="1"/>
  <c r="Z375" i="3"/>
  <c r="AC375" i="3"/>
  <c r="AA375" i="3"/>
  <c r="AD375" i="3"/>
  <c r="L374" i="3" l="1"/>
  <c r="Y373" i="3" s="1"/>
  <c r="AD374" i="3"/>
  <c r="T375" i="3"/>
  <c r="U374" i="3" l="1"/>
  <c r="E375" i="3" s="1"/>
  <c r="H375" i="3" s="1"/>
  <c r="K375" i="3" s="1"/>
  <c r="AE375" i="3" s="1"/>
  <c r="AG375" i="3"/>
  <c r="AH375" i="3"/>
  <c r="D375" i="3" l="1"/>
  <c r="G375" i="3" s="1"/>
  <c r="I375" i="3" s="1"/>
  <c r="V375" i="3"/>
  <c r="A376" i="3"/>
  <c r="B376" i="3" s="1"/>
  <c r="M375" i="3" l="1"/>
  <c r="N375" i="3" s="1"/>
  <c r="F375" i="3"/>
  <c r="J375" i="3"/>
  <c r="L375" i="3" s="1"/>
  <c r="W375" i="3"/>
  <c r="AA376" i="3"/>
  <c r="P376" i="3"/>
  <c r="Q376" i="3" s="1"/>
  <c r="R376" i="3" s="1"/>
  <c r="S376" i="3" s="1"/>
  <c r="AC376" i="3"/>
  <c r="Z376" i="3"/>
  <c r="AD376" i="3"/>
  <c r="T376" i="3" l="1"/>
  <c r="U375" i="3"/>
  <c r="Y374" i="3"/>
  <c r="D376" i="3" l="1"/>
  <c r="G376" i="3" s="1"/>
  <c r="AG376" i="3"/>
  <c r="AH376" i="3"/>
  <c r="E376" i="3"/>
  <c r="H376" i="3" s="1"/>
  <c r="F376" i="3" l="1"/>
  <c r="I376" i="3"/>
  <c r="J376" i="3"/>
  <c r="M376" i="3"/>
  <c r="N376" i="3" s="1"/>
  <c r="K376" i="3"/>
  <c r="AE376" i="3" s="1"/>
  <c r="V376" i="3" l="1"/>
  <c r="W376" i="3" s="1"/>
  <c r="A377" i="3"/>
  <c r="B377" i="3" s="1"/>
  <c r="L376" i="3"/>
  <c r="AC377" i="3" l="1"/>
  <c r="AA377" i="3"/>
  <c r="P377" i="3"/>
  <c r="Q377" i="3" s="1"/>
  <c r="R377" i="3" s="1"/>
  <c r="S377" i="3" s="1"/>
  <c r="Z377" i="3"/>
  <c r="U376" i="3"/>
  <c r="Y375" i="3"/>
  <c r="T377" i="3" l="1"/>
  <c r="AH377" i="3" s="1"/>
  <c r="E377" i="3" l="1"/>
  <c r="H377" i="3" s="1"/>
  <c r="K377" i="3" s="1"/>
  <c r="AE377" i="3" s="1"/>
  <c r="D377" i="3"/>
  <c r="AG377" i="3"/>
  <c r="F377" i="3" l="1"/>
  <c r="G377" i="3"/>
  <c r="M377" i="3" s="1"/>
  <c r="N377" i="3" s="1"/>
  <c r="V377" i="3"/>
  <c r="A378" i="3"/>
  <c r="B378" i="3" s="1"/>
  <c r="I377" i="3" l="1"/>
  <c r="W377" i="3" s="1"/>
  <c r="J377" i="3"/>
  <c r="Z378" i="3"/>
  <c r="AC378" i="3"/>
  <c r="P378" i="3"/>
  <c r="Q378" i="3" s="1"/>
  <c r="R378" i="3" s="1"/>
  <c r="S378" i="3" s="1"/>
  <c r="AA378" i="3"/>
  <c r="L377" i="3" l="1"/>
  <c r="U377" i="3" s="1"/>
  <c r="AD377" i="3"/>
  <c r="T378" i="3"/>
  <c r="Y376" i="3" l="1"/>
  <c r="D378" i="3"/>
  <c r="G378" i="3" s="1"/>
  <c r="AG378" i="3"/>
  <c r="E378" i="3"/>
  <c r="H378" i="3" s="1"/>
  <c r="K378" i="3" s="1"/>
  <c r="AE378" i="3" s="1"/>
  <c r="AH378" i="3"/>
  <c r="F378" i="3" l="1"/>
  <c r="V378" i="3"/>
  <c r="A379" i="3"/>
  <c r="B379" i="3" s="1"/>
  <c r="I378" i="3"/>
  <c r="J378" i="3"/>
  <c r="AD378" i="3" s="1"/>
  <c r="M378" i="3"/>
  <c r="N378" i="3" s="1"/>
  <c r="W378" i="3" l="1"/>
  <c r="L378" i="3"/>
  <c r="Z379" i="3"/>
  <c r="AA379" i="3"/>
  <c r="AD379" i="3"/>
  <c r="P379" i="3"/>
  <c r="Q379" i="3" s="1"/>
  <c r="R379" i="3" s="1"/>
  <c r="S379" i="3" s="1"/>
  <c r="AC379" i="3"/>
  <c r="U378" i="3" l="1"/>
  <c r="Y377" i="3"/>
  <c r="T379" i="3"/>
  <c r="AH379" i="3" s="1"/>
  <c r="E379" i="3" l="1"/>
  <c r="H379" i="3" s="1"/>
  <c r="K379" i="3" s="1"/>
  <c r="AE379" i="3" s="1"/>
  <c r="D379" i="3"/>
  <c r="G379" i="3" s="1"/>
  <c r="AG379" i="3"/>
  <c r="F379" i="3" l="1"/>
  <c r="I379" i="3"/>
  <c r="J379" i="3"/>
  <c r="M379" i="3"/>
  <c r="N379" i="3" s="1"/>
  <c r="V379" i="3"/>
  <c r="A380" i="3"/>
  <c r="B380" i="3" s="1"/>
  <c r="W379" i="3" l="1"/>
  <c r="L379" i="3"/>
  <c r="Z380" i="3"/>
  <c r="P380" i="3"/>
  <c r="Q380" i="3" s="1"/>
  <c r="R380" i="3" s="1"/>
  <c r="S380" i="3" s="1"/>
  <c r="AD380" i="3"/>
  <c r="AC380" i="3"/>
  <c r="AA380" i="3"/>
  <c r="T380" i="3" l="1"/>
  <c r="AH380" i="3" s="1"/>
  <c r="U379" i="3"/>
  <c r="Y378" i="3"/>
  <c r="AG380" i="3" l="1"/>
  <c r="E380" i="3"/>
  <c r="H380" i="3" s="1"/>
  <c r="K380" i="3" s="1"/>
  <c r="AE380" i="3" s="1"/>
  <c r="D380" i="3"/>
  <c r="V380" i="3" l="1"/>
  <c r="A381" i="3"/>
  <c r="B381" i="3" s="1"/>
  <c r="F380" i="3"/>
  <c r="G380" i="3"/>
  <c r="I380" i="3" l="1"/>
  <c r="W380" i="3" s="1"/>
  <c r="J380" i="3"/>
  <c r="M380" i="3"/>
  <c r="N380" i="3" s="1"/>
  <c r="Z381" i="3"/>
  <c r="AA381" i="3"/>
  <c r="AC381" i="3"/>
  <c r="P381" i="3"/>
  <c r="Q381" i="3" s="1"/>
  <c r="R381" i="3" s="1"/>
  <c r="S381" i="3" s="1"/>
  <c r="AD381" i="3"/>
  <c r="T381" i="3" l="1"/>
  <c r="L380" i="3"/>
  <c r="U380" i="3" l="1"/>
  <c r="E381" i="3" s="1"/>
  <c r="H381" i="3" s="1"/>
  <c r="AH381" i="3"/>
  <c r="AG381" i="3"/>
  <c r="Y379" i="3"/>
  <c r="K381" i="3" l="1"/>
  <c r="AE381" i="3" s="1"/>
  <c r="D381" i="3"/>
  <c r="V381" i="3" l="1"/>
  <c r="A382" i="3"/>
  <c r="B382" i="3" s="1"/>
  <c r="F381" i="3"/>
  <c r="G381" i="3"/>
  <c r="I381" i="3" l="1"/>
  <c r="W381" i="3" s="1"/>
  <c r="J381" i="3"/>
  <c r="M381" i="3"/>
  <c r="N381" i="3" s="1"/>
  <c r="AD382" i="3"/>
  <c r="AA382" i="3"/>
  <c r="Z382" i="3"/>
  <c r="P382" i="3"/>
  <c r="Q382" i="3" s="1"/>
  <c r="R382" i="3" s="1"/>
  <c r="S382" i="3" s="1"/>
  <c r="AC382" i="3"/>
  <c r="L381" i="3" l="1"/>
  <c r="T382" i="3"/>
  <c r="U381" i="3" l="1"/>
  <c r="E382" i="3" s="1"/>
  <c r="H382" i="3" s="1"/>
  <c r="AH382" i="3"/>
  <c r="AG382" i="3"/>
  <c r="Y380" i="3"/>
  <c r="D382" i="3" l="1"/>
  <c r="G382" i="3" s="1"/>
  <c r="K382" i="3"/>
  <c r="AE382" i="3" s="1"/>
  <c r="F382" i="3" l="1"/>
  <c r="I382" i="3"/>
  <c r="J382" i="3"/>
  <c r="M382" i="3"/>
  <c r="N382" i="3" s="1"/>
  <c r="V382" i="3"/>
  <c r="A383" i="3"/>
  <c r="B383" i="3" s="1"/>
  <c r="W382" i="3" l="1"/>
  <c r="L382" i="3"/>
  <c r="AD383" i="3"/>
  <c r="AA383" i="3"/>
  <c r="P383" i="3"/>
  <c r="Q383" i="3" s="1"/>
  <c r="R383" i="3" s="1"/>
  <c r="S383" i="3" s="1"/>
  <c r="Z383" i="3"/>
  <c r="AC383" i="3"/>
  <c r="U382" i="3" l="1"/>
  <c r="Y381" i="3"/>
  <c r="T383" i="3"/>
  <c r="E383" i="3" l="1"/>
  <c r="H383" i="3" s="1"/>
  <c r="K383" i="3" s="1"/>
  <c r="AE383" i="3" s="1"/>
  <c r="D383" i="3"/>
  <c r="AH383" i="3"/>
  <c r="AG383" i="3"/>
  <c r="V383" i="3" l="1"/>
  <c r="A384" i="3"/>
  <c r="B384" i="3" s="1"/>
  <c r="F383" i="3"/>
  <c r="G383" i="3"/>
  <c r="I383" i="3" l="1"/>
  <c r="W383" i="3" s="1"/>
  <c r="J383" i="3"/>
  <c r="M383" i="3"/>
  <c r="N383" i="3" s="1"/>
  <c r="P384" i="3"/>
  <c r="Q384" i="3" s="1"/>
  <c r="R384" i="3" s="1"/>
  <c r="S384" i="3" s="1"/>
  <c r="Z384" i="3"/>
  <c r="AC384" i="3"/>
  <c r="AA384" i="3"/>
  <c r="T384" i="3" l="1"/>
  <c r="L383" i="3"/>
  <c r="AG384" i="3" l="1"/>
  <c r="AH384" i="3"/>
  <c r="U383" i="3"/>
  <c r="D384" i="3" s="1"/>
  <c r="Y382" i="3"/>
  <c r="E384" i="3" l="1"/>
  <c r="H384" i="3" s="1"/>
  <c r="K384" i="3" s="1"/>
  <c r="AE384" i="3" s="1"/>
  <c r="G384" i="3"/>
  <c r="F384" i="3" l="1"/>
  <c r="I384" i="3"/>
  <c r="J384" i="3"/>
  <c r="AD384" i="3" s="1"/>
  <c r="M384" i="3"/>
  <c r="N384" i="3" s="1"/>
  <c r="V384" i="3"/>
  <c r="A385" i="3"/>
  <c r="B385" i="3" s="1"/>
  <c r="W384" i="3" l="1"/>
  <c r="L384" i="3"/>
  <c r="P385" i="3"/>
  <c r="Q385" i="3" s="1"/>
  <c r="R385" i="3" s="1"/>
  <c r="S385" i="3" s="1"/>
  <c r="AD385" i="3"/>
  <c r="Z385" i="3"/>
  <c r="AC385" i="3"/>
  <c r="AA385" i="3"/>
  <c r="U384" i="3" l="1"/>
  <c r="Y383" i="3"/>
  <c r="T385" i="3"/>
  <c r="AG385" i="3" s="1"/>
  <c r="D385" i="3" l="1"/>
  <c r="G385" i="3" s="1"/>
  <c r="E385" i="3"/>
  <c r="H385" i="3" s="1"/>
  <c r="K385" i="3" s="1"/>
  <c r="AE385" i="3" s="1"/>
  <c r="AH385" i="3"/>
  <c r="F385" i="3" l="1"/>
  <c r="V385" i="3"/>
  <c r="A386" i="3"/>
  <c r="B386" i="3" s="1"/>
  <c r="I385" i="3"/>
  <c r="J385" i="3"/>
  <c r="M385" i="3"/>
  <c r="N385" i="3" s="1"/>
  <c r="L385" i="3" l="1"/>
  <c r="W385" i="3"/>
  <c r="AC386" i="3"/>
  <c r="P386" i="3"/>
  <c r="Q386" i="3" s="1"/>
  <c r="R386" i="3" s="1"/>
  <c r="S386" i="3" s="1"/>
  <c r="AA386" i="3"/>
  <c r="AD386" i="3"/>
  <c r="Z386" i="3"/>
  <c r="T386" i="3" l="1"/>
  <c r="AH386" i="3" s="1"/>
  <c r="U385" i="3"/>
  <c r="Y384" i="3"/>
  <c r="D386" i="3" l="1"/>
  <c r="E386" i="3"/>
  <c r="H386" i="3" s="1"/>
  <c r="AG386" i="3"/>
  <c r="F386" i="3" l="1"/>
  <c r="G386" i="3"/>
  <c r="K386" i="3"/>
  <c r="AE386" i="3" s="1"/>
  <c r="I386" i="3" l="1"/>
  <c r="J386" i="3"/>
  <c r="M386" i="3"/>
  <c r="N386" i="3" s="1"/>
  <c r="V386" i="3"/>
  <c r="A387" i="3"/>
  <c r="B387" i="3" s="1"/>
  <c r="W386" i="3" l="1"/>
  <c r="L386" i="3"/>
  <c r="AA387" i="3"/>
  <c r="P387" i="3"/>
  <c r="Q387" i="3" s="1"/>
  <c r="R387" i="3" s="1"/>
  <c r="S387" i="3" s="1"/>
  <c r="AC387" i="3"/>
  <c r="Z387" i="3"/>
  <c r="U386" i="3" l="1"/>
  <c r="Y385" i="3"/>
  <c r="T387" i="3"/>
  <c r="AG387" i="3" s="1"/>
  <c r="AH387" i="3" l="1"/>
  <c r="D387" i="3"/>
  <c r="G387" i="3" s="1"/>
  <c r="E387" i="3"/>
  <c r="H387" i="3" s="1"/>
  <c r="F387" i="3" l="1"/>
  <c r="I387" i="3"/>
  <c r="J387" i="3"/>
  <c r="AD387" i="3" s="1"/>
  <c r="M387" i="3"/>
  <c r="N387" i="3" s="1"/>
  <c r="K387" i="3"/>
  <c r="AE387" i="3" s="1"/>
  <c r="V387" i="3" l="1"/>
  <c r="W387" i="3" s="1"/>
  <c r="A388" i="3"/>
  <c r="B388" i="3" s="1"/>
  <c r="L387" i="3"/>
  <c r="U387" i="3" l="1"/>
  <c r="Y386" i="3"/>
  <c r="AA388" i="3"/>
  <c r="Z388" i="3"/>
  <c r="P388" i="3"/>
  <c r="Q388" i="3" s="1"/>
  <c r="R388" i="3" s="1"/>
  <c r="S388" i="3" s="1"/>
  <c r="AC388" i="3"/>
  <c r="T388" i="3" l="1"/>
  <c r="E388" i="3" s="1"/>
  <c r="H388" i="3" s="1"/>
  <c r="K388" i="3" l="1"/>
  <c r="AE388" i="3" s="1"/>
  <c r="D388" i="3"/>
  <c r="AG388" i="3"/>
  <c r="AH388" i="3"/>
  <c r="V388" i="3" l="1"/>
  <c r="A389" i="3"/>
  <c r="B389" i="3" s="1"/>
  <c r="F388" i="3"/>
  <c r="G388" i="3"/>
  <c r="I388" i="3" l="1"/>
  <c r="W388" i="3" s="1"/>
  <c r="J388" i="3"/>
  <c r="AD388" i="3" s="1"/>
  <c r="M388" i="3"/>
  <c r="N388" i="3" s="1"/>
  <c r="P389" i="3"/>
  <c r="Q389" i="3" s="1"/>
  <c r="R389" i="3" s="1"/>
  <c r="S389" i="3" s="1"/>
  <c r="AA389" i="3"/>
  <c r="AD389" i="3"/>
  <c r="AC389" i="3"/>
  <c r="Z389" i="3"/>
  <c r="T389" i="3" l="1"/>
  <c r="L388" i="3"/>
  <c r="U388" i="3" l="1"/>
  <c r="E389" i="3" s="1"/>
  <c r="H389" i="3" s="1"/>
  <c r="AH389" i="3"/>
  <c r="AG389" i="3"/>
  <c r="Y387" i="3"/>
  <c r="D389" i="3" l="1"/>
  <c r="G389" i="3" s="1"/>
  <c r="K389" i="3"/>
  <c r="AE389" i="3" s="1"/>
  <c r="F389" i="3" l="1"/>
  <c r="V389" i="3"/>
  <c r="A390" i="3"/>
  <c r="B390" i="3" s="1"/>
  <c r="I389" i="3"/>
  <c r="J389" i="3"/>
  <c r="M389" i="3"/>
  <c r="N389" i="3" s="1"/>
  <c r="W389" i="3" l="1"/>
  <c r="L389" i="3"/>
  <c r="P390" i="3"/>
  <c r="Q390" i="3" s="1"/>
  <c r="R390" i="3" s="1"/>
  <c r="S390" i="3" s="1"/>
  <c r="AC390" i="3"/>
  <c r="AA390" i="3"/>
  <c r="Z390" i="3"/>
  <c r="AD390" i="3"/>
  <c r="U389" i="3" l="1"/>
  <c r="Y388" i="3"/>
  <c r="T390" i="3"/>
  <c r="AG390" i="3" s="1"/>
  <c r="D390" i="3" l="1"/>
  <c r="AH390" i="3"/>
  <c r="E390" i="3"/>
  <c r="H390" i="3" s="1"/>
  <c r="F390" i="3" l="1"/>
  <c r="G390" i="3"/>
  <c r="K390" i="3"/>
  <c r="AE390" i="3" s="1"/>
  <c r="I390" i="3" l="1"/>
  <c r="J390" i="3"/>
  <c r="M390" i="3"/>
  <c r="N390" i="3" s="1"/>
  <c r="V390" i="3"/>
  <c r="A391" i="3"/>
  <c r="B391" i="3" s="1"/>
  <c r="W390" i="3" l="1"/>
  <c r="L390" i="3"/>
  <c r="AC391" i="3"/>
  <c r="AA391" i="3"/>
  <c r="AD391" i="3"/>
  <c r="Z391" i="3"/>
  <c r="P391" i="3"/>
  <c r="Q391" i="3" s="1"/>
  <c r="R391" i="3" s="1"/>
  <c r="S391" i="3" s="1"/>
  <c r="U390" i="3" l="1"/>
  <c r="Y389" i="3"/>
  <c r="T391" i="3"/>
  <c r="E391" i="3" l="1"/>
  <c r="H391" i="3" s="1"/>
  <c r="K391" i="3" s="1"/>
  <c r="AE391" i="3" s="1"/>
  <c r="AG391" i="3"/>
  <c r="AH391" i="3"/>
  <c r="D391" i="3"/>
  <c r="V391" i="3" l="1"/>
  <c r="A392" i="3"/>
  <c r="B392" i="3" s="1"/>
  <c r="F391" i="3"/>
  <c r="G391" i="3"/>
  <c r="I391" i="3" l="1"/>
  <c r="W391" i="3" s="1"/>
  <c r="J391" i="3"/>
  <c r="M391" i="3"/>
  <c r="N391" i="3" s="1"/>
  <c r="AD392" i="3"/>
  <c r="Z392" i="3"/>
  <c r="P392" i="3"/>
  <c r="Q392" i="3" s="1"/>
  <c r="R392" i="3" s="1"/>
  <c r="S392" i="3" s="1"/>
  <c r="AA392" i="3"/>
  <c r="AC392" i="3"/>
  <c r="T392" i="3" l="1"/>
  <c r="L391" i="3"/>
  <c r="U391" i="3" l="1"/>
  <c r="D392" i="3" s="1"/>
  <c r="AH392" i="3"/>
  <c r="AG392" i="3"/>
  <c r="Y390" i="3"/>
  <c r="G392" i="3" l="1"/>
  <c r="E392" i="3"/>
  <c r="H392" i="3" s="1"/>
  <c r="F392" i="3" l="1"/>
  <c r="I392" i="3"/>
  <c r="J392" i="3"/>
  <c r="M392" i="3"/>
  <c r="N392" i="3" s="1"/>
  <c r="K392" i="3"/>
  <c r="AE392" i="3" s="1"/>
  <c r="V392" i="3" l="1"/>
  <c r="W392" i="3" s="1"/>
  <c r="A393" i="3"/>
  <c r="B393" i="3" s="1"/>
  <c r="L392" i="3"/>
  <c r="U392" i="3" l="1"/>
  <c r="Y391" i="3"/>
  <c r="AD393" i="3"/>
  <c r="Z393" i="3"/>
  <c r="AA393" i="3"/>
  <c r="P393" i="3"/>
  <c r="Q393" i="3" s="1"/>
  <c r="R393" i="3" s="1"/>
  <c r="S393" i="3" s="1"/>
  <c r="AC393" i="3"/>
  <c r="T393" i="3" l="1"/>
  <c r="AG393" i="3" s="1"/>
  <c r="E393" i="3" l="1"/>
  <c r="H393" i="3" s="1"/>
  <c r="K393" i="3" s="1"/>
  <c r="AE393" i="3" s="1"/>
  <c r="D393" i="3"/>
  <c r="AH393" i="3"/>
  <c r="V393" i="3" l="1"/>
  <c r="A394" i="3"/>
  <c r="B394" i="3" s="1"/>
  <c r="F393" i="3"/>
  <c r="G393" i="3"/>
  <c r="I393" i="3" l="1"/>
  <c r="W393" i="3" s="1"/>
  <c r="J393" i="3"/>
  <c r="M393" i="3"/>
  <c r="N393" i="3" s="1"/>
  <c r="P394" i="3"/>
  <c r="Q394" i="3" s="1"/>
  <c r="R394" i="3" s="1"/>
  <c r="S394" i="3" s="1"/>
  <c r="AC394" i="3"/>
  <c r="Z394" i="3"/>
  <c r="AA394" i="3"/>
  <c r="T394" i="3" l="1"/>
  <c r="L393" i="3"/>
  <c r="AH394" i="3" l="1"/>
  <c r="AG394" i="3"/>
  <c r="U393" i="3"/>
  <c r="D394" i="3" s="1"/>
  <c r="Y392" i="3"/>
  <c r="G394" i="3" l="1"/>
  <c r="E394" i="3"/>
  <c r="H394" i="3" s="1"/>
  <c r="F394" i="3" l="1"/>
  <c r="I394" i="3"/>
  <c r="J394" i="3"/>
  <c r="AD394" i="3" s="1"/>
  <c r="M394" i="3"/>
  <c r="N394" i="3" s="1"/>
  <c r="K394" i="3"/>
  <c r="AE394" i="3" s="1"/>
  <c r="L394" i="3" l="1"/>
  <c r="V394" i="3"/>
  <c r="W394" i="3" s="1"/>
  <c r="A395" i="3"/>
  <c r="B395" i="3" s="1"/>
  <c r="U394" i="3" l="1"/>
  <c r="Y393" i="3"/>
  <c r="AD395" i="3"/>
  <c r="AA395" i="3"/>
  <c r="P395" i="3"/>
  <c r="Q395" i="3" s="1"/>
  <c r="R395" i="3" s="1"/>
  <c r="S395" i="3" s="1"/>
  <c r="Z395" i="3"/>
  <c r="AC395" i="3"/>
  <c r="T395" i="3" l="1"/>
  <c r="AG395" i="3" s="1"/>
  <c r="AH395" i="3" l="1"/>
  <c r="E395" i="3"/>
  <c r="H395" i="3" s="1"/>
  <c r="K395" i="3" s="1"/>
  <c r="AE395" i="3" s="1"/>
  <c r="D395" i="3"/>
  <c r="G395" i="3" s="1"/>
  <c r="F395" i="3" l="1"/>
  <c r="V395" i="3"/>
  <c r="A396" i="3"/>
  <c r="B396" i="3" s="1"/>
  <c r="I395" i="3"/>
  <c r="J395" i="3"/>
  <c r="M395" i="3"/>
  <c r="N395" i="3" s="1"/>
  <c r="W395" i="3" l="1"/>
  <c r="L395" i="3"/>
  <c r="AA396" i="3"/>
  <c r="Z396" i="3"/>
  <c r="P396" i="3"/>
  <c r="Q396" i="3" s="1"/>
  <c r="R396" i="3" s="1"/>
  <c r="S396" i="3" s="1"/>
  <c r="AD396" i="3"/>
  <c r="AC396" i="3"/>
  <c r="U395" i="3" l="1"/>
  <c r="Y394" i="3"/>
  <c r="T396" i="3"/>
  <c r="E396" i="3" l="1"/>
  <c r="H396" i="3" s="1"/>
  <c r="K396" i="3" s="1"/>
  <c r="AE396" i="3" s="1"/>
  <c r="AG396" i="3"/>
  <c r="AH396" i="3"/>
  <c r="D396" i="3"/>
  <c r="F396" i="3" l="1"/>
  <c r="G396" i="3"/>
  <c r="V396" i="3"/>
  <c r="A397" i="3"/>
  <c r="B397" i="3" s="1"/>
  <c r="P397" i="3" l="1"/>
  <c r="Q397" i="3" s="1"/>
  <c r="R397" i="3" s="1"/>
  <c r="S397" i="3" s="1"/>
  <c r="AC397" i="3"/>
  <c r="AA397" i="3"/>
  <c r="Z397" i="3"/>
  <c r="I396" i="3"/>
  <c r="W396" i="3" s="1"/>
  <c r="J396" i="3"/>
  <c r="M396" i="3"/>
  <c r="N396" i="3" s="1"/>
  <c r="T397" i="3" l="1"/>
  <c r="L396" i="3"/>
  <c r="U396" i="3" l="1"/>
  <c r="E397" i="3" s="1"/>
  <c r="H397" i="3" s="1"/>
  <c r="AG397" i="3"/>
  <c r="AH397" i="3"/>
  <c r="Y395" i="3"/>
  <c r="D397" i="3" l="1"/>
  <c r="F397" i="3" s="1"/>
  <c r="K397" i="3"/>
  <c r="AE397" i="3" s="1"/>
  <c r="G397" i="3" l="1"/>
  <c r="M397" i="3" s="1"/>
  <c r="N397" i="3" s="1"/>
  <c r="V397" i="3"/>
  <c r="A398" i="3"/>
  <c r="B398" i="3" s="1"/>
  <c r="I397" i="3" l="1"/>
  <c r="W397" i="3" s="1"/>
  <c r="J397" i="3"/>
  <c r="AC398" i="3"/>
  <c r="AA398" i="3"/>
  <c r="P398" i="3"/>
  <c r="Q398" i="3" s="1"/>
  <c r="R398" i="3" s="1"/>
  <c r="S398" i="3" s="1"/>
  <c r="Z398" i="3"/>
  <c r="L397" i="3" l="1"/>
  <c r="U397" i="3" s="1"/>
  <c r="AD397" i="3"/>
  <c r="T398" i="3"/>
  <c r="Y396" i="3" l="1"/>
  <c r="E398" i="3"/>
  <c r="H398" i="3" s="1"/>
  <c r="K398" i="3" s="1"/>
  <c r="AE398" i="3" s="1"/>
  <c r="D398" i="3"/>
  <c r="G398" i="3" s="1"/>
  <c r="AH398" i="3"/>
  <c r="AG398" i="3"/>
  <c r="F398" i="3" l="1"/>
  <c r="V398" i="3"/>
  <c r="A399" i="3"/>
  <c r="B399" i="3" s="1"/>
  <c r="I398" i="3"/>
  <c r="J398" i="3"/>
  <c r="AD398" i="3" s="1"/>
  <c r="M398" i="3"/>
  <c r="N398" i="3" s="1"/>
  <c r="L398" i="3" l="1"/>
  <c r="W398" i="3"/>
  <c r="Z399" i="3"/>
  <c r="P399" i="3"/>
  <c r="Q399" i="3" s="1"/>
  <c r="R399" i="3" s="1"/>
  <c r="S399" i="3" s="1"/>
  <c r="AD399" i="3"/>
  <c r="AA399" i="3"/>
  <c r="AC399" i="3"/>
  <c r="U398" i="3" l="1"/>
  <c r="Y397" i="3"/>
  <c r="T399" i="3"/>
  <c r="AH399" i="3" s="1"/>
  <c r="D399" i="3" l="1"/>
  <c r="G399" i="3" s="1"/>
  <c r="AG399" i="3"/>
  <c r="E399" i="3"/>
  <c r="H399" i="3" s="1"/>
  <c r="F399" i="3" l="1"/>
  <c r="I399" i="3"/>
  <c r="J399" i="3"/>
  <c r="M399" i="3"/>
  <c r="N399" i="3" s="1"/>
  <c r="K399" i="3"/>
  <c r="AE399" i="3" s="1"/>
  <c r="V399" i="3" l="1"/>
  <c r="W399" i="3" s="1"/>
  <c r="A400" i="3"/>
  <c r="B400" i="3" s="1"/>
  <c r="L399" i="3"/>
  <c r="U399" i="3" l="1"/>
  <c r="Y398" i="3"/>
  <c r="AD400" i="3"/>
  <c r="AC400" i="3"/>
  <c r="Z400" i="3"/>
  <c r="P400" i="3"/>
  <c r="Q400" i="3" s="1"/>
  <c r="R400" i="3" s="1"/>
  <c r="S400" i="3" s="1"/>
  <c r="AA400" i="3"/>
  <c r="T400" i="3" l="1"/>
  <c r="AH400" i="3" s="1"/>
  <c r="AG400" i="3" l="1"/>
  <c r="D400" i="3"/>
  <c r="G400" i="3" s="1"/>
  <c r="E400" i="3"/>
  <c r="H400" i="3" s="1"/>
  <c r="K400" i="3" s="1"/>
  <c r="AE400" i="3" s="1"/>
  <c r="F400" i="3" l="1"/>
  <c r="V400" i="3"/>
  <c r="A401" i="3"/>
  <c r="B401" i="3" s="1"/>
  <c r="I400" i="3"/>
  <c r="J400" i="3"/>
  <c r="M400" i="3"/>
  <c r="N400" i="3" s="1"/>
  <c r="W400" i="3" l="1"/>
  <c r="L400" i="3"/>
  <c r="AA401" i="3"/>
  <c r="Z401" i="3"/>
  <c r="AC401" i="3"/>
  <c r="AD401" i="3"/>
  <c r="P401" i="3"/>
  <c r="Q401" i="3" s="1"/>
  <c r="R401" i="3" s="1"/>
  <c r="S401" i="3" s="1"/>
  <c r="U400" i="3" l="1"/>
  <c r="Y399" i="3"/>
  <c r="T401" i="3"/>
  <c r="AG401" i="3" s="1"/>
  <c r="D401" i="3" l="1"/>
  <c r="E401" i="3"/>
  <c r="H401" i="3" s="1"/>
  <c r="K401" i="3" s="1"/>
  <c r="AE401" i="3" s="1"/>
  <c r="AH401" i="3"/>
  <c r="F401" i="3" l="1"/>
  <c r="G401" i="3"/>
  <c r="J401" i="3" s="1"/>
  <c r="V401" i="3"/>
  <c r="A402" i="3"/>
  <c r="B402" i="3" s="1"/>
  <c r="M401" i="3" l="1"/>
  <c r="N401" i="3" s="1"/>
  <c r="I401" i="3"/>
  <c r="W401" i="3" s="1"/>
  <c r="L401" i="3"/>
  <c r="AA402" i="3"/>
  <c r="AC402" i="3"/>
  <c r="Z402" i="3"/>
  <c r="AD402" i="3"/>
  <c r="P402" i="3"/>
  <c r="Q402" i="3" s="1"/>
  <c r="R402" i="3" s="1"/>
  <c r="S402" i="3" s="1"/>
  <c r="U401" i="3" l="1"/>
  <c r="Y400" i="3"/>
  <c r="T402" i="3"/>
  <c r="AG402" i="3" s="1"/>
  <c r="AH402" i="3" l="1"/>
  <c r="E402" i="3"/>
  <c r="H402" i="3" s="1"/>
  <c r="K402" i="3" s="1"/>
  <c r="AE402" i="3" s="1"/>
  <c r="D402" i="3"/>
  <c r="G402" i="3" s="1"/>
  <c r="F402" i="3" l="1"/>
  <c r="I402" i="3"/>
  <c r="J402" i="3"/>
  <c r="M402" i="3"/>
  <c r="N402" i="3" s="1"/>
  <c r="V402" i="3"/>
  <c r="A403" i="3"/>
  <c r="B403" i="3" s="1"/>
  <c r="W402" i="3" l="1"/>
  <c r="L402" i="3"/>
  <c r="AC403" i="3"/>
  <c r="AA403" i="3"/>
  <c r="P403" i="3"/>
  <c r="Q403" i="3" s="1"/>
  <c r="R403" i="3" s="1"/>
  <c r="S403" i="3" s="1"/>
  <c r="Z403" i="3"/>
  <c r="AD403" i="3"/>
  <c r="T403" i="3" l="1"/>
  <c r="AH403" i="3" s="1"/>
  <c r="U402" i="3"/>
  <c r="Y401" i="3"/>
  <c r="AG403" i="3" l="1"/>
  <c r="D403" i="3"/>
  <c r="E403" i="3"/>
  <c r="H403" i="3" s="1"/>
  <c r="F403" i="3" l="1"/>
  <c r="G403" i="3"/>
  <c r="K403" i="3"/>
  <c r="AE403" i="3" s="1"/>
  <c r="V403" i="3" l="1"/>
  <c r="A404" i="3"/>
  <c r="B404" i="3" s="1"/>
  <c r="I403" i="3"/>
  <c r="J403" i="3"/>
  <c r="M403" i="3"/>
  <c r="N403" i="3" s="1"/>
  <c r="W403" i="3" l="1"/>
  <c r="L403" i="3"/>
  <c r="P404" i="3"/>
  <c r="Q404" i="3" s="1"/>
  <c r="R404" i="3" s="1"/>
  <c r="S404" i="3" s="1"/>
  <c r="AA404" i="3"/>
  <c r="Z404" i="3"/>
  <c r="AC404" i="3"/>
  <c r="U403" i="3" l="1"/>
  <c r="Y402" i="3"/>
  <c r="T404" i="3"/>
  <c r="AG404" i="3" s="1"/>
  <c r="E404" i="3" l="1"/>
  <c r="H404" i="3" s="1"/>
  <c r="K404" i="3" s="1"/>
  <c r="AE404" i="3" s="1"/>
  <c r="AH404" i="3"/>
  <c r="D404" i="3"/>
  <c r="G404" i="3" s="1"/>
  <c r="F404" i="3" l="1"/>
  <c r="I404" i="3"/>
  <c r="J404" i="3"/>
  <c r="AD404" i="3" s="1"/>
  <c r="M404" i="3"/>
  <c r="N404" i="3" s="1"/>
  <c r="V404" i="3"/>
  <c r="A405" i="3"/>
  <c r="B405" i="3" s="1"/>
  <c r="W404" i="3" l="1"/>
  <c r="L404" i="3"/>
  <c r="P405" i="3"/>
  <c r="Q405" i="3" s="1"/>
  <c r="R405" i="3" s="1"/>
  <c r="S405" i="3" s="1"/>
  <c r="AC405" i="3"/>
  <c r="Z405" i="3"/>
  <c r="AD405" i="3"/>
  <c r="AA405" i="3"/>
  <c r="U404" i="3" l="1"/>
  <c r="Y403" i="3"/>
  <c r="T405" i="3"/>
  <c r="E405" i="3" l="1"/>
  <c r="H405" i="3" s="1"/>
  <c r="K405" i="3" s="1"/>
  <c r="AE405" i="3" s="1"/>
  <c r="AH405" i="3"/>
  <c r="D405" i="3"/>
  <c r="AG405" i="3"/>
  <c r="F405" i="3" l="1"/>
  <c r="G405" i="3"/>
  <c r="V405" i="3"/>
  <c r="A406" i="3"/>
  <c r="B406" i="3" s="1"/>
  <c r="AD406" i="3" l="1"/>
  <c r="AA406" i="3"/>
  <c r="AC406" i="3"/>
  <c r="Z406" i="3"/>
  <c r="P406" i="3"/>
  <c r="Q406" i="3" s="1"/>
  <c r="R406" i="3" s="1"/>
  <c r="S406" i="3" s="1"/>
  <c r="I405" i="3"/>
  <c r="W405" i="3" s="1"/>
  <c r="J405" i="3"/>
  <c r="M405" i="3"/>
  <c r="N405" i="3" s="1"/>
  <c r="T406" i="3" l="1"/>
  <c r="L405" i="3"/>
  <c r="U405" i="3" l="1"/>
  <c r="E406" i="3" s="1"/>
  <c r="H406" i="3" s="1"/>
  <c r="AH406" i="3"/>
  <c r="AG406" i="3"/>
  <c r="Y404" i="3"/>
  <c r="K406" i="3" l="1"/>
  <c r="AE406" i="3" s="1"/>
  <c r="D406" i="3"/>
  <c r="V406" i="3" l="1"/>
  <c r="A407" i="3"/>
  <c r="B407" i="3" s="1"/>
  <c r="F406" i="3"/>
  <c r="G406" i="3"/>
  <c r="I406" i="3" l="1"/>
  <c r="W406" i="3" s="1"/>
  <c r="J406" i="3"/>
  <c r="M406" i="3"/>
  <c r="N406" i="3" s="1"/>
  <c r="AC407" i="3"/>
  <c r="Z407" i="3"/>
  <c r="P407" i="3"/>
  <c r="Q407" i="3" s="1"/>
  <c r="R407" i="3" s="1"/>
  <c r="S407" i="3" s="1"/>
  <c r="AA407" i="3"/>
  <c r="L406" i="3" l="1"/>
  <c r="T407" i="3"/>
  <c r="U406" i="3" l="1"/>
  <c r="D407" i="3" s="1"/>
  <c r="AG407" i="3"/>
  <c r="AH407" i="3"/>
  <c r="Y405" i="3"/>
  <c r="G407" i="3" l="1"/>
  <c r="E407" i="3"/>
  <c r="H407" i="3" s="1"/>
  <c r="F407" i="3" l="1"/>
  <c r="I407" i="3"/>
  <c r="J407" i="3"/>
  <c r="AD407" i="3" s="1"/>
  <c r="M407" i="3"/>
  <c r="N407" i="3" s="1"/>
  <c r="K407" i="3"/>
  <c r="AE407" i="3" s="1"/>
  <c r="V407" i="3" l="1"/>
  <c r="W407" i="3" s="1"/>
  <c r="A408" i="3"/>
  <c r="B408" i="3" s="1"/>
  <c r="L407" i="3"/>
  <c r="U407" i="3" l="1"/>
  <c r="Y406" i="3"/>
  <c r="Z408" i="3"/>
  <c r="AC408" i="3"/>
  <c r="P408" i="3"/>
  <c r="Q408" i="3" s="1"/>
  <c r="R408" i="3" s="1"/>
  <c r="S408" i="3" s="1"/>
  <c r="AA408" i="3"/>
  <c r="T408" i="3" l="1"/>
  <c r="AH408" i="3" s="1"/>
  <c r="E408" i="3" l="1"/>
  <c r="H408" i="3" s="1"/>
  <c r="K408" i="3" s="1"/>
  <c r="AE408" i="3" s="1"/>
  <c r="D408" i="3"/>
  <c r="G408" i="3" s="1"/>
  <c r="AG408" i="3"/>
  <c r="F408" i="3" l="1"/>
  <c r="I408" i="3"/>
  <c r="J408" i="3"/>
  <c r="AD408" i="3" s="1"/>
  <c r="M408" i="3"/>
  <c r="N408" i="3" s="1"/>
  <c r="V408" i="3"/>
  <c r="A409" i="3"/>
  <c r="B409" i="3" s="1"/>
  <c r="W408" i="3" l="1"/>
  <c r="L408" i="3"/>
  <c r="AA409" i="3"/>
  <c r="AC409" i="3"/>
  <c r="P409" i="3"/>
  <c r="Q409" i="3" s="1"/>
  <c r="R409" i="3" s="1"/>
  <c r="S409" i="3" s="1"/>
  <c r="AD409" i="3"/>
  <c r="Z409" i="3"/>
  <c r="U408" i="3" l="1"/>
  <c r="Y407" i="3"/>
  <c r="T409" i="3"/>
  <c r="E409" i="3" l="1"/>
  <c r="H409" i="3" s="1"/>
  <c r="K409" i="3" s="1"/>
  <c r="AE409" i="3" s="1"/>
  <c r="AH409" i="3"/>
  <c r="D409" i="3"/>
  <c r="AG409" i="3"/>
  <c r="F409" i="3" l="1"/>
  <c r="G409" i="3"/>
  <c r="V409" i="3"/>
  <c r="A410" i="3"/>
  <c r="B410" i="3" s="1"/>
  <c r="P410" i="3" l="1"/>
  <c r="Q410" i="3" s="1"/>
  <c r="R410" i="3" s="1"/>
  <c r="S410" i="3" s="1"/>
  <c r="AA410" i="3"/>
  <c r="AC410" i="3"/>
  <c r="AD410" i="3"/>
  <c r="Z410" i="3"/>
  <c r="I409" i="3"/>
  <c r="W409" i="3" s="1"/>
  <c r="J409" i="3"/>
  <c r="M409" i="3"/>
  <c r="N409" i="3" s="1"/>
  <c r="T410" i="3" l="1"/>
  <c r="L409" i="3"/>
  <c r="AG410" i="3" l="1"/>
  <c r="U409" i="3"/>
  <c r="D410" i="3" s="1"/>
  <c r="AH410" i="3"/>
  <c r="Y408" i="3"/>
  <c r="E410" i="3" l="1"/>
  <c r="H410" i="3" s="1"/>
  <c r="K410" i="3" s="1"/>
  <c r="AE410" i="3" s="1"/>
  <c r="G410" i="3"/>
  <c r="F410" i="3" l="1"/>
  <c r="I410" i="3"/>
  <c r="J410" i="3"/>
  <c r="M410" i="3"/>
  <c r="N410" i="3" s="1"/>
  <c r="V410" i="3"/>
  <c r="A411" i="3"/>
  <c r="B411" i="3" s="1"/>
  <c r="W410" i="3" l="1"/>
  <c r="L410" i="3"/>
  <c r="AC411" i="3"/>
  <c r="P411" i="3"/>
  <c r="Q411" i="3" s="1"/>
  <c r="R411" i="3" s="1"/>
  <c r="S411" i="3" s="1"/>
  <c r="AA411" i="3"/>
  <c r="Z411" i="3"/>
  <c r="AD411" i="3"/>
  <c r="U410" i="3" l="1"/>
  <c r="Y409" i="3"/>
  <c r="T411" i="3"/>
  <c r="AG411" i="3" s="1"/>
  <c r="E411" i="3" l="1"/>
  <c r="H411" i="3" s="1"/>
  <c r="K411" i="3" s="1"/>
  <c r="AE411" i="3" s="1"/>
  <c r="AH411" i="3"/>
  <c r="D411" i="3"/>
  <c r="F411" i="3" l="1"/>
  <c r="G411" i="3"/>
  <c r="V411" i="3"/>
  <c r="A412" i="3"/>
  <c r="B412" i="3" s="1"/>
  <c r="AA412" i="3" l="1"/>
  <c r="AC412" i="3"/>
  <c r="P412" i="3"/>
  <c r="Q412" i="3" s="1"/>
  <c r="R412" i="3" s="1"/>
  <c r="S412" i="3" s="1"/>
  <c r="Z412" i="3"/>
  <c r="AD412" i="3"/>
  <c r="I411" i="3"/>
  <c r="W411" i="3" s="1"/>
  <c r="J411" i="3"/>
  <c r="M411" i="3"/>
  <c r="N411" i="3" s="1"/>
  <c r="T412" i="3" l="1"/>
  <c r="L411" i="3"/>
  <c r="U411" i="3" l="1"/>
  <c r="D412" i="3" s="1"/>
  <c r="AG412" i="3"/>
  <c r="AH412" i="3"/>
  <c r="Y410" i="3"/>
  <c r="G412" i="3" l="1"/>
  <c r="E412" i="3"/>
  <c r="H412" i="3" s="1"/>
  <c r="F412" i="3" l="1"/>
  <c r="I412" i="3"/>
  <c r="J412" i="3"/>
  <c r="M412" i="3"/>
  <c r="N412" i="3" s="1"/>
  <c r="K412" i="3"/>
  <c r="AE412" i="3" s="1"/>
  <c r="V412" i="3" l="1"/>
  <c r="W412" i="3" s="1"/>
  <c r="A413" i="3"/>
  <c r="B413" i="3" s="1"/>
  <c r="L412" i="3"/>
  <c r="U412" i="3" l="1"/>
  <c r="Y411" i="3"/>
  <c r="Z413" i="3"/>
  <c r="P413" i="3"/>
  <c r="Q413" i="3" s="1"/>
  <c r="R413" i="3" s="1"/>
  <c r="S413" i="3" s="1"/>
  <c r="AA413" i="3"/>
  <c r="AC413" i="3"/>
  <c r="AD413" i="3"/>
  <c r="T413" i="3" l="1"/>
  <c r="D413" i="3" s="1"/>
  <c r="E413" i="3" l="1"/>
  <c r="H413" i="3" s="1"/>
  <c r="K413" i="3" s="1"/>
  <c r="AE413" i="3" s="1"/>
  <c r="AH413" i="3"/>
  <c r="G413" i="3"/>
  <c r="AG413" i="3"/>
  <c r="F413" i="3" l="1"/>
  <c r="I413" i="3"/>
  <c r="J413" i="3"/>
  <c r="M413" i="3"/>
  <c r="N413" i="3" s="1"/>
  <c r="V413" i="3"/>
  <c r="A414" i="3"/>
  <c r="B414" i="3" s="1"/>
  <c r="L413" i="3" l="1"/>
  <c r="P414" i="3"/>
  <c r="Q414" i="3" s="1"/>
  <c r="R414" i="3" s="1"/>
  <c r="S414" i="3" s="1"/>
  <c r="Z414" i="3"/>
  <c r="AA414" i="3"/>
  <c r="AC414" i="3"/>
  <c r="W413" i="3"/>
  <c r="U413" i="3" l="1"/>
  <c r="Y412" i="3"/>
  <c r="T414" i="3"/>
  <c r="D414" i="3" l="1"/>
  <c r="G414" i="3" s="1"/>
  <c r="E414" i="3"/>
  <c r="H414" i="3" s="1"/>
  <c r="K414" i="3" s="1"/>
  <c r="AE414" i="3" s="1"/>
  <c r="AG414" i="3"/>
  <c r="AH414" i="3"/>
  <c r="F414" i="3" l="1"/>
  <c r="I414" i="3"/>
  <c r="J414" i="3"/>
  <c r="AD414" i="3" s="1"/>
  <c r="M414" i="3"/>
  <c r="N414" i="3" s="1"/>
  <c r="V414" i="3"/>
  <c r="A415" i="3"/>
  <c r="B415" i="3" s="1"/>
  <c r="W414" i="3" l="1"/>
  <c r="L414" i="3"/>
  <c r="P415" i="3"/>
  <c r="Q415" i="3" s="1"/>
  <c r="R415" i="3" s="1"/>
  <c r="S415" i="3" s="1"/>
  <c r="AA415" i="3"/>
  <c r="Z415" i="3"/>
  <c r="AC415" i="3"/>
  <c r="U414" i="3" l="1"/>
  <c r="Y413" i="3"/>
  <c r="T415" i="3"/>
  <c r="D415" i="3" l="1"/>
  <c r="G415" i="3" s="1"/>
  <c r="AG415" i="3"/>
  <c r="AH415" i="3"/>
  <c r="E415" i="3"/>
  <c r="H415" i="3" s="1"/>
  <c r="F415" i="3" l="1"/>
  <c r="K415" i="3"/>
  <c r="AE415" i="3" s="1"/>
  <c r="I415" i="3"/>
  <c r="J415" i="3"/>
  <c r="AD415" i="3" s="1"/>
  <c r="M415" i="3"/>
  <c r="N415" i="3" s="1"/>
  <c r="L415" i="3" l="1"/>
  <c r="V415" i="3"/>
  <c r="W415" i="3" s="1"/>
  <c r="A416" i="3"/>
  <c r="B416" i="3" s="1"/>
  <c r="Z416" i="3" l="1"/>
  <c r="AA416" i="3"/>
  <c r="P416" i="3"/>
  <c r="Q416" i="3" s="1"/>
  <c r="R416" i="3" s="1"/>
  <c r="S416" i="3" s="1"/>
  <c r="AC416" i="3"/>
  <c r="U415" i="3"/>
  <c r="Y414" i="3"/>
  <c r="T416" i="3" l="1"/>
  <c r="AG416" i="3" s="1"/>
  <c r="D416" i="3" l="1"/>
  <c r="G416" i="3" s="1"/>
  <c r="E416" i="3"/>
  <c r="H416" i="3" s="1"/>
  <c r="K416" i="3" s="1"/>
  <c r="AE416" i="3" s="1"/>
  <c r="AH416" i="3"/>
  <c r="F416" i="3" l="1"/>
  <c r="V416" i="3"/>
  <c r="A417" i="3"/>
  <c r="B417" i="3" s="1"/>
  <c r="I416" i="3"/>
  <c r="J416" i="3"/>
  <c r="AD416" i="3" s="1"/>
  <c r="M416" i="3"/>
  <c r="N416" i="3" s="1"/>
  <c r="W416" i="3" l="1"/>
  <c r="L416" i="3"/>
  <c r="Z417" i="3"/>
  <c r="AC417" i="3"/>
  <c r="AA417" i="3"/>
  <c r="P417" i="3"/>
  <c r="Q417" i="3" s="1"/>
  <c r="R417" i="3" s="1"/>
  <c r="S417" i="3" s="1"/>
  <c r="U416" i="3" l="1"/>
  <c r="Y415" i="3"/>
  <c r="T417" i="3"/>
  <c r="D417" i="3" l="1"/>
  <c r="G417" i="3" s="1"/>
  <c r="AH417" i="3"/>
  <c r="E417" i="3"/>
  <c r="H417" i="3" s="1"/>
  <c r="K417" i="3" s="1"/>
  <c r="AE417" i="3" s="1"/>
  <c r="AG417" i="3"/>
  <c r="F417" i="3" l="1"/>
  <c r="V417" i="3"/>
  <c r="A418" i="3"/>
  <c r="B418" i="3" s="1"/>
  <c r="I417" i="3"/>
  <c r="J417" i="3"/>
  <c r="AD417" i="3" s="1"/>
  <c r="M417" i="3"/>
  <c r="N417" i="3" s="1"/>
  <c r="W417" i="3" l="1"/>
  <c r="L417" i="3"/>
  <c r="Z418" i="3"/>
  <c r="AA418" i="3"/>
  <c r="AC418" i="3"/>
  <c r="P418" i="3"/>
  <c r="Q418" i="3" s="1"/>
  <c r="R418" i="3" s="1"/>
  <c r="S418" i="3" s="1"/>
  <c r="T418" i="3" l="1"/>
  <c r="U417" i="3"/>
  <c r="Y416" i="3"/>
  <c r="D418" i="3" l="1"/>
  <c r="G418" i="3" s="1"/>
  <c r="E418" i="3"/>
  <c r="H418" i="3" s="1"/>
  <c r="AG418" i="3"/>
  <c r="AH418" i="3"/>
  <c r="F418" i="3" l="1"/>
  <c r="I418" i="3"/>
  <c r="J418" i="3"/>
  <c r="AD418" i="3" s="1"/>
  <c r="M418" i="3"/>
  <c r="N418" i="3" s="1"/>
  <c r="K418" i="3"/>
  <c r="AE418" i="3" s="1"/>
  <c r="V418" i="3" l="1"/>
  <c r="W418" i="3" s="1"/>
  <c r="A419" i="3"/>
  <c r="B419" i="3" s="1"/>
  <c r="L418" i="3"/>
  <c r="U418" i="3" l="1"/>
  <c r="Y417" i="3"/>
  <c r="AA419" i="3"/>
  <c r="P419" i="3"/>
  <c r="Q419" i="3" s="1"/>
  <c r="R419" i="3" s="1"/>
  <c r="S419" i="3" s="1"/>
  <c r="Z419" i="3"/>
  <c r="AC419" i="3"/>
  <c r="T419" i="3" l="1"/>
  <c r="AG419" i="3" s="1"/>
  <c r="AH419" i="3" l="1"/>
  <c r="E419" i="3"/>
  <c r="H419" i="3" s="1"/>
  <c r="K419" i="3" s="1"/>
  <c r="AE419" i="3" s="1"/>
  <c r="D419" i="3"/>
  <c r="F419" i="3" l="1"/>
  <c r="G419" i="3"/>
  <c r="J419" i="3" s="1"/>
  <c r="AD419" i="3" s="1"/>
  <c r="V419" i="3"/>
  <c r="A420" i="3"/>
  <c r="B420" i="3" s="1"/>
  <c r="I419" i="3" l="1"/>
  <c r="W419" i="3" s="1"/>
  <c r="M419" i="3"/>
  <c r="N419" i="3" s="1"/>
  <c r="L419" i="3"/>
  <c r="AC420" i="3"/>
  <c r="AA420" i="3"/>
  <c r="Z420" i="3"/>
  <c r="P420" i="3"/>
  <c r="Q420" i="3" s="1"/>
  <c r="R420" i="3" s="1"/>
  <c r="S420" i="3" s="1"/>
  <c r="T420" i="3" l="1"/>
  <c r="AH420" i="3" s="1"/>
  <c r="U419" i="3"/>
  <c r="Y418" i="3"/>
  <c r="E420" i="3" l="1"/>
  <c r="H420" i="3" s="1"/>
  <c r="K420" i="3" s="1"/>
  <c r="AE420" i="3" s="1"/>
  <c r="D420" i="3"/>
  <c r="AG420" i="3"/>
  <c r="V420" i="3" l="1"/>
  <c r="A421" i="3"/>
  <c r="B421" i="3" s="1"/>
  <c r="F420" i="3"/>
  <c r="G420" i="3"/>
  <c r="I420" i="3" l="1"/>
  <c r="W420" i="3" s="1"/>
  <c r="J420" i="3"/>
  <c r="AD420" i="3" s="1"/>
  <c r="M420" i="3"/>
  <c r="N420" i="3" s="1"/>
  <c r="Z421" i="3"/>
  <c r="P421" i="3"/>
  <c r="Q421" i="3" s="1"/>
  <c r="R421" i="3" s="1"/>
  <c r="S421" i="3" s="1"/>
  <c r="AC421" i="3"/>
  <c r="AA421" i="3"/>
  <c r="T421" i="3" l="1"/>
  <c r="L420" i="3"/>
  <c r="U420" i="3" l="1"/>
  <c r="D421" i="3" s="1"/>
  <c r="AH421" i="3"/>
  <c r="AG421" i="3"/>
  <c r="Y419" i="3"/>
  <c r="E421" i="3" l="1"/>
  <c r="H421" i="3" s="1"/>
  <c r="K421" i="3" s="1"/>
  <c r="AE421" i="3" s="1"/>
  <c r="G421" i="3"/>
  <c r="F421" i="3" l="1"/>
  <c r="V421" i="3"/>
  <c r="A422" i="3"/>
  <c r="B422" i="3" s="1"/>
  <c r="I421" i="3"/>
  <c r="J421" i="3"/>
  <c r="AD421" i="3" s="1"/>
  <c r="M421" i="3"/>
  <c r="N421" i="3" s="1"/>
  <c r="W421" i="3" l="1"/>
  <c r="L421" i="3"/>
  <c r="Z422" i="3"/>
  <c r="P422" i="3"/>
  <c r="Q422" i="3" s="1"/>
  <c r="R422" i="3" s="1"/>
  <c r="S422" i="3" s="1"/>
  <c r="AC422" i="3"/>
  <c r="AA422" i="3"/>
  <c r="U421" i="3" l="1"/>
  <c r="Y420" i="3"/>
  <c r="T422" i="3"/>
  <c r="D422" i="3" l="1"/>
  <c r="G422" i="3" s="1"/>
  <c r="AG422" i="3"/>
  <c r="E422" i="3"/>
  <c r="H422" i="3" s="1"/>
  <c r="K422" i="3" s="1"/>
  <c r="AE422" i="3" s="1"/>
  <c r="AH422" i="3"/>
  <c r="F422" i="3" l="1"/>
  <c r="V422" i="3"/>
  <c r="A423" i="3"/>
  <c r="B423" i="3" s="1"/>
  <c r="I422" i="3"/>
  <c r="J422" i="3"/>
  <c r="AD422" i="3" s="1"/>
  <c r="M422" i="3"/>
  <c r="N422" i="3" s="1"/>
  <c r="L422" i="3" l="1"/>
  <c r="W422" i="3"/>
  <c r="P423" i="3"/>
  <c r="Q423" i="3" s="1"/>
  <c r="R423" i="3" s="1"/>
  <c r="S423" i="3" s="1"/>
  <c r="Z423" i="3"/>
  <c r="AC423" i="3"/>
  <c r="AA423" i="3"/>
  <c r="U422" i="3" l="1"/>
  <c r="Y421" i="3"/>
  <c r="T423" i="3"/>
  <c r="D423" i="3" l="1"/>
  <c r="G423" i="3" s="1"/>
  <c r="AH423" i="3"/>
  <c r="E423" i="3"/>
  <c r="H423" i="3" s="1"/>
  <c r="K423" i="3" s="1"/>
  <c r="AE423" i="3" s="1"/>
  <c r="AG423" i="3"/>
  <c r="F423" i="3" l="1"/>
  <c r="V423" i="3"/>
  <c r="A424" i="3"/>
  <c r="B424" i="3" s="1"/>
  <c r="I423" i="3"/>
  <c r="J423" i="3"/>
  <c r="AD423" i="3" s="1"/>
  <c r="M423" i="3"/>
  <c r="N423" i="3" s="1"/>
  <c r="W423" i="3" l="1"/>
  <c r="L423" i="3"/>
  <c r="AA424" i="3"/>
  <c r="P424" i="3"/>
  <c r="Q424" i="3" s="1"/>
  <c r="R424" i="3" s="1"/>
  <c r="S424" i="3" s="1"/>
  <c r="Z424" i="3"/>
  <c r="AC424" i="3"/>
  <c r="T424" i="3" l="1"/>
  <c r="U423" i="3"/>
  <c r="Y422" i="3"/>
  <c r="D424" i="3" l="1"/>
  <c r="G424" i="3" s="1"/>
  <c r="E424" i="3"/>
  <c r="H424" i="3" s="1"/>
  <c r="K424" i="3" s="1"/>
  <c r="AE424" i="3" s="1"/>
  <c r="AG424" i="3"/>
  <c r="AH424" i="3"/>
  <c r="F424" i="3" l="1"/>
  <c r="V424" i="3"/>
  <c r="A425" i="3"/>
  <c r="B425" i="3" s="1"/>
  <c r="I424" i="3"/>
  <c r="J424" i="3"/>
  <c r="AD424" i="3" s="1"/>
  <c r="M424" i="3"/>
  <c r="N424" i="3" s="1"/>
  <c r="W424" i="3" l="1"/>
  <c r="L424" i="3"/>
  <c r="Z425" i="3"/>
  <c r="AA425" i="3"/>
  <c r="P425" i="3"/>
  <c r="Q425" i="3" s="1"/>
  <c r="R425" i="3" s="1"/>
  <c r="S425" i="3" s="1"/>
  <c r="AC425" i="3"/>
  <c r="AD425" i="3"/>
  <c r="U424" i="3" l="1"/>
  <c r="Y423" i="3"/>
  <c r="T425" i="3"/>
  <c r="E425" i="3" l="1"/>
  <c r="H425" i="3" s="1"/>
  <c r="K425" i="3" s="1"/>
  <c r="AE425" i="3" s="1"/>
  <c r="D425" i="3"/>
  <c r="G425" i="3" s="1"/>
  <c r="AH425" i="3"/>
  <c r="AG425" i="3"/>
  <c r="F425" i="3" l="1"/>
  <c r="I425" i="3"/>
  <c r="J425" i="3"/>
  <c r="M425" i="3"/>
  <c r="N425" i="3" s="1"/>
  <c r="V425" i="3"/>
  <c r="A426" i="3"/>
  <c r="B426" i="3" s="1"/>
  <c r="L425" i="3" l="1"/>
  <c r="W425" i="3"/>
  <c r="P426" i="3"/>
  <c r="Q426" i="3" s="1"/>
  <c r="R426" i="3" s="1"/>
  <c r="S426" i="3" s="1"/>
  <c r="AA426" i="3"/>
  <c r="AD426" i="3"/>
  <c r="Z426" i="3"/>
  <c r="AC426" i="3"/>
  <c r="U425" i="3" l="1"/>
  <c r="Y424" i="3"/>
  <c r="T426" i="3"/>
  <c r="AH426" i="3" s="1"/>
  <c r="E426" i="3" l="1"/>
  <c r="H426" i="3" s="1"/>
  <c r="D426" i="3"/>
  <c r="AG426" i="3"/>
  <c r="K426" i="3" l="1"/>
  <c r="AE426" i="3" s="1"/>
  <c r="F426" i="3"/>
  <c r="G426" i="3"/>
  <c r="V426" i="3" l="1"/>
  <c r="A427" i="3"/>
  <c r="B427" i="3" s="1"/>
  <c r="I426" i="3"/>
  <c r="J426" i="3"/>
  <c r="M426" i="3"/>
  <c r="N426" i="3" s="1"/>
  <c r="W426" i="3" l="1"/>
  <c r="L426" i="3"/>
  <c r="P427" i="3"/>
  <c r="Q427" i="3" s="1"/>
  <c r="R427" i="3" s="1"/>
  <c r="S427" i="3" s="1"/>
  <c r="AC427" i="3"/>
  <c r="Z427" i="3"/>
  <c r="AA427" i="3"/>
  <c r="U426" i="3" l="1"/>
  <c r="Y425" i="3"/>
  <c r="T427" i="3"/>
  <c r="AG427" i="3" s="1"/>
  <c r="D427" i="3" l="1"/>
  <c r="G427" i="3" s="1"/>
  <c r="E427" i="3"/>
  <c r="H427" i="3" s="1"/>
  <c r="K427" i="3" s="1"/>
  <c r="AE427" i="3" s="1"/>
  <c r="AH427" i="3"/>
  <c r="F427" i="3" l="1"/>
  <c r="I427" i="3"/>
  <c r="J427" i="3"/>
  <c r="AD427" i="3" s="1"/>
  <c r="M427" i="3"/>
  <c r="N427" i="3" s="1"/>
  <c r="V427" i="3"/>
  <c r="A428" i="3"/>
  <c r="B428" i="3" s="1"/>
  <c r="W427" i="3" l="1"/>
  <c r="L427" i="3"/>
  <c r="P428" i="3"/>
  <c r="Q428" i="3" s="1"/>
  <c r="R428" i="3" s="1"/>
  <c r="S428" i="3" s="1"/>
  <c r="AC428" i="3"/>
  <c r="Z428" i="3"/>
  <c r="AA428" i="3"/>
  <c r="U427" i="3" l="1"/>
  <c r="Y426" i="3"/>
  <c r="T428" i="3"/>
  <c r="AG428" i="3" s="1"/>
  <c r="E428" i="3" l="1"/>
  <c r="H428" i="3" s="1"/>
  <c r="AH428" i="3"/>
  <c r="D428" i="3"/>
  <c r="K428" i="3" l="1"/>
  <c r="AE428" i="3" s="1"/>
  <c r="F428" i="3"/>
  <c r="G428" i="3"/>
  <c r="I428" i="3" l="1"/>
  <c r="J428" i="3"/>
  <c r="AD428" i="3" s="1"/>
  <c r="M428" i="3"/>
  <c r="N428" i="3" s="1"/>
  <c r="V428" i="3"/>
  <c r="A429" i="3"/>
  <c r="B429" i="3" s="1"/>
  <c r="W428" i="3" l="1"/>
  <c r="AD429" i="3"/>
  <c r="Z429" i="3"/>
  <c r="AC429" i="3"/>
  <c r="P429" i="3"/>
  <c r="Q429" i="3" s="1"/>
  <c r="R429" i="3" s="1"/>
  <c r="S429" i="3" s="1"/>
  <c r="AA429" i="3"/>
  <c r="L428" i="3"/>
  <c r="U428" i="3" l="1"/>
  <c r="Y427" i="3"/>
  <c r="T429" i="3"/>
  <c r="D429" i="3" l="1"/>
  <c r="G429" i="3" s="1"/>
  <c r="E429" i="3"/>
  <c r="H429" i="3" s="1"/>
  <c r="K429" i="3" s="1"/>
  <c r="AE429" i="3" s="1"/>
  <c r="AG429" i="3"/>
  <c r="AH429" i="3"/>
  <c r="F429" i="3" l="1"/>
  <c r="I429" i="3"/>
  <c r="J429" i="3"/>
  <c r="M429" i="3"/>
  <c r="N429" i="3" s="1"/>
  <c r="V429" i="3"/>
  <c r="A430" i="3"/>
  <c r="B430" i="3" s="1"/>
  <c r="L429" i="3" l="1"/>
  <c r="W429" i="3"/>
  <c r="AA430" i="3"/>
  <c r="Z430" i="3"/>
  <c r="P430" i="3"/>
  <c r="Q430" i="3" s="1"/>
  <c r="R430" i="3" s="1"/>
  <c r="S430" i="3" s="1"/>
  <c r="AC430" i="3"/>
  <c r="AD430" i="3"/>
  <c r="U429" i="3" l="1"/>
  <c r="Y428" i="3"/>
  <c r="T430" i="3"/>
  <c r="D430" i="3" l="1"/>
  <c r="G430" i="3" s="1"/>
  <c r="AH430" i="3"/>
  <c r="E430" i="3"/>
  <c r="H430" i="3" s="1"/>
  <c r="AG430" i="3"/>
  <c r="F430" i="3" l="1"/>
  <c r="I430" i="3"/>
  <c r="J430" i="3"/>
  <c r="M430" i="3"/>
  <c r="N430" i="3" s="1"/>
  <c r="K430" i="3"/>
  <c r="AE430" i="3" s="1"/>
  <c r="V430" i="3" l="1"/>
  <c r="W430" i="3" s="1"/>
  <c r="A431" i="3"/>
  <c r="B431" i="3" s="1"/>
  <c r="L430" i="3"/>
  <c r="U430" i="3" l="1"/>
  <c r="Y429" i="3"/>
  <c r="AC431" i="3"/>
  <c r="Z431" i="3"/>
  <c r="P431" i="3"/>
  <c r="Q431" i="3" s="1"/>
  <c r="R431" i="3" s="1"/>
  <c r="S431" i="3" s="1"/>
  <c r="AA431" i="3"/>
  <c r="AD431" i="3"/>
  <c r="T431" i="3" l="1"/>
  <c r="AH431" i="3" s="1"/>
  <c r="E431" i="3" l="1"/>
  <c r="H431" i="3" s="1"/>
  <c r="AG431" i="3"/>
  <c r="D431" i="3"/>
  <c r="K431" i="3" l="1"/>
  <c r="AE431" i="3" s="1"/>
  <c r="F431" i="3"/>
  <c r="G431" i="3"/>
  <c r="V431" i="3" l="1"/>
  <c r="A432" i="3"/>
  <c r="B432" i="3" s="1"/>
  <c r="I431" i="3"/>
  <c r="J431" i="3"/>
  <c r="M431" i="3"/>
  <c r="N431" i="3" s="1"/>
  <c r="W431" i="3" l="1"/>
  <c r="L431" i="3"/>
  <c r="AA432" i="3"/>
  <c r="P432" i="3"/>
  <c r="Q432" i="3" s="1"/>
  <c r="R432" i="3" s="1"/>
  <c r="S432" i="3" s="1"/>
  <c r="AC432" i="3"/>
  <c r="Z432" i="3"/>
  <c r="AD432" i="3"/>
  <c r="T432" i="3" l="1"/>
  <c r="AH432" i="3" s="1"/>
  <c r="U431" i="3"/>
  <c r="Y430" i="3"/>
  <c r="AG432" i="3" l="1"/>
  <c r="E432" i="3"/>
  <c r="H432" i="3" s="1"/>
  <c r="D432" i="3"/>
  <c r="K432" i="3" l="1"/>
  <c r="AE432" i="3" s="1"/>
  <c r="F432" i="3"/>
  <c r="G432" i="3"/>
  <c r="I432" i="3" l="1"/>
  <c r="J432" i="3"/>
  <c r="M432" i="3"/>
  <c r="N432" i="3" s="1"/>
  <c r="V432" i="3"/>
  <c r="A433" i="3"/>
  <c r="B433" i="3" s="1"/>
  <c r="W432" i="3" l="1"/>
  <c r="L432" i="3"/>
  <c r="P433" i="3"/>
  <c r="Q433" i="3" s="1"/>
  <c r="R433" i="3" s="1"/>
  <c r="S433" i="3" s="1"/>
  <c r="AC433" i="3"/>
  <c r="Z433" i="3"/>
  <c r="AA433" i="3"/>
  <c r="AD433" i="3"/>
  <c r="U432" i="3" l="1"/>
  <c r="Y431" i="3"/>
  <c r="T433" i="3"/>
  <c r="E433" i="3" l="1"/>
  <c r="H433" i="3" s="1"/>
  <c r="K433" i="3" s="1"/>
  <c r="AE433" i="3" s="1"/>
  <c r="D433" i="3"/>
  <c r="AG433" i="3"/>
  <c r="AH433" i="3"/>
  <c r="F433" i="3" l="1"/>
  <c r="G433" i="3"/>
  <c r="M433" i="3" s="1"/>
  <c r="N433" i="3" s="1"/>
  <c r="V433" i="3"/>
  <c r="A434" i="3"/>
  <c r="B434" i="3" s="1"/>
  <c r="I433" i="3" l="1"/>
  <c r="W433" i="3" s="1"/>
  <c r="J433" i="3"/>
  <c r="L433" i="3" s="1"/>
  <c r="P434" i="3"/>
  <c r="Q434" i="3" s="1"/>
  <c r="R434" i="3" s="1"/>
  <c r="S434" i="3" s="1"/>
  <c r="Z434" i="3"/>
  <c r="AA434" i="3"/>
  <c r="AC434" i="3"/>
  <c r="U433" i="3" l="1"/>
  <c r="Y432" i="3"/>
  <c r="T434" i="3"/>
  <c r="AH434" i="3" s="1"/>
  <c r="E434" i="3" l="1"/>
  <c r="H434" i="3" s="1"/>
  <c r="K434" i="3" s="1"/>
  <c r="AE434" i="3" s="1"/>
  <c r="AG434" i="3"/>
  <c r="D434" i="3"/>
  <c r="F434" i="3" l="1"/>
  <c r="G434" i="3"/>
  <c r="M434" i="3" s="1"/>
  <c r="N434" i="3" s="1"/>
  <c r="V434" i="3"/>
  <c r="A435" i="3"/>
  <c r="B435" i="3" s="1"/>
  <c r="I434" i="3" l="1"/>
  <c r="W434" i="3" s="1"/>
  <c r="J434" i="3"/>
  <c r="P435" i="3"/>
  <c r="Q435" i="3" s="1"/>
  <c r="R435" i="3" s="1"/>
  <c r="S435" i="3" s="1"/>
  <c r="AA435" i="3"/>
  <c r="AD435" i="3"/>
  <c r="AC435" i="3"/>
  <c r="Z435" i="3"/>
  <c r="L434" i="3" l="1"/>
  <c r="Y433" i="3" s="1"/>
  <c r="AD434" i="3"/>
  <c r="T435" i="3"/>
  <c r="U434" i="3" l="1"/>
  <c r="E435" i="3" s="1"/>
  <c r="H435" i="3" s="1"/>
  <c r="AG435" i="3"/>
  <c r="AH435" i="3"/>
  <c r="D435" i="3" l="1"/>
  <c r="G435" i="3" s="1"/>
  <c r="I435" i="3" s="1"/>
  <c r="K435" i="3"/>
  <c r="AE435" i="3" s="1"/>
  <c r="J435" i="3" l="1"/>
  <c r="L435" i="3" s="1"/>
  <c r="M435" i="3"/>
  <c r="N435" i="3" s="1"/>
  <c r="F435" i="3"/>
  <c r="V435" i="3"/>
  <c r="W435" i="3" s="1"/>
  <c r="A436" i="3"/>
  <c r="B436" i="3" s="1"/>
  <c r="AC436" i="3" l="1"/>
  <c r="Z436" i="3"/>
  <c r="P436" i="3"/>
  <c r="Q436" i="3" s="1"/>
  <c r="R436" i="3" s="1"/>
  <c r="S436" i="3" s="1"/>
  <c r="AA436" i="3"/>
  <c r="AD436" i="3"/>
  <c r="U435" i="3"/>
  <c r="Y434" i="3"/>
  <c r="T436" i="3" l="1"/>
  <c r="E436" i="3" l="1"/>
  <c r="H436" i="3" s="1"/>
  <c r="D436" i="3"/>
  <c r="AH436" i="3"/>
  <c r="AG436" i="3"/>
  <c r="F436" i="3" l="1"/>
  <c r="G436" i="3"/>
  <c r="K436" i="3"/>
  <c r="AE436" i="3" s="1"/>
  <c r="I436" i="3" l="1"/>
  <c r="J436" i="3"/>
  <c r="M436" i="3"/>
  <c r="N436" i="3" s="1"/>
  <c r="V436" i="3"/>
  <c r="A437" i="3"/>
  <c r="B437" i="3" s="1"/>
  <c r="W436" i="3" l="1"/>
  <c r="L436" i="3"/>
  <c r="AC437" i="3"/>
  <c r="AA437" i="3"/>
  <c r="P437" i="3"/>
  <c r="Q437" i="3" s="1"/>
  <c r="R437" i="3" s="1"/>
  <c r="S437" i="3" s="1"/>
  <c r="Z437" i="3"/>
  <c r="U436" i="3" l="1"/>
  <c r="Y435" i="3"/>
  <c r="T437" i="3"/>
  <c r="AH437" i="3" s="1"/>
  <c r="D437" i="3" l="1"/>
  <c r="G437" i="3" s="1"/>
  <c r="E437" i="3"/>
  <c r="H437" i="3" s="1"/>
  <c r="K437" i="3" s="1"/>
  <c r="AE437" i="3" s="1"/>
  <c r="AG437" i="3"/>
  <c r="F437" i="3" l="1"/>
  <c r="I437" i="3"/>
  <c r="J437" i="3"/>
  <c r="AD437" i="3" s="1"/>
  <c r="M437" i="3"/>
  <c r="N437" i="3" s="1"/>
  <c r="V437" i="3"/>
  <c r="A438" i="3"/>
  <c r="B438" i="3" s="1"/>
  <c r="W437" i="3" l="1"/>
  <c r="L437" i="3"/>
  <c r="Z438" i="3"/>
  <c r="P438" i="3"/>
  <c r="Q438" i="3" s="1"/>
  <c r="R438" i="3" s="1"/>
  <c r="S438" i="3" s="1"/>
  <c r="AC438" i="3"/>
  <c r="AA438" i="3"/>
  <c r="U437" i="3" l="1"/>
  <c r="Y436" i="3"/>
  <c r="T438" i="3"/>
  <c r="E438" i="3" l="1"/>
  <c r="H438" i="3" s="1"/>
  <c r="K438" i="3" s="1"/>
  <c r="AE438" i="3" s="1"/>
  <c r="D438" i="3"/>
  <c r="AH438" i="3"/>
  <c r="AG438" i="3"/>
  <c r="V438" i="3" l="1"/>
  <c r="A439" i="3"/>
  <c r="B439" i="3" s="1"/>
  <c r="F438" i="3"/>
  <c r="G438" i="3"/>
  <c r="I438" i="3" l="1"/>
  <c r="W438" i="3" s="1"/>
  <c r="J438" i="3"/>
  <c r="AD438" i="3" s="1"/>
  <c r="M438" i="3"/>
  <c r="N438" i="3" s="1"/>
  <c r="Z439" i="3"/>
  <c r="P439" i="3"/>
  <c r="Q439" i="3" s="1"/>
  <c r="R439" i="3" s="1"/>
  <c r="S439" i="3" s="1"/>
  <c r="AD439" i="3"/>
  <c r="AC439" i="3"/>
  <c r="AA439" i="3"/>
  <c r="T439" i="3" l="1"/>
  <c r="L438" i="3"/>
  <c r="AG439" i="3" l="1"/>
  <c r="AH439" i="3"/>
  <c r="U438" i="3"/>
  <c r="E439" i="3" s="1"/>
  <c r="H439" i="3" s="1"/>
  <c r="Y437" i="3"/>
  <c r="D439" i="3" l="1"/>
  <c r="G439" i="3" s="1"/>
  <c r="K439" i="3"/>
  <c r="AE439" i="3" s="1"/>
  <c r="F439" i="3" l="1"/>
  <c r="V439" i="3"/>
  <c r="A440" i="3"/>
  <c r="B440" i="3" s="1"/>
  <c r="I439" i="3"/>
  <c r="J439" i="3"/>
  <c r="M439" i="3"/>
  <c r="N439" i="3" s="1"/>
  <c r="W439" i="3" l="1"/>
  <c r="L439" i="3"/>
  <c r="Z440" i="3"/>
  <c r="AC440" i="3"/>
  <c r="P440" i="3"/>
  <c r="Q440" i="3" s="1"/>
  <c r="R440" i="3" s="1"/>
  <c r="S440" i="3" s="1"/>
  <c r="AA440" i="3"/>
  <c r="AD440" i="3"/>
  <c r="T440" i="3" l="1"/>
  <c r="AH440" i="3" s="1"/>
  <c r="U439" i="3"/>
  <c r="Y438" i="3"/>
  <c r="AG440" i="3" l="1"/>
  <c r="D440" i="3"/>
  <c r="E440" i="3"/>
  <c r="H440" i="3" s="1"/>
  <c r="K440" i="3" l="1"/>
  <c r="AE440" i="3" s="1"/>
  <c r="F440" i="3"/>
  <c r="G440" i="3"/>
  <c r="I440" i="3" l="1"/>
  <c r="J440" i="3"/>
  <c r="M440" i="3"/>
  <c r="N440" i="3" s="1"/>
  <c r="V440" i="3"/>
  <c r="A441" i="3"/>
  <c r="B441" i="3" s="1"/>
  <c r="W440" i="3" l="1"/>
  <c r="L440" i="3"/>
  <c r="P441" i="3"/>
  <c r="Q441" i="3" s="1"/>
  <c r="R441" i="3" s="1"/>
  <c r="S441" i="3" s="1"/>
  <c r="AD441" i="3"/>
  <c r="AC441" i="3"/>
  <c r="Z441" i="3"/>
  <c r="AA441" i="3"/>
  <c r="T441" i="3" l="1"/>
  <c r="AH441" i="3" s="1"/>
  <c r="U440" i="3"/>
  <c r="Y439" i="3"/>
  <c r="E441" i="3" l="1"/>
  <c r="H441" i="3" s="1"/>
  <c r="K441" i="3" s="1"/>
  <c r="AE441" i="3" s="1"/>
  <c r="AG441" i="3"/>
  <c r="D441" i="3"/>
  <c r="V441" i="3" l="1"/>
  <c r="A442" i="3"/>
  <c r="B442" i="3" s="1"/>
  <c r="F441" i="3"/>
  <c r="G441" i="3"/>
  <c r="I441" i="3" l="1"/>
  <c r="W441" i="3" s="1"/>
  <c r="J441" i="3"/>
  <c r="M441" i="3"/>
  <c r="N441" i="3" s="1"/>
  <c r="AC442" i="3"/>
  <c r="AD442" i="3"/>
  <c r="AA442" i="3"/>
  <c r="P442" i="3"/>
  <c r="Q442" i="3" s="1"/>
  <c r="R442" i="3" s="1"/>
  <c r="S442" i="3" s="1"/>
  <c r="Z442" i="3"/>
  <c r="T442" i="3" l="1"/>
  <c r="L441" i="3"/>
  <c r="U441" i="3" l="1"/>
  <c r="D442" i="3" s="1"/>
  <c r="AH442" i="3"/>
  <c r="AG442" i="3"/>
  <c r="Y440" i="3"/>
  <c r="G442" i="3" l="1"/>
  <c r="E442" i="3"/>
  <c r="H442" i="3" s="1"/>
  <c r="I442" i="3" l="1"/>
  <c r="J442" i="3"/>
  <c r="M442" i="3"/>
  <c r="N442" i="3" s="1"/>
  <c r="F442" i="3"/>
  <c r="K442" i="3"/>
  <c r="AE442" i="3" s="1"/>
  <c r="V442" i="3" l="1"/>
  <c r="W442" i="3" s="1"/>
  <c r="A443" i="3"/>
  <c r="B443" i="3" s="1"/>
  <c r="L442" i="3"/>
  <c r="U442" i="3" l="1"/>
  <c r="Y441" i="3"/>
  <c r="Z443" i="3"/>
  <c r="P443" i="3"/>
  <c r="Q443" i="3" s="1"/>
  <c r="R443" i="3" s="1"/>
  <c r="S443" i="3" s="1"/>
  <c r="AD443" i="3"/>
  <c r="AC443" i="3"/>
  <c r="AA443" i="3"/>
  <c r="T443" i="3" l="1"/>
  <c r="D443" i="3" s="1"/>
  <c r="E443" i="3" l="1"/>
  <c r="H443" i="3" s="1"/>
  <c r="K443" i="3" s="1"/>
  <c r="AE443" i="3" s="1"/>
  <c r="G443" i="3"/>
  <c r="AG443" i="3"/>
  <c r="AH443" i="3"/>
  <c r="F443" i="3" l="1"/>
  <c r="V443" i="3"/>
  <c r="A444" i="3"/>
  <c r="B444" i="3" s="1"/>
  <c r="I443" i="3"/>
  <c r="J443" i="3"/>
  <c r="M443" i="3"/>
  <c r="N443" i="3" s="1"/>
  <c r="W443" i="3" l="1"/>
  <c r="L443" i="3"/>
  <c r="Z444" i="3"/>
  <c r="P444" i="3"/>
  <c r="Q444" i="3" s="1"/>
  <c r="R444" i="3" s="1"/>
  <c r="S444" i="3" s="1"/>
  <c r="AA444" i="3"/>
  <c r="AC444" i="3"/>
  <c r="U443" i="3" l="1"/>
  <c r="Y442" i="3"/>
  <c r="T444" i="3"/>
  <c r="AG444" i="3" s="1"/>
  <c r="AH444" i="3" l="1"/>
  <c r="D444" i="3"/>
  <c r="E444" i="3"/>
  <c r="H444" i="3" s="1"/>
  <c r="F444" i="3" l="1"/>
  <c r="G444" i="3"/>
  <c r="K444" i="3"/>
  <c r="AE444" i="3" s="1"/>
  <c r="I444" i="3" l="1"/>
  <c r="J444" i="3"/>
  <c r="AD444" i="3" s="1"/>
  <c r="M444" i="3"/>
  <c r="N444" i="3" s="1"/>
  <c r="V444" i="3"/>
  <c r="A445" i="3"/>
  <c r="B445" i="3" s="1"/>
  <c r="W444" i="3" l="1"/>
  <c r="L444" i="3"/>
  <c r="AA445" i="3"/>
  <c r="P445" i="3"/>
  <c r="Q445" i="3" s="1"/>
  <c r="R445" i="3" s="1"/>
  <c r="S445" i="3" s="1"/>
  <c r="Z445" i="3"/>
  <c r="AD445" i="3"/>
  <c r="AC445" i="3"/>
  <c r="T445" i="3" l="1"/>
  <c r="U444" i="3"/>
  <c r="Y443" i="3"/>
  <c r="D445" i="3" l="1"/>
  <c r="G445" i="3" s="1"/>
  <c r="AG445" i="3"/>
  <c r="E445" i="3"/>
  <c r="H445" i="3" s="1"/>
  <c r="AH445" i="3"/>
  <c r="K445" i="3" l="1"/>
  <c r="AE445" i="3" s="1"/>
  <c r="I445" i="3"/>
  <c r="J445" i="3"/>
  <c r="M445" i="3"/>
  <c r="N445" i="3" s="1"/>
  <c r="F445" i="3"/>
  <c r="L445" i="3" l="1"/>
  <c r="V445" i="3"/>
  <c r="W445" i="3" s="1"/>
  <c r="A446" i="3"/>
  <c r="B446" i="3" s="1"/>
  <c r="AD446" i="3" l="1"/>
  <c r="AC446" i="3"/>
  <c r="P446" i="3"/>
  <c r="Q446" i="3" s="1"/>
  <c r="R446" i="3" s="1"/>
  <c r="S446" i="3" s="1"/>
  <c r="Z446" i="3"/>
  <c r="AA446" i="3"/>
  <c r="U445" i="3"/>
  <c r="Y444" i="3"/>
  <c r="T446" i="3" l="1"/>
  <c r="D446" i="3" s="1"/>
  <c r="AG446" i="3" l="1"/>
  <c r="G446" i="3"/>
  <c r="E446" i="3"/>
  <c r="H446" i="3" s="1"/>
  <c r="AH446" i="3"/>
  <c r="K446" i="3" l="1"/>
  <c r="AE446" i="3" s="1"/>
  <c r="F446" i="3"/>
  <c r="I446" i="3"/>
  <c r="J446" i="3"/>
  <c r="M446" i="3"/>
  <c r="N446" i="3" s="1"/>
  <c r="L446" i="3" l="1"/>
  <c r="V446" i="3"/>
  <c r="W446" i="3" s="1"/>
  <c r="A447" i="3"/>
  <c r="B447" i="3" s="1"/>
  <c r="Z447" i="3" l="1"/>
  <c r="P447" i="3"/>
  <c r="Q447" i="3" s="1"/>
  <c r="R447" i="3" s="1"/>
  <c r="S447" i="3" s="1"/>
  <c r="AC447" i="3"/>
  <c r="AA447" i="3"/>
  <c r="U446" i="3"/>
  <c r="Y445" i="3"/>
  <c r="T447" i="3" l="1"/>
  <c r="AG447" i="3" s="1"/>
  <c r="D447" i="3" l="1"/>
  <c r="G447" i="3" s="1"/>
  <c r="AH447" i="3"/>
  <c r="E447" i="3"/>
  <c r="H447" i="3" s="1"/>
  <c r="K447" i="3" s="1"/>
  <c r="AE447" i="3" s="1"/>
  <c r="F447" i="3" l="1"/>
  <c r="I447" i="3"/>
  <c r="J447" i="3"/>
  <c r="AD447" i="3" s="1"/>
  <c r="M447" i="3"/>
  <c r="N447" i="3" s="1"/>
  <c r="V447" i="3"/>
  <c r="A448" i="3"/>
  <c r="B448" i="3" s="1"/>
  <c r="W447" i="3" l="1"/>
  <c r="L447" i="3"/>
  <c r="Z448" i="3"/>
  <c r="AA448" i="3"/>
  <c r="P448" i="3"/>
  <c r="Q448" i="3" s="1"/>
  <c r="R448" i="3" s="1"/>
  <c r="S448" i="3" s="1"/>
  <c r="AC448" i="3"/>
  <c r="T448" i="3" l="1"/>
  <c r="AG448" i="3" s="1"/>
  <c r="U447" i="3"/>
  <c r="Y446" i="3"/>
  <c r="D448" i="3" l="1"/>
  <c r="G448" i="3" s="1"/>
  <c r="E448" i="3"/>
  <c r="H448" i="3" s="1"/>
  <c r="AH448" i="3"/>
  <c r="F448" i="3" l="1"/>
  <c r="I448" i="3"/>
  <c r="J448" i="3"/>
  <c r="AD448" i="3" s="1"/>
  <c r="M448" i="3"/>
  <c r="N448" i="3" s="1"/>
  <c r="K448" i="3"/>
  <c r="AE448" i="3" s="1"/>
  <c r="V448" i="3" l="1"/>
  <c r="W448" i="3" s="1"/>
  <c r="A449" i="3"/>
  <c r="B449" i="3" s="1"/>
  <c r="L448" i="3"/>
  <c r="U448" i="3" l="1"/>
  <c r="Y447" i="3"/>
  <c r="P449" i="3"/>
  <c r="Q449" i="3" s="1"/>
  <c r="R449" i="3" s="1"/>
  <c r="S449" i="3" s="1"/>
  <c r="AD449" i="3"/>
  <c r="AA449" i="3"/>
  <c r="Z449" i="3"/>
  <c r="AC449" i="3"/>
  <c r="T449" i="3" l="1"/>
  <c r="D449" i="3" s="1"/>
  <c r="G449" i="3" l="1"/>
  <c r="AG449" i="3"/>
  <c r="AH449" i="3"/>
  <c r="E449" i="3"/>
  <c r="H449" i="3" s="1"/>
  <c r="K449" i="3" l="1"/>
  <c r="AE449" i="3" s="1"/>
  <c r="F449" i="3"/>
  <c r="I449" i="3"/>
  <c r="J449" i="3"/>
  <c r="M449" i="3"/>
  <c r="N449" i="3" s="1"/>
  <c r="L449" i="3" l="1"/>
  <c r="V449" i="3"/>
  <c r="W449" i="3" s="1"/>
  <c r="A450" i="3"/>
  <c r="B450" i="3" s="1"/>
  <c r="P450" i="3" l="1"/>
  <c r="Q450" i="3" s="1"/>
  <c r="R450" i="3" s="1"/>
  <c r="S450" i="3" s="1"/>
  <c r="AD450" i="3"/>
  <c r="Z450" i="3"/>
  <c r="AC450" i="3"/>
  <c r="AA450" i="3"/>
  <c r="U449" i="3"/>
  <c r="Y448" i="3"/>
  <c r="T450" i="3" l="1"/>
  <c r="D450" i="3" s="1"/>
  <c r="AH450" i="3" l="1"/>
  <c r="G450" i="3"/>
  <c r="E450" i="3"/>
  <c r="H450" i="3" s="1"/>
  <c r="AG450" i="3"/>
  <c r="F450" i="3" l="1"/>
  <c r="I450" i="3"/>
  <c r="J450" i="3"/>
  <c r="M450" i="3"/>
  <c r="N450" i="3" s="1"/>
  <c r="K450" i="3"/>
  <c r="AE450" i="3" s="1"/>
  <c r="V450" i="3" l="1"/>
  <c r="W450" i="3" s="1"/>
  <c r="A451" i="3"/>
  <c r="B451" i="3" s="1"/>
  <c r="L450" i="3"/>
  <c r="U450" i="3" l="1"/>
  <c r="Y449" i="3"/>
  <c r="P451" i="3"/>
  <c r="Q451" i="3" s="1"/>
  <c r="R451" i="3" s="1"/>
  <c r="S451" i="3" s="1"/>
  <c r="Z451" i="3"/>
  <c r="AD451" i="3"/>
  <c r="AA451" i="3"/>
  <c r="AC451" i="3"/>
  <c r="T451" i="3" l="1"/>
  <c r="AG451" i="3" s="1"/>
  <c r="E451" i="3" l="1"/>
  <c r="H451" i="3" s="1"/>
  <c r="K451" i="3" s="1"/>
  <c r="AE451" i="3" s="1"/>
  <c r="AH451" i="3"/>
  <c r="D451" i="3"/>
  <c r="V451" i="3" l="1"/>
  <c r="A452" i="3"/>
  <c r="B452" i="3" s="1"/>
  <c r="F451" i="3"/>
  <c r="G451" i="3"/>
  <c r="I451" i="3" l="1"/>
  <c r="W451" i="3" s="1"/>
  <c r="J451" i="3"/>
  <c r="M451" i="3"/>
  <c r="N451" i="3" s="1"/>
  <c r="AA452" i="3"/>
  <c r="P452" i="3"/>
  <c r="Q452" i="3" s="1"/>
  <c r="R452" i="3" s="1"/>
  <c r="S452" i="3" s="1"/>
  <c r="AC452" i="3"/>
  <c r="Z452" i="3"/>
  <c r="AD452" i="3"/>
  <c r="T452" i="3" l="1"/>
  <c r="L451" i="3"/>
  <c r="U451" i="3" l="1"/>
  <c r="D452" i="3" s="1"/>
  <c r="AH452" i="3"/>
  <c r="AG452" i="3"/>
  <c r="Y450" i="3"/>
  <c r="E452" i="3" l="1"/>
  <c r="H452" i="3" s="1"/>
  <c r="K452" i="3" s="1"/>
  <c r="AE452" i="3" s="1"/>
  <c r="G452" i="3"/>
  <c r="F452" i="3" l="1"/>
  <c r="I452" i="3"/>
  <c r="J452" i="3"/>
  <c r="M452" i="3"/>
  <c r="N452" i="3" s="1"/>
  <c r="V452" i="3"/>
  <c r="A453" i="3"/>
  <c r="B453" i="3" s="1"/>
  <c r="W452" i="3" l="1"/>
  <c r="L452" i="3"/>
  <c r="AA453" i="3"/>
  <c r="P453" i="3"/>
  <c r="Q453" i="3" s="1"/>
  <c r="R453" i="3" s="1"/>
  <c r="S453" i="3" s="1"/>
  <c r="AC453" i="3"/>
  <c r="AD453" i="3"/>
  <c r="Z453" i="3"/>
  <c r="U452" i="3" l="1"/>
  <c r="Y451" i="3"/>
  <c r="T453" i="3"/>
  <c r="AH453" i="3" s="1"/>
  <c r="AG453" i="3" l="1"/>
  <c r="E453" i="3"/>
  <c r="H453" i="3" s="1"/>
  <c r="D453" i="3"/>
  <c r="K453" i="3" l="1"/>
  <c r="AE453" i="3" s="1"/>
  <c r="F453" i="3"/>
  <c r="G453" i="3"/>
  <c r="I453" i="3" l="1"/>
  <c r="J453" i="3"/>
  <c r="M453" i="3"/>
  <c r="N453" i="3" s="1"/>
  <c r="V453" i="3"/>
  <c r="A454" i="3"/>
  <c r="B454" i="3" s="1"/>
  <c r="W453" i="3" l="1"/>
  <c r="AA454" i="3"/>
  <c r="AC454" i="3"/>
  <c r="Z454" i="3"/>
  <c r="P454" i="3"/>
  <c r="Q454" i="3" s="1"/>
  <c r="R454" i="3" s="1"/>
  <c r="S454" i="3" s="1"/>
  <c r="L453" i="3"/>
  <c r="U453" i="3" l="1"/>
  <c r="Y452" i="3"/>
  <c r="T454" i="3"/>
  <c r="E454" i="3" l="1"/>
  <c r="H454" i="3" s="1"/>
  <c r="K454" i="3" s="1"/>
  <c r="AE454" i="3" s="1"/>
  <c r="AH454" i="3"/>
  <c r="AG454" i="3"/>
  <c r="D454" i="3"/>
  <c r="F454" i="3" l="1"/>
  <c r="G454" i="3"/>
  <c r="V454" i="3"/>
  <c r="A455" i="3"/>
  <c r="B455" i="3" s="1"/>
  <c r="AC455" i="3" l="1"/>
  <c r="AD455" i="3"/>
  <c r="AA455" i="3"/>
  <c r="Z455" i="3"/>
  <c r="P455" i="3"/>
  <c r="Q455" i="3" s="1"/>
  <c r="R455" i="3" s="1"/>
  <c r="S455" i="3" s="1"/>
  <c r="I454" i="3"/>
  <c r="W454" i="3" s="1"/>
  <c r="J454" i="3"/>
  <c r="AD454" i="3" s="1"/>
  <c r="M454" i="3"/>
  <c r="N454" i="3" s="1"/>
  <c r="L454" i="3" l="1"/>
  <c r="T455" i="3"/>
  <c r="AH455" i="3" l="1"/>
  <c r="U454" i="3"/>
  <c r="D455" i="3" s="1"/>
  <c r="AG455" i="3"/>
  <c r="Y453" i="3"/>
  <c r="E455" i="3" l="1"/>
  <c r="H455" i="3" s="1"/>
  <c r="K455" i="3" s="1"/>
  <c r="AE455" i="3" s="1"/>
  <c r="G455" i="3"/>
  <c r="F455" i="3" l="1"/>
  <c r="I455" i="3"/>
  <c r="J455" i="3"/>
  <c r="M455" i="3"/>
  <c r="N455" i="3" s="1"/>
  <c r="V455" i="3"/>
  <c r="A456" i="3"/>
  <c r="B456" i="3" s="1"/>
  <c r="W455" i="3" l="1"/>
  <c r="L455" i="3"/>
  <c r="AC456" i="3"/>
  <c r="P456" i="3"/>
  <c r="Q456" i="3" s="1"/>
  <c r="R456" i="3" s="1"/>
  <c r="S456" i="3" s="1"/>
  <c r="AD456" i="3"/>
  <c r="Z456" i="3"/>
  <c r="AA456" i="3"/>
  <c r="U455" i="3" l="1"/>
  <c r="Y454" i="3"/>
  <c r="T456" i="3"/>
  <c r="AG456" i="3" s="1"/>
  <c r="D456" i="3" l="1"/>
  <c r="G456" i="3" s="1"/>
  <c r="AH456" i="3"/>
  <c r="E456" i="3"/>
  <c r="H456" i="3" s="1"/>
  <c r="I456" i="3" l="1"/>
  <c r="J456" i="3"/>
  <c r="M456" i="3"/>
  <c r="N456" i="3" s="1"/>
  <c r="K456" i="3"/>
  <c r="AE456" i="3" s="1"/>
  <c r="F456" i="3"/>
  <c r="V456" i="3" l="1"/>
  <c r="W456" i="3" s="1"/>
  <c r="A457" i="3"/>
  <c r="B457" i="3" s="1"/>
  <c r="L456" i="3"/>
  <c r="Z457" i="3" l="1"/>
  <c r="AC457" i="3"/>
  <c r="P457" i="3"/>
  <c r="Q457" i="3" s="1"/>
  <c r="R457" i="3" s="1"/>
  <c r="S457" i="3" s="1"/>
  <c r="AA457" i="3"/>
  <c r="U456" i="3"/>
  <c r="Y455" i="3"/>
  <c r="T457" i="3" l="1"/>
  <c r="D457" i="3" l="1"/>
  <c r="AH457" i="3"/>
  <c r="E457" i="3"/>
  <c r="H457" i="3" s="1"/>
  <c r="AG457" i="3"/>
  <c r="F457" i="3" l="1"/>
  <c r="G457" i="3"/>
  <c r="K457" i="3"/>
  <c r="AE457" i="3" s="1"/>
  <c r="I457" i="3" l="1"/>
  <c r="J457" i="3"/>
  <c r="AD457" i="3" s="1"/>
  <c r="M457" i="3"/>
  <c r="N457" i="3" s="1"/>
  <c r="V457" i="3"/>
  <c r="A458" i="3"/>
  <c r="B458" i="3" s="1"/>
  <c r="L457" i="3" l="1"/>
  <c r="W457" i="3"/>
  <c r="P458" i="3"/>
  <c r="Q458" i="3" s="1"/>
  <c r="R458" i="3" s="1"/>
  <c r="S458" i="3" s="1"/>
  <c r="AC458" i="3"/>
  <c r="Z458" i="3"/>
  <c r="AA458" i="3"/>
  <c r="U457" i="3" l="1"/>
  <c r="Y456" i="3"/>
  <c r="T458" i="3"/>
  <c r="AH458" i="3" s="1"/>
  <c r="AG458" i="3" l="1"/>
  <c r="E458" i="3"/>
  <c r="H458" i="3" s="1"/>
  <c r="D458" i="3"/>
  <c r="K458" i="3" l="1"/>
  <c r="AE458" i="3" s="1"/>
  <c r="F458" i="3"/>
  <c r="G458" i="3"/>
  <c r="V458" i="3" l="1"/>
  <c r="A459" i="3"/>
  <c r="B459" i="3" s="1"/>
  <c r="I458" i="3"/>
  <c r="J458" i="3"/>
  <c r="AD458" i="3" s="1"/>
  <c r="M458" i="3"/>
  <c r="N458" i="3" s="1"/>
  <c r="W458" i="3" l="1"/>
  <c r="L458" i="3"/>
  <c r="Z459" i="3"/>
  <c r="P459" i="3"/>
  <c r="Q459" i="3" s="1"/>
  <c r="R459" i="3" s="1"/>
  <c r="S459" i="3" s="1"/>
  <c r="AA459" i="3"/>
  <c r="AD459" i="3"/>
  <c r="AC459" i="3"/>
  <c r="T459" i="3" l="1"/>
  <c r="AH459" i="3" s="1"/>
  <c r="U458" i="3"/>
  <c r="Y457" i="3"/>
  <c r="AG459" i="3" l="1"/>
  <c r="D459" i="3"/>
  <c r="E459" i="3"/>
  <c r="H459" i="3" s="1"/>
  <c r="K459" i="3" l="1"/>
  <c r="AE459" i="3" s="1"/>
  <c r="F459" i="3"/>
  <c r="G459" i="3"/>
  <c r="I459" i="3" l="1"/>
  <c r="J459" i="3"/>
  <c r="M459" i="3"/>
  <c r="N459" i="3" s="1"/>
  <c r="V459" i="3"/>
  <c r="A460" i="3"/>
  <c r="B460" i="3" s="1"/>
  <c r="W459" i="3" l="1"/>
  <c r="L459" i="3"/>
  <c r="P460" i="3"/>
  <c r="Q460" i="3" s="1"/>
  <c r="R460" i="3" s="1"/>
  <c r="S460" i="3" s="1"/>
  <c r="AD460" i="3"/>
  <c r="Z460" i="3"/>
  <c r="AA460" i="3"/>
  <c r="AC460" i="3"/>
  <c r="U459" i="3" l="1"/>
  <c r="Y458" i="3"/>
  <c r="T460" i="3"/>
  <c r="D460" i="3" l="1"/>
  <c r="G460" i="3" s="1"/>
  <c r="AH460" i="3"/>
  <c r="E460" i="3"/>
  <c r="H460" i="3" s="1"/>
  <c r="AG460" i="3"/>
  <c r="F460" i="3" l="1"/>
  <c r="I460" i="3"/>
  <c r="J460" i="3"/>
  <c r="M460" i="3"/>
  <c r="N460" i="3" s="1"/>
  <c r="K460" i="3"/>
  <c r="AE460" i="3" s="1"/>
  <c r="V460" i="3" l="1"/>
  <c r="W460" i="3" s="1"/>
  <c r="A461" i="3"/>
  <c r="B461" i="3" s="1"/>
  <c r="L460" i="3"/>
  <c r="U460" i="3" l="1"/>
  <c r="Y459" i="3"/>
  <c r="AC461" i="3"/>
  <c r="Z461" i="3"/>
  <c r="P461" i="3"/>
  <c r="Q461" i="3" s="1"/>
  <c r="R461" i="3" s="1"/>
  <c r="S461" i="3" s="1"/>
  <c r="AA461" i="3"/>
  <c r="AD461" i="3"/>
  <c r="T461" i="3" l="1"/>
  <c r="D461" i="3" s="1"/>
  <c r="AG461" i="3" l="1"/>
  <c r="G461" i="3"/>
  <c r="AH461" i="3"/>
  <c r="E461" i="3"/>
  <c r="H461" i="3" s="1"/>
  <c r="F461" i="3" l="1"/>
  <c r="I461" i="3"/>
  <c r="J461" i="3"/>
  <c r="M461" i="3"/>
  <c r="N461" i="3" s="1"/>
  <c r="K461" i="3"/>
  <c r="AE461" i="3" s="1"/>
  <c r="V461" i="3" l="1"/>
  <c r="W461" i="3" s="1"/>
  <c r="A462" i="3"/>
  <c r="B462" i="3" s="1"/>
  <c r="L461" i="3"/>
  <c r="U461" i="3" l="1"/>
  <c r="Y460" i="3"/>
  <c r="Z462" i="3"/>
  <c r="P462" i="3"/>
  <c r="Q462" i="3" s="1"/>
  <c r="R462" i="3" s="1"/>
  <c r="S462" i="3" s="1"/>
  <c r="AD462" i="3"/>
  <c r="AA462" i="3"/>
  <c r="AC462" i="3"/>
  <c r="T462" i="3" l="1"/>
  <c r="E462" i="3" s="1"/>
  <c r="H462" i="3" s="1"/>
  <c r="AG462" i="3" l="1"/>
  <c r="AH462" i="3"/>
  <c r="D462" i="3"/>
  <c r="G462" i="3" s="1"/>
  <c r="K462" i="3"/>
  <c r="AE462" i="3" s="1"/>
  <c r="F462" i="3" l="1"/>
  <c r="V462" i="3"/>
  <c r="A463" i="3"/>
  <c r="B463" i="3" s="1"/>
  <c r="I462" i="3"/>
  <c r="J462" i="3"/>
  <c r="M462" i="3"/>
  <c r="N462" i="3" s="1"/>
  <c r="W462" i="3" l="1"/>
  <c r="L462" i="3"/>
  <c r="P463" i="3"/>
  <c r="Q463" i="3" s="1"/>
  <c r="R463" i="3" s="1"/>
  <c r="S463" i="3" s="1"/>
  <c r="AC463" i="3"/>
  <c r="Z463" i="3"/>
  <c r="AA463" i="3"/>
  <c r="AD463" i="3"/>
  <c r="U462" i="3" l="1"/>
  <c r="Y461" i="3"/>
  <c r="T463" i="3"/>
  <c r="AH463" i="3" s="1"/>
  <c r="AG463" i="3" l="1"/>
  <c r="D463" i="3"/>
  <c r="E463" i="3"/>
  <c r="H463" i="3" s="1"/>
  <c r="F463" i="3" l="1"/>
  <c r="G463" i="3"/>
  <c r="K463" i="3"/>
  <c r="AE463" i="3" s="1"/>
  <c r="V463" i="3" l="1"/>
  <c r="A464" i="3"/>
  <c r="B464" i="3" s="1"/>
  <c r="I463" i="3"/>
  <c r="J463" i="3"/>
  <c r="M463" i="3"/>
  <c r="N463" i="3" s="1"/>
  <c r="W463" i="3" l="1"/>
  <c r="L463" i="3"/>
  <c r="Z464" i="3"/>
  <c r="AC464" i="3"/>
  <c r="P464" i="3"/>
  <c r="Q464" i="3" s="1"/>
  <c r="R464" i="3" s="1"/>
  <c r="S464" i="3" s="1"/>
  <c r="AA464" i="3"/>
  <c r="T464" i="3" l="1"/>
  <c r="AG464" i="3" s="1"/>
  <c r="U463" i="3"/>
  <c r="Y462" i="3"/>
  <c r="AH464" i="3" l="1"/>
  <c r="D464" i="3"/>
  <c r="E464" i="3"/>
  <c r="H464" i="3" s="1"/>
  <c r="K464" i="3" l="1"/>
  <c r="AE464" i="3" s="1"/>
  <c r="F464" i="3"/>
  <c r="G464" i="3"/>
  <c r="I464" i="3" l="1"/>
  <c r="J464" i="3"/>
  <c r="AD464" i="3" s="1"/>
  <c r="M464" i="3"/>
  <c r="N464" i="3" s="1"/>
  <c r="V464" i="3"/>
  <c r="A465" i="3"/>
  <c r="B465" i="3" s="1"/>
  <c r="W464" i="3" l="1"/>
  <c r="L464" i="3"/>
  <c r="Z465" i="3"/>
  <c r="P465" i="3"/>
  <c r="Q465" i="3" s="1"/>
  <c r="R465" i="3" s="1"/>
  <c r="S465" i="3" s="1"/>
  <c r="AC465" i="3"/>
  <c r="AA465" i="3"/>
  <c r="T465" i="3" l="1"/>
  <c r="AH465" i="3" s="1"/>
  <c r="U464" i="3"/>
  <c r="Y463" i="3"/>
  <c r="D465" i="3" l="1"/>
  <c r="G465" i="3" s="1"/>
  <c r="E465" i="3"/>
  <c r="H465" i="3" s="1"/>
  <c r="AG465" i="3"/>
  <c r="F465" i="3" l="1"/>
  <c r="I465" i="3"/>
  <c r="J465" i="3"/>
  <c r="AD465" i="3" s="1"/>
  <c r="M465" i="3"/>
  <c r="N465" i="3" s="1"/>
  <c r="K465" i="3"/>
  <c r="AE465" i="3" s="1"/>
  <c r="V465" i="3" l="1"/>
  <c r="W465" i="3" s="1"/>
  <c r="A466" i="3"/>
  <c r="B466" i="3" s="1"/>
  <c r="L465" i="3"/>
  <c r="U465" i="3" l="1"/>
  <c r="Y464" i="3"/>
  <c r="AA466" i="3"/>
  <c r="AC466" i="3"/>
  <c r="Z466" i="3"/>
  <c r="P466" i="3"/>
  <c r="Q466" i="3" s="1"/>
  <c r="R466" i="3" s="1"/>
  <c r="S466" i="3" s="1"/>
  <c r="T466" i="3" l="1"/>
  <c r="AH466" i="3" s="1"/>
  <c r="AG466" i="3" l="1"/>
  <c r="E466" i="3"/>
  <c r="H466" i="3" s="1"/>
  <c r="K466" i="3" s="1"/>
  <c r="AE466" i="3" s="1"/>
  <c r="D466" i="3"/>
  <c r="G466" i="3" s="1"/>
  <c r="F466" i="3" l="1"/>
  <c r="I466" i="3"/>
  <c r="J466" i="3"/>
  <c r="AD466" i="3" s="1"/>
  <c r="M466" i="3"/>
  <c r="N466" i="3" s="1"/>
  <c r="V466" i="3"/>
  <c r="A467" i="3"/>
  <c r="B467" i="3" s="1"/>
  <c r="W466" i="3" l="1"/>
  <c r="L466" i="3"/>
  <c r="P467" i="3"/>
  <c r="Q467" i="3" s="1"/>
  <c r="R467" i="3" s="1"/>
  <c r="S467" i="3" s="1"/>
  <c r="AA467" i="3"/>
  <c r="Z467" i="3"/>
  <c r="AC467" i="3"/>
  <c r="U466" i="3" l="1"/>
  <c r="Y465" i="3"/>
  <c r="T467" i="3"/>
  <c r="E467" i="3" l="1"/>
  <c r="H467" i="3" s="1"/>
  <c r="K467" i="3" s="1"/>
  <c r="AE467" i="3" s="1"/>
  <c r="AG467" i="3"/>
  <c r="D467" i="3"/>
  <c r="AH467" i="3"/>
  <c r="F467" i="3" l="1"/>
  <c r="G467" i="3"/>
  <c r="V467" i="3"/>
  <c r="A468" i="3"/>
  <c r="B468" i="3" s="1"/>
  <c r="AC468" i="3" l="1"/>
  <c r="Z468" i="3"/>
  <c r="P468" i="3"/>
  <c r="Q468" i="3" s="1"/>
  <c r="R468" i="3" s="1"/>
  <c r="S468" i="3" s="1"/>
  <c r="AA468" i="3"/>
  <c r="I467" i="3"/>
  <c r="W467" i="3" s="1"/>
  <c r="J467" i="3"/>
  <c r="AD467" i="3" s="1"/>
  <c r="M467" i="3"/>
  <c r="N467" i="3" s="1"/>
  <c r="L467" i="3" l="1"/>
  <c r="T468" i="3"/>
  <c r="U467" i="3" l="1"/>
  <c r="D468" i="3" s="1"/>
  <c r="AH468" i="3"/>
  <c r="AG468" i="3"/>
  <c r="Y466" i="3"/>
  <c r="E468" i="3" l="1"/>
  <c r="H468" i="3" s="1"/>
  <c r="K468" i="3" s="1"/>
  <c r="AE468" i="3" s="1"/>
  <c r="G468" i="3"/>
  <c r="F468" i="3" l="1"/>
  <c r="I468" i="3"/>
  <c r="J468" i="3"/>
  <c r="AD468" i="3" s="1"/>
  <c r="M468" i="3"/>
  <c r="N468" i="3" s="1"/>
  <c r="V468" i="3"/>
  <c r="A469" i="3"/>
  <c r="B469" i="3" s="1"/>
  <c r="W468" i="3" l="1"/>
  <c r="L468" i="3"/>
  <c r="AA469" i="3"/>
  <c r="P469" i="3"/>
  <c r="Q469" i="3" s="1"/>
  <c r="R469" i="3" s="1"/>
  <c r="S469" i="3" s="1"/>
  <c r="Z469" i="3"/>
  <c r="AC469" i="3"/>
  <c r="U468" i="3" l="1"/>
  <c r="Y467" i="3"/>
  <c r="T469" i="3"/>
  <c r="AG469" i="3" s="1"/>
  <c r="D469" i="3" l="1"/>
  <c r="G469" i="3" s="1"/>
  <c r="AH469" i="3"/>
  <c r="E469" i="3"/>
  <c r="H469" i="3" s="1"/>
  <c r="K469" i="3" s="1"/>
  <c r="AE469" i="3" s="1"/>
  <c r="F469" i="3" l="1"/>
  <c r="I469" i="3"/>
  <c r="J469" i="3"/>
  <c r="AD469" i="3" s="1"/>
  <c r="M469" i="3"/>
  <c r="N469" i="3" s="1"/>
  <c r="V469" i="3"/>
  <c r="A470" i="3"/>
  <c r="B470" i="3" s="1"/>
  <c r="W469" i="3" l="1"/>
  <c r="L469" i="3"/>
  <c r="AC470" i="3"/>
  <c r="P470" i="3"/>
  <c r="Q470" i="3" s="1"/>
  <c r="R470" i="3" s="1"/>
  <c r="S470" i="3" s="1"/>
  <c r="AA470" i="3"/>
  <c r="Z470" i="3"/>
  <c r="U469" i="3" l="1"/>
  <c r="Y468" i="3"/>
  <c r="T470" i="3"/>
  <c r="D470" i="3" l="1"/>
  <c r="G470" i="3" s="1"/>
  <c r="AH470" i="3"/>
  <c r="AG470" i="3"/>
  <c r="E470" i="3"/>
  <c r="H470" i="3" s="1"/>
  <c r="K470" i="3" l="1"/>
  <c r="AE470" i="3" s="1"/>
  <c r="F470" i="3"/>
  <c r="I470" i="3"/>
  <c r="J470" i="3"/>
  <c r="AD470" i="3" s="1"/>
  <c r="M470" i="3"/>
  <c r="N470" i="3" s="1"/>
  <c r="V470" i="3" l="1"/>
  <c r="W470" i="3" s="1"/>
  <c r="A471" i="3"/>
  <c r="B471" i="3" s="1"/>
  <c r="L470" i="3"/>
  <c r="U470" i="3" l="1"/>
  <c r="Y469" i="3"/>
  <c r="Z471" i="3"/>
  <c r="AA471" i="3"/>
  <c r="AC471" i="3"/>
  <c r="P471" i="3"/>
  <c r="Q471" i="3" s="1"/>
  <c r="R471" i="3" s="1"/>
  <c r="S471" i="3" s="1"/>
  <c r="T471" i="3" l="1"/>
  <c r="AH471" i="3" s="1"/>
  <c r="AG471" i="3" l="1"/>
  <c r="E471" i="3"/>
  <c r="H471" i="3" s="1"/>
  <c r="D471" i="3"/>
  <c r="F471" i="3" l="1"/>
  <c r="G471" i="3"/>
  <c r="K471" i="3"/>
  <c r="AE471" i="3" s="1"/>
  <c r="V471" i="3" l="1"/>
  <c r="A472" i="3"/>
  <c r="B472" i="3" s="1"/>
  <c r="I471" i="3"/>
  <c r="J471" i="3"/>
  <c r="AD471" i="3" s="1"/>
  <c r="M471" i="3"/>
  <c r="N471" i="3" s="1"/>
  <c r="W471" i="3" l="1"/>
  <c r="L471" i="3"/>
  <c r="Z472" i="3"/>
  <c r="AA472" i="3"/>
  <c r="P472" i="3"/>
  <c r="Q472" i="3" s="1"/>
  <c r="R472" i="3" s="1"/>
  <c r="S472" i="3" s="1"/>
  <c r="AC472" i="3"/>
  <c r="U471" i="3" l="1"/>
  <c r="Y470" i="3"/>
  <c r="T472" i="3"/>
  <c r="E472" i="3" l="1"/>
  <c r="H472" i="3" s="1"/>
  <c r="K472" i="3" s="1"/>
  <c r="AE472" i="3" s="1"/>
  <c r="AG472" i="3"/>
  <c r="AH472" i="3"/>
  <c r="D472" i="3"/>
  <c r="V472" i="3" l="1"/>
  <c r="A473" i="3"/>
  <c r="B473" i="3" s="1"/>
  <c r="F472" i="3"/>
  <c r="G472" i="3"/>
  <c r="I472" i="3" l="1"/>
  <c r="W472" i="3" s="1"/>
  <c r="J472" i="3"/>
  <c r="AD472" i="3" s="1"/>
  <c r="M472" i="3"/>
  <c r="N472" i="3" s="1"/>
  <c r="AC473" i="3"/>
  <c r="P473" i="3"/>
  <c r="Q473" i="3" s="1"/>
  <c r="R473" i="3" s="1"/>
  <c r="S473" i="3" s="1"/>
  <c r="Z473" i="3"/>
  <c r="AA473" i="3"/>
  <c r="L472" i="3" l="1"/>
  <c r="T473" i="3"/>
  <c r="U472" i="3" l="1"/>
  <c r="D473" i="3" s="1"/>
  <c r="AH473" i="3"/>
  <c r="AG473" i="3"/>
  <c r="Y471" i="3"/>
  <c r="G473" i="3" l="1"/>
  <c r="E473" i="3"/>
  <c r="H473" i="3" s="1"/>
  <c r="F473" i="3" l="1"/>
  <c r="I473" i="3"/>
  <c r="J473" i="3"/>
  <c r="AD473" i="3" s="1"/>
  <c r="M473" i="3"/>
  <c r="N473" i="3" s="1"/>
  <c r="K473" i="3"/>
  <c r="AE473" i="3" s="1"/>
  <c r="V473" i="3" l="1"/>
  <c r="W473" i="3" s="1"/>
  <c r="A474" i="3"/>
  <c r="B474" i="3" s="1"/>
  <c r="L473" i="3"/>
  <c r="U473" i="3" l="1"/>
  <c r="Y472" i="3"/>
  <c r="P474" i="3"/>
  <c r="Q474" i="3" s="1"/>
  <c r="R474" i="3" s="1"/>
  <c r="S474" i="3" s="1"/>
  <c r="Z474" i="3"/>
  <c r="AA474" i="3"/>
  <c r="AC474" i="3"/>
  <c r="T474" i="3" l="1"/>
  <c r="D474" i="3" s="1"/>
  <c r="AG474" i="3" l="1"/>
  <c r="AH474" i="3"/>
  <c r="G474" i="3"/>
  <c r="E474" i="3"/>
  <c r="H474" i="3" s="1"/>
  <c r="I474" i="3" l="1"/>
  <c r="J474" i="3"/>
  <c r="AD474" i="3" s="1"/>
  <c r="M474" i="3"/>
  <c r="N474" i="3" s="1"/>
  <c r="F474" i="3"/>
  <c r="K474" i="3"/>
  <c r="AE474" i="3" s="1"/>
  <c r="V474" i="3" l="1"/>
  <c r="W474" i="3" s="1"/>
  <c r="A475" i="3"/>
  <c r="B475" i="3" s="1"/>
  <c r="L474" i="3"/>
  <c r="U474" i="3" l="1"/>
  <c r="Y473" i="3"/>
  <c r="AC475" i="3"/>
  <c r="Z475" i="3"/>
  <c r="P475" i="3"/>
  <c r="Q475" i="3" s="1"/>
  <c r="R475" i="3" s="1"/>
  <c r="S475" i="3" s="1"/>
  <c r="AD475" i="3"/>
  <c r="AA475" i="3"/>
  <c r="T475" i="3" l="1"/>
  <c r="AG475" i="3" s="1"/>
  <c r="AH475" i="3" l="1"/>
  <c r="E475" i="3"/>
  <c r="H475" i="3" s="1"/>
  <c r="K475" i="3" s="1"/>
  <c r="AE475" i="3" s="1"/>
  <c r="D475" i="3"/>
  <c r="F475" i="3" l="1"/>
  <c r="G475" i="3"/>
  <c r="M475" i="3" s="1"/>
  <c r="N475" i="3" s="1"/>
  <c r="V475" i="3"/>
  <c r="A476" i="3"/>
  <c r="B476" i="3" s="1"/>
  <c r="I475" i="3" l="1"/>
  <c r="W475" i="3" s="1"/>
  <c r="J475" i="3"/>
  <c r="L475" i="3" s="1"/>
  <c r="P476" i="3"/>
  <c r="Q476" i="3" s="1"/>
  <c r="R476" i="3" s="1"/>
  <c r="S476" i="3" s="1"/>
  <c r="AA476" i="3"/>
  <c r="AD476" i="3"/>
  <c r="Z476" i="3"/>
  <c r="AC476" i="3"/>
  <c r="U475" i="3" l="1"/>
  <c r="Y474" i="3"/>
  <c r="T476" i="3"/>
  <c r="AG476" i="3" s="1"/>
  <c r="D476" i="3" l="1"/>
  <c r="G476" i="3" s="1"/>
  <c r="E476" i="3"/>
  <c r="H476" i="3" s="1"/>
  <c r="K476" i="3" s="1"/>
  <c r="AE476" i="3" s="1"/>
  <c r="AH476" i="3"/>
  <c r="F476" i="3" l="1"/>
  <c r="V476" i="3"/>
  <c r="A477" i="3"/>
  <c r="B477" i="3" s="1"/>
  <c r="I476" i="3"/>
  <c r="J476" i="3"/>
  <c r="M476" i="3"/>
  <c r="N476" i="3" s="1"/>
  <c r="W476" i="3" l="1"/>
  <c r="L476" i="3"/>
  <c r="AA477" i="3"/>
  <c r="P477" i="3"/>
  <c r="Q477" i="3" s="1"/>
  <c r="R477" i="3" s="1"/>
  <c r="S477" i="3" s="1"/>
  <c r="AC477" i="3"/>
  <c r="Z477" i="3"/>
  <c r="U476" i="3" l="1"/>
  <c r="Y475" i="3"/>
  <c r="T477" i="3"/>
  <c r="D477" i="3" l="1"/>
  <c r="G477" i="3" s="1"/>
  <c r="AG477" i="3"/>
  <c r="E477" i="3"/>
  <c r="H477" i="3" s="1"/>
  <c r="K477" i="3" s="1"/>
  <c r="AE477" i="3" s="1"/>
  <c r="AH477" i="3"/>
  <c r="F477" i="3" l="1"/>
  <c r="V477" i="3"/>
  <c r="A478" i="3"/>
  <c r="B478" i="3" s="1"/>
  <c r="I477" i="3"/>
  <c r="J477" i="3"/>
  <c r="AD477" i="3" s="1"/>
  <c r="M477" i="3"/>
  <c r="N477" i="3" s="1"/>
  <c r="W477" i="3" l="1"/>
  <c r="L477" i="3"/>
  <c r="AA478" i="3"/>
  <c r="P478" i="3"/>
  <c r="Q478" i="3" s="1"/>
  <c r="R478" i="3" s="1"/>
  <c r="S478" i="3" s="1"/>
  <c r="AC478" i="3"/>
  <c r="Z478" i="3"/>
  <c r="T478" i="3" l="1"/>
  <c r="U477" i="3"/>
  <c r="Y476" i="3"/>
  <c r="E478" i="3" l="1"/>
  <c r="H478" i="3" s="1"/>
  <c r="K478" i="3" s="1"/>
  <c r="AE478" i="3" s="1"/>
  <c r="AG478" i="3"/>
  <c r="AH478" i="3"/>
  <c r="D478" i="3"/>
  <c r="F478" i="3" l="1"/>
  <c r="G478" i="3"/>
  <c r="V478" i="3"/>
  <c r="A479" i="3"/>
  <c r="B479" i="3" s="1"/>
  <c r="I478" i="3" l="1"/>
  <c r="W478" i="3" s="1"/>
  <c r="J478" i="3"/>
  <c r="AD478" i="3" s="1"/>
  <c r="M478" i="3"/>
  <c r="N478" i="3" s="1"/>
  <c r="P479" i="3"/>
  <c r="Q479" i="3" s="1"/>
  <c r="R479" i="3" s="1"/>
  <c r="S479" i="3" s="1"/>
  <c r="AD479" i="3"/>
  <c r="AC479" i="3"/>
  <c r="AA479" i="3"/>
  <c r="Z479" i="3"/>
  <c r="T479" i="3" l="1"/>
  <c r="L478" i="3"/>
  <c r="U478" i="3" l="1"/>
  <c r="E479" i="3" s="1"/>
  <c r="H479" i="3" s="1"/>
  <c r="AH479" i="3"/>
  <c r="AG479" i="3"/>
  <c r="Y477" i="3"/>
  <c r="D479" i="3" l="1"/>
  <c r="G479" i="3" s="1"/>
  <c r="K479" i="3"/>
  <c r="AE479" i="3" s="1"/>
  <c r="F479" i="3" l="1"/>
  <c r="I479" i="3"/>
  <c r="J479" i="3"/>
  <c r="M479" i="3"/>
  <c r="N479" i="3" s="1"/>
  <c r="V479" i="3"/>
  <c r="A480" i="3"/>
  <c r="B480" i="3" s="1"/>
  <c r="W479" i="3" l="1"/>
  <c r="AA480" i="3"/>
  <c r="P480" i="3"/>
  <c r="Q480" i="3" s="1"/>
  <c r="R480" i="3" s="1"/>
  <c r="S480" i="3" s="1"/>
  <c r="AD480" i="3"/>
  <c r="AC480" i="3"/>
  <c r="Z480" i="3"/>
  <c r="L479" i="3"/>
  <c r="U479" i="3" l="1"/>
  <c r="Y478" i="3"/>
  <c r="T480" i="3"/>
  <c r="E480" i="3" l="1"/>
  <c r="H480" i="3" s="1"/>
  <c r="K480" i="3" s="1"/>
  <c r="AE480" i="3" s="1"/>
  <c r="AH480" i="3"/>
  <c r="AG480" i="3"/>
  <c r="D480" i="3"/>
  <c r="V480" i="3" l="1"/>
  <c r="A481" i="3"/>
  <c r="B481" i="3" s="1"/>
  <c r="F480" i="3"/>
  <c r="G480" i="3"/>
  <c r="I480" i="3" l="1"/>
  <c r="W480" i="3" s="1"/>
  <c r="J480" i="3"/>
  <c r="M480" i="3"/>
  <c r="N480" i="3" s="1"/>
  <c r="P481" i="3"/>
  <c r="Q481" i="3" s="1"/>
  <c r="R481" i="3" s="1"/>
  <c r="S481" i="3" s="1"/>
  <c r="AC481" i="3"/>
  <c r="AA481" i="3"/>
  <c r="AD481" i="3"/>
  <c r="Z481" i="3"/>
  <c r="T481" i="3" l="1"/>
  <c r="L480" i="3"/>
  <c r="U480" i="3" l="1"/>
  <c r="D481" i="3" s="1"/>
  <c r="AG481" i="3"/>
  <c r="AH481" i="3"/>
  <c r="Y479" i="3"/>
  <c r="G481" i="3" l="1"/>
  <c r="E481" i="3"/>
  <c r="H481" i="3" s="1"/>
  <c r="K481" i="3" l="1"/>
  <c r="AE481" i="3" s="1"/>
  <c r="I481" i="3"/>
  <c r="J481" i="3"/>
  <c r="M481" i="3"/>
  <c r="N481" i="3" s="1"/>
  <c r="F481" i="3"/>
  <c r="V481" i="3" l="1"/>
  <c r="W481" i="3" s="1"/>
  <c r="A482" i="3"/>
  <c r="B482" i="3" s="1"/>
  <c r="L481" i="3"/>
  <c r="U481" i="3" l="1"/>
  <c r="Y480" i="3"/>
  <c r="AC482" i="3"/>
  <c r="AA482" i="3"/>
  <c r="P482" i="3"/>
  <c r="Q482" i="3" s="1"/>
  <c r="R482" i="3" s="1"/>
  <c r="S482" i="3" s="1"/>
  <c r="AD482" i="3"/>
  <c r="Z482" i="3"/>
  <c r="T482" i="3" l="1"/>
  <c r="D482" i="3" s="1"/>
  <c r="AG482" i="3" l="1"/>
  <c r="G482" i="3"/>
  <c r="AH482" i="3"/>
  <c r="E482" i="3"/>
  <c r="H482" i="3" s="1"/>
  <c r="F482" i="3" l="1"/>
  <c r="I482" i="3"/>
  <c r="J482" i="3"/>
  <c r="M482" i="3"/>
  <c r="N482" i="3" s="1"/>
  <c r="K482" i="3"/>
  <c r="AE482" i="3" s="1"/>
  <c r="V482" i="3" l="1"/>
  <c r="W482" i="3" s="1"/>
  <c r="A483" i="3"/>
  <c r="B483" i="3" s="1"/>
  <c r="L482" i="3"/>
  <c r="U482" i="3" l="1"/>
  <c r="Y481" i="3"/>
  <c r="P483" i="3"/>
  <c r="Q483" i="3" s="1"/>
  <c r="R483" i="3" s="1"/>
  <c r="S483" i="3" s="1"/>
  <c r="Z483" i="3"/>
  <c r="AC483" i="3"/>
  <c r="AD483" i="3"/>
  <c r="AA483" i="3"/>
  <c r="T483" i="3" l="1"/>
  <c r="E483" i="3" s="1"/>
  <c r="H483" i="3" s="1"/>
  <c r="AG483" i="3" l="1"/>
  <c r="AH483" i="3"/>
  <c r="D483" i="3"/>
  <c r="G483" i="3" s="1"/>
  <c r="K483" i="3"/>
  <c r="AE483" i="3" s="1"/>
  <c r="F483" i="3" l="1"/>
  <c r="I483" i="3"/>
  <c r="J483" i="3"/>
  <c r="M483" i="3"/>
  <c r="N483" i="3" s="1"/>
  <c r="V483" i="3"/>
  <c r="A484" i="3"/>
  <c r="B484" i="3" s="1"/>
  <c r="W483" i="3" l="1"/>
  <c r="L483" i="3"/>
  <c r="AC484" i="3"/>
  <c r="Z484" i="3"/>
  <c r="AA484" i="3"/>
  <c r="P484" i="3"/>
  <c r="Q484" i="3" s="1"/>
  <c r="R484" i="3" s="1"/>
  <c r="S484" i="3" s="1"/>
  <c r="T484" i="3" l="1"/>
  <c r="U483" i="3"/>
  <c r="Y482" i="3"/>
  <c r="E484" i="3" l="1"/>
  <c r="H484" i="3" s="1"/>
  <c r="K484" i="3" s="1"/>
  <c r="AE484" i="3" s="1"/>
  <c r="D484" i="3"/>
  <c r="G484" i="3" s="1"/>
  <c r="AG484" i="3"/>
  <c r="AH484" i="3"/>
  <c r="F484" i="3" l="1"/>
  <c r="V484" i="3"/>
  <c r="A485" i="3"/>
  <c r="B485" i="3" s="1"/>
  <c r="I484" i="3"/>
  <c r="J484" i="3"/>
  <c r="AD484" i="3" s="1"/>
  <c r="M484" i="3"/>
  <c r="N484" i="3" s="1"/>
  <c r="W484" i="3" l="1"/>
  <c r="L484" i="3"/>
  <c r="P485" i="3"/>
  <c r="Q485" i="3" s="1"/>
  <c r="R485" i="3" s="1"/>
  <c r="S485" i="3" s="1"/>
  <c r="AD485" i="3"/>
  <c r="AA485" i="3"/>
  <c r="AC485" i="3"/>
  <c r="Z485" i="3"/>
  <c r="U484" i="3" l="1"/>
  <c r="Y483" i="3"/>
  <c r="T485" i="3"/>
  <c r="D485" i="3" l="1"/>
  <c r="G485" i="3" s="1"/>
  <c r="AG485" i="3"/>
  <c r="AH485" i="3"/>
  <c r="E485" i="3"/>
  <c r="H485" i="3" s="1"/>
  <c r="K485" i="3" s="1"/>
  <c r="AE485" i="3" s="1"/>
  <c r="F485" i="3" l="1"/>
  <c r="I485" i="3"/>
  <c r="J485" i="3"/>
  <c r="M485" i="3"/>
  <c r="N485" i="3" s="1"/>
  <c r="V485" i="3"/>
  <c r="A486" i="3"/>
  <c r="B486" i="3" s="1"/>
  <c r="W485" i="3" l="1"/>
  <c r="L485" i="3"/>
  <c r="AA486" i="3"/>
  <c r="P486" i="3"/>
  <c r="Q486" i="3" s="1"/>
  <c r="R486" i="3" s="1"/>
  <c r="S486" i="3" s="1"/>
  <c r="AC486" i="3"/>
  <c r="AD486" i="3"/>
  <c r="Z486" i="3"/>
  <c r="T486" i="3" l="1"/>
  <c r="AH486" i="3" s="1"/>
  <c r="U485" i="3"/>
  <c r="Y484" i="3"/>
  <c r="D486" i="3" l="1"/>
  <c r="G486" i="3" s="1"/>
  <c r="AG486" i="3"/>
  <c r="E486" i="3"/>
  <c r="H486" i="3" s="1"/>
  <c r="K486" i="3" s="1"/>
  <c r="AE486" i="3" s="1"/>
  <c r="F486" i="3" l="1"/>
  <c r="V486" i="3"/>
  <c r="A487" i="3"/>
  <c r="B487" i="3" s="1"/>
  <c r="I486" i="3"/>
  <c r="J486" i="3"/>
  <c r="M486" i="3"/>
  <c r="N486" i="3" s="1"/>
  <c r="W486" i="3" l="1"/>
  <c r="L486" i="3"/>
  <c r="AA487" i="3"/>
  <c r="P487" i="3"/>
  <c r="Q487" i="3" s="1"/>
  <c r="R487" i="3" s="1"/>
  <c r="S487" i="3" s="1"/>
  <c r="AC487" i="3"/>
  <c r="Z487" i="3"/>
  <c r="T487" i="3" l="1"/>
  <c r="U486" i="3"/>
  <c r="Y485" i="3"/>
  <c r="E487" i="3" l="1"/>
  <c r="H487" i="3" s="1"/>
  <c r="K487" i="3" s="1"/>
  <c r="AE487" i="3" s="1"/>
  <c r="D487" i="3"/>
  <c r="AH487" i="3"/>
  <c r="AG487" i="3"/>
  <c r="V487" i="3" l="1"/>
  <c r="A488" i="3"/>
  <c r="B488" i="3" s="1"/>
  <c r="F487" i="3"/>
  <c r="G487" i="3"/>
  <c r="I487" i="3" l="1"/>
  <c r="W487" i="3" s="1"/>
  <c r="J487" i="3"/>
  <c r="AD487" i="3" s="1"/>
  <c r="M487" i="3"/>
  <c r="N487" i="3" s="1"/>
  <c r="AA488" i="3"/>
  <c r="Z488" i="3"/>
  <c r="P488" i="3"/>
  <c r="Q488" i="3" s="1"/>
  <c r="R488" i="3" s="1"/>
  <c r="S488" i="3" s="1"/>
  <c r="AC488" i="3"/>
  <c r="L487" i="3" l="1"/>
  <c r="T488" i="3"/>
  <c r="U487" i="3" l="1"/>
  <c r="D488" i="3" s="1"/>
  <c r="AG488" i="3"/>
  <c r="AH488" i="3"/>
  <c r="Y486" i="3"/>
  <c r="E488" i="3" l="1"/>
  <c r="H488" i="3" s="1"/>
  <c r="K488" i="3" s="1"/>
  <c r="AE488" i="3" s="1"/>
  <c r="G488" i="3"/>
  <c r="F488" i="3" l="1"/>
  <c r="I488" i="3"/>
  <c r="J488" i="3"/>
  <c r="AD488" i="3" s="1"/>
  <c r="M488" i="3"/>
  <c r="N488" i="3" s="1"/>
  <c r="V488" i="3"/>
  <c r="A489" i="3"/>
  <c r="B489" i="3" s="1"/>
  <c r="W488" i="3" l="1"/>
  <c r="L488" i="3"/>
  <c r="P489" i="3"/>
  <c r="Q489" i="3" s="1"/>
  <c r="R489" i="3" s="1"/>
  <c r="S489" i="3" s="1"/>
  <c r="AC489" i="3"/>
  <c r="AA489" i="3"/>
  <c r="AD489" i="3"/>
  <c r="Z489" i="3"/>
  <c r="U488" i="3" l="1"/>
  <c r="Y487" i="3"/>
  <c r="T489" i="3"/>
  <c r="AH489" i="3" s="1"/>
  <c r="AG489" i="3" l="1"/>
  <c r="D489" i="3"/>
  <c r="E489" i="3"/>
  <c r="H489" i="3" s="1"/>
  <c r="K489" i="3" s="1"/>
  <c r="AE489" i="3" s="1"/>
  <c r="F489" i="3" l="1"/>
  <c r="G489" i="3"/>
  <c r="M489" i="3" s="1"/>
  <c r="N489" i="3" s="1"/>
  <c r="V489" i="3"/>
  <c r="A490" i="3"/>
  <c r="B490" i="3" s="1"/>
  <c r="I489" i="3" l="1"/>
  <c r="W489" i="3" s="1"/>
  <c r="J489" i="3"/>
  <c r="L489" i="3" s="1"/>
  <c r="Z490" i="3"/>
  <c r="AC490" i="3"/>
  <c r="P490" i="3"/>
  <c r="Q490" i="3" s="1"/>
  <c r="R490" i="3" s="1"/>
  <c r="S490" i="3" s="1"/>
  <c r="AD490" i="3"/>
  <c r="AA490" i="3"/>
  <c r="T490" i="3" l="1"/>
  <c r="AH490" i="3" s="1"/>
  <c r="U489" i="3"/>
  <c r="Y488" i="3"/>
  <c r="E490" i="3" l="1"/>
  <c r="H490" i="3" s="1"/>
  <c r="K490" i="3" s="1"/>
  <c r="AE490" i="3" s="1"/>
  <c r="D490" i="3"/>
  <c r="AG490" i="3"/>
  <c r="V490" i="3" l="1"/>
  <c r="A491" i="3"/>
  <c r="B491" i="3" s="1"/>
  <c r="F490" i="3"/>
  <c r="G490" i="3"/>
  <c r="I490" i="3" l="1"/>
  <c r="W490" i="3" s="1"/>
  <c r="J490" i="3"/>
  <c r="M490" i="3"/>
  <c r="N490" i="3" s="1"/>
  <c r="P491" i="3"/>
  <c r="Q491" i="3" s="1"/>
  <c r="R491" i="3" s="1"/>
  <c r="S491" i="3" s="1"/>
  <c r="Z491" i="3"/>
  <c r="AD491" i="3"/>
  <c r="AC491" i="3"/>
  <c r="AA491" i="3"/>
  <c r="T491" i="3" l="1"/>
  <c r="L490" i="3"/>
  <c r="AH491" i="3" l="1"/>
  <c r="U490" i="3"/>
  <c r="D491" i="3" s="1"/>
  <c r="AG491" i="3"/>
  <c r="Y489" i="3"/>
  <c r="E491" i="3" l="1"/>
  <c r="H491" i="3" s="1"/>
  <c r="K491" i="3" s="1"/>
  <c r="AE491" i="3" s="1"/>
  <c r="G491" i="3"/>
  <c r="F491" i="3" l="1"/>
  <c r="I491" i="3"/>
  <c r="J491" i="3"/>
  <c r="M491" i="3"/>
  <c r="N491" i="3" s="1"/>
  <c r="V491" i="3"/>
  <c r="A492" i="3"/>
  <c r="B492" i="3" s="1"/>
  <c r="W491" i="3" l="1"/>
  <c r="L491" i="3"/>
  <c r="AC492" i="3"/>
  <c r="AA492" i="3"/>
  <c r="P492" i="3"/>
  <c r="Q492" i="3" s="1"/>
  <c r="R492" i="3" s="1"/>
  <c r="S492" i="3" s="1"/>
  <c r="Z492" i="3"/>
  <c r="AD492" i="3"/>
  <c r="T492" i="3" l="1"/>
  <c r="U491" i="3"/>
  <c r="Y490" i="3"/>
  <c r="D492" i="3" l="1"/>
  <c r="G492" i="3" s="1"/>
  <c r="AH492" i="3"/>
  <c r="AG492" i="3"/>
  <c r="E492" i="3"/>
  <c r="H492" i="3" s="1"/>
  <c r="F492" i="3" l="1"/>
  <c r="I492" i="3"/>
  <c r="J492" i="3"/>
  <c r="M492" i="3"/>
  <c r="N492" i="3" s="1"/>
  <c r="K492" i="3"/>
  <c r="AE492" i="3" s="1"/>
  <c r="L492" i="3" l="1"/>
  <c r="V492" i="3"/>
  <c r="W492" i="3" s="1"/>
  <c r="A493" i="3"/>
  <c r="B493" i="3" s="1"/>
  <c r="U492" i="3" l="1"/>
  <c r="Y491" i="3"/>
  <c r="P493" i="3"/>
  <c r="Q493" i="3" s="1"/>
  <c r="R493" i="3" s="1"/>
  <c r="S493" i="3" s="1"/>
  <c r="AC493" i="3"/>
  <c r="AA493" i="3"/>
  <c r="Z493" i="3"/>
  <c r="AD493" i="3"/>
  <c r="T493" i="3" l="1"/>
  <c r="AH493" i="3" s="1"/>
  <c r="AG493" i="3" l="1"/>
  <c r="E493" i="3"/>
  <c r="H493" i="3" s="1"/>
  <c r="K493" i="3" s="1"/>
  <c r="AE493" i="3" s="1"/>
  <c r="D493" i="3"/>
  <c r="F493" i="3" l="1"/>
  <c r="G493" i="3"/>
  <c r="J493" i="3" s="1"/>
  <c r="V493" i="3"/>
  <c r="A494" i="3"/>
  <c r="B494" i="3" s="1"/>
  <c r="M493" i="3" l="1"/>
  <c r="N493" i="3" s="1"/>
  <c r="I493" i="3"/>
  <c r="W493" i="3" s="1"/>
  <c r="L493" i="3"/>
  <c r="P494" i="3"/>
  <c r="Q494" i="3" s="1"/>
  <c r="R494" i="3" s="1"/>
  <c r="S494" i="3" s="1"/>
  <c r="AC494" i="3"/>
  <c r="Z494" i="3"/>
  <c r="AA494" i="3"/>
  <c r="T494" i="3" l="1"/>
  <c r="AH494" i="3" s="1"/>
  <c r="U493" i="3"/>
  <c r="Y492" i="3"/>
  <c r="E494" i="3" l="1"/>
  <c r="H494" i="3" s="1"/>
  <c r="K494" i="3" s="1"/>
  <c r="AE494" i="3" s="1"/>
  <c r="D494" i="3"/>
  <c r="AG494" i="3"/>
  <c r="F494" i="3" l="1"/>
  <c r="G494" i="3"/>
  <c r="V494" i="3"/>
  <c r="A495" i="3"/>
  <c r="B495" i="3" s="1"/>
  <c r="Z495" i="3" l="1"/>
  <c r="P495" i="3"/>
  <c r="Q495" i="3" s="1"/>
  <c r="R495" i="3" s="1"/>
  <c r="S495" i="3" s="1"/>
  <c r="AA495" i="3"/>
  <c r="AC495" i="3"/>
  <c r="I494" i="3"/>
  <c r="W494" i="3" s="1"/>
  <c r="J494" i="3"/>
  <c r="AD494" i="3" s="1"/>
  <c r="M494" i="3"/>
  <c r="N494" i="3" s="1"/>
  <c r="L494" i="3" l="1"/>
  <c r="T495" i="3"/>
  <c r="AG495" i="3" l="1"/>
  <c r="U494" i="3"/>
  <c r="D495" i="3" s="1"/>
  <c r="AH495" i="3"/>
  <c r="Y493" i="3"/>
  <c r="E495" i="3" l="1"/>
  <c r="H495" i="3" s="1"/>
  <c r="K495" i="3" s="1"/>
  <c r="AE495" i="3" s="1"/>
  <c r="G495" i="3"/>
  <c r="F495" i="3" l="1"/>
  <c r="V495" i="3"/>
  <c r="A496" i="3"/>
  <c r="B496" i="3" s="1"/>
  <c r="I495" i="3"/>
  <c r="J495" i="3"/>
  <c r="AD495" i="3" s="1"/>
  <c r="M495" i="3"/>
  <c r="N495" i="3" s="1"/>
  <c r="W495" i="3" l="1"/>
  <c r="L495" i="3"/>
  <c r="AA496" i="3"/>
  <c r="P496" i="3"/>
  <c r="Q496" i="3" s="1"/>
  <c r="R496" i="3" s="1"/>
  <c r="S496" i="3" s="1"/>
  <c r="Z496" i="3"/>
  <c r="AC496" i="3"/>
  <c r="U495" i="3" l="1"/>
  <c r="Y494" i="3"/>
  <c r="T496" i="3"/>
  <c r="AH496" i="3" s="1"/>
  <c r="D496" i="3" l="1"/>
  <c r="G496" i="3" s="1"/>
  <c r="AG496" i="3"/>
  <c r="E496" i="3"/>
  <c r="H496" i="3" s="1"/>
  <c r="K496" i="3" s="1"/>
  <c r="AE496" i="3" s="1"/>
  <c r="F496" i="3" l="1"/>
  <c r="V496" i="3"/>
  <c r="A497" i="3"/>
  <c r="B497" i="3" s="1"/>
  <c r="I496" i="3"/>
  <c r="J496" i="3"/>
  <c r="AD496" i="3" s="1"/>
  <c r="M496" i="3"/>
  <c r="N496" i="3" s="1"/>
  <c r="W496" i="3" l="1"/>
  <c r="L496" i="3"/>
  <c r="P497" i="3"/>
  <c r="Q497" i="3" s="1"/>
  <c r="R497" i="3" s="1"/>
  <c r="S497" i="3" s="1"/>
  <c r="AC497" i="3"/>
  <c r="AA497" i="3"/>
  <c r="Z497" i="3"/>
  <c r="U496" i="3" l="1"/>
  <c r="Y495" i="3"/>
  <c r="T497" i="3"/>
  <c r="AG497" i="3" s="1"/>
  <c r="E497" i="3" l="1"/>
  <c r="H497" i="3" s="1"/>
  <c r="D497" i="3"/>
  <c r="AH497" i="3"/>
  <c r="F497" i="3" l="1"/>
  <c r="G497" i="3"/>
  <c r="K497" i="3"/>
  <c r="AE497" i="3" s="1"/>
  <c r="I497" i="3" l="1"/>
  <c r="J497" i="3"/>
  <c r="AD497" i="3" s="1"/>
  <c r="M497" i="3"/>
  <c r="N497" i="3" s="1"/>
  <c r="V497" i="3"/>
  <c r="A498" i="3"/>
  <c r="B498" i="3" s="1"/>
  <c r="W497" i="3" l="1"/>
  <c r="L497" i="3"/>
  <c r="Z498" i="3"/>
  <c r="AC498" i="3"/>
  <c r="AA498" i="3"/>
  <c r="P498" i="3"/>
  <c r="Q498" i="3" s="1"/>
  <c r="R498" i="3" s="1"/>
  <c r="S498" i="3" s="1"/>
  <c r="U497" i="3" l="1"/>
  <c r="Y496" i="3"/>
  <c r="T498" i="3"/>
  <c r="AH498" i="3" s="1"/>
  <c r="AG498" i="3" l="1"/>
  <c r="D498" i="3"/>
  <c r="E498" i="3"/>
  <c r="H498" i="3" s="1"/>
  <c r="F498" i="3" l="1"/>
  <c r="G498" i="3"/>
  <c r="K498" i="3"/>
  <c r="AE498" i="3" s="1"/>
  <c r="I498" i="3" l="1"/>
  <c r="J498" i="3"/>
  <c r="AD498" i="3" s="1"/>
  <c r="M498" i="3"/>
  <c r="N498" i="3" s="1"/>
  <c r="V498" i="3"/>
  <c r="A499" i="3"/>
  <c r="B499" i="3" s="1"/>
  <c r="W498" i="3" l="1"/>
  <c r="L498" i="3"/>
  <c r="AC499" i="3"/>
  <c r="P499" i="3"/>
  <c r="Q499" i="3" s="1"/>
  <c r="R499" i="3" s="1"/>
  <c r="S499" i="3" s="1"/>
  <c r="AA499" i="3"/>
  <c r="Z499" i="3"/>
  <c r="T499" i="3" l="1"/>
  <c r="U498" i="3"/>
  <c r="Y497" i="3"/>
  <c r="D499" i="3" l="1"/>
  <c r="G499" i="3" s="1"/>
  <c r="AH499" i="3"/>
  <c r="E499" i="3"/>
  <c r="H499" i="3" s="1"/>
  <c r="AG499" i="3"/>
  <c r="F499" i="3" l="1"/>
  <c r="I499" i="3"/>
  <c r="J499" i="3"/>
  <c r="AD499" i="3" s="1"/>
  <c r="M499" i="3"/>
  <c r="N499" i="3" s="1"/>
  <c r="K499" i="3"/>
  <c r="AE499" i="3" s="1"/>
  <c r="V499" i="3" l="1"/>
  <c r="W499" i="3" s="1"/>
  <c r="A500" i="3"/>
  <c r="B500" i="3" s="1"/>
  <c r="L499" i="3"/>
  <c r="U499" i="3" l="1"/>
  <c r="Y498" i="3"/>
  <c r="AA500" i="3"/>
  <c r="AC500" i="3"/>
  <c r="P500" i="3"/>
  <c r="Q500" i="3" s="1"/>
  <c r="R500" i="3" s="1"/>
  <c r="S500" i="3" s="1"/>
  <c r="Z500" i="3"/>
  <c r="T500" i="3" l="1"/>
  <c r="AH500" i="3" s="1"/>
  <c r="D500" i="3" l="1"/>
  <c r="AG500" i="3"/>
  <c r="E500" i="3"/>
  <c r="H500" i="3" s="1"/>
  <c r="F500" i="3" l="1"/>
  <c r="G500" i="3"/>
  <c r="K500" i="3"/>
  <c r="AE500" i="3" s="1"/>
  <c r="I500" i="3" l="1"/>
  <c r="J500" i="3"/>
  <c r="AD500" i="3" s="1"/>
  <c r="M500" i="3"/>
  <c r="N500" i="3" s="1"/>
  <c r="V500" i="3"/>
  <c r="A501" i="3"/>
  <c r="B501" i="3" s="1"/>
  <c r="W500" i="3" l="1"/>
  <c r="L500" i="3"/>
  <c r="P501" i="3"/>
  <c r="Q501" i="3" s="1"/>
  <c r="R501" i="3" s="1"/>
  <c r="S501" i="3" s="1"/>
  <c r="AC501" i="3"/>
  <c r="Z501" i="3"/>
  <c r="AA501" i="3"/>
  <c r="U500" i="3" l="1"/>
  <c r="Y499" i="3"/>
  <c r="T501" i="3"/>
  <c r="D501" i="3" l="1"/>
  <c r="G501" i="3" s="1"/>
  <c r="E501" i="3"/>
  <c r="H501" i="3" s="1"/>
  <c r="K501" i="3" s="1"/>
  <c r="AE501" i="3" s="1"/>
  <c r="AG501" i="3"/>
  <c r="AH501" i="3"/>
  <c r="F501" i="3" l="1"/>
  <c r="I501" i="3"/>
  <c r="J501" i="3"/>
  <c r="AD501" i="3" s="1"/>
  <c r="M501" i="3"/>
  <c r="N501" i="3" s="1"/>
  <c r="V501" i="3"/>
  <c r="A502" i="3"/>
  <c r="B502" i="3" s="1"/>
  <c r="L501" i="3" l="1"/>
  <c r="W501" i="3"/>
  <c r="Z502" i="3"/>
  <c r="AA502" i="3"/>
  <c r="AC502" i="3"/>
  <c r="P502" i="3"/>
  <c r="Q502" i="3" s="1"/>
  <c r="R502" i="3" s="1"/>
  <c r="S502" i="3" s="1"/>
  <c r="U501" i="3" l="1"/>
  <c r="Y500" i="3"/>
  <c r="T502" i="3"/>
  <c r="E502" i="3" l="1"/>
  <c r="H502" i="3" s="1"/>
  <c r="K502" i="3" s="1"/>
  <c r="AE502" i="3" s="1"/>
  <c r="AG502" i="3"/>
  <c r="D502" i="3"/>
  <c r="AH502" i="3"/>
  <c r="F502" i="3" l="1"/>
  <c r="G502" i="3"/>
  <c r="V502" i="3"/>
  <c r="A503" i="3"/>
  <c r="B503" i="3" s="1"/>
  <c r="I502" i="3" l="1"/>
  <c r="W502" i="3" s="1"/>
  <c r="J502" i="3"/>
  <c r="AD502" i="3" s="1"/>
  <c r="M502" i="3"/>
  <c r="N502" i="3" s="1"/>
  <c r="AA503" i="3"/>
  <c r="P503" i="3"/>
  <c r="Q503" i="3" s="1"/>
  <c r="R503" i="3" s="1"/>
  <c r="S503" i="3" s="1"/>
  <c r="AC503" i="3"/>
  <c r="Z503" i="3"/>
  <c r="T503" i="3" l="1"/>
  <c r="L502" i="3"/>
  <c r="AG503" i="3" l="1"/>
  <c r="AH503" i="3"/>
  <c r="U502" i="3"/>
  <c r="E503" i="3" s="1"/>
  <c r="H503" i="3" s="1"/>
  <c r="Y501" i="3"/>
  <c r="D503" i="3" l="1"/>
  <c r="G503" i="3" s="1"/>
  <c r="K503" i="3"/>
  <c r="AE503" i="3" s="1"/>
  <c r="F503" i="3" l="1"/>
  <c r="V503" i="3"/>
  <c r="A504" i="3"/>
  <c r="B504" i="3" s="1"/>
  <c r="I503" i="3"/>
  <c r="J503" i="3"/>
  <c r="AD503" i="3" s="1"/>
  <c r="M503" i="3"/>
  <c r="N503" i="3" s="1"/>
  <c r="W503" i="3" l="1"/>
  <c r="L503" i="3"/>
  <c r="P504" i="3"/>
  <c r="Q504" i="3" s="1"/>
  <c r="R504" i="3" s="1"/>
  <c r="S504" i="3" s="1"/>
  <c r="Z504" i="3"/>
  <c r="AA504" i="3"/>
  <c r="AC504" i="3"/>
  <c r="U503" i="3" l="1"/>
  <c r="Y502" i="3"/>
  <c r="T504" i="3"/>
  <c r="AG504" i="3" s="1"/>
  <c r="E504" i="3" l="1"/>
  <c r="H504" i="3" s="1"/>
  <c r="K504" i="3" s="1"/>
  <c r="AE504" i="3" s="1"/>
  <c r="D504" i="3"/>
  <c r="AH504" i="3"/>
  <c r="F504" i="3" l="1"/>
  <c r="G504" i="3"/>
  <c r="I504" i="3" s="1"/>
  <c r="V504" i="3"/>
  <c r="A505" i="3"/>
  <c r="B505" i="3" s="1"/>
  <c r="J504" i="3" l="1"/>
  <c r="W504" i="3"/>
  <c r="M504" i="3"/>
  <c r="N504" i="3" s="1"/>
  <c r="P505" i="3"/>
  <c r="Q505" i="3" s="1"/>
  <c r="R505" i="3" s="1"/>
  <c r="S505" i="3" s="1"/>
  <c r="AC505" i="3"/>
  <c r="Z505" i="3"/>
  <c r="AD505" i="3"/>
  <c r="AA505" i="3"/>
  <c r="L504" i="3" l="1"/>
  <c r="Y503" i="3" s="1"/>
  <c r="AD504" i="3"/>
  <c r="T505" i="3"/>
  <c r="AH505" i="3" l="1"/>
  <c r="U504" i="3"/>
  <c r="D505" i="3" s="1"/>
  <c r="G505" i="3" s="1"/>
  <c r="AG505" i="3"/>
  <c r="E505" i="3" l="1"/>
  <c r="H505" i="3" s="1"/>
  <c r="K505" i="3" s="1"/>
  <c r="AE505" i="3" s="1"/>
  <c r="J505" i="3"/>
  <c r="I505" i="3" l="1"/>
  <c r="F505" i="3"/>
  <c r="V505" i="3"/>
  <c r="M505" i="3"/>
  <c r="N505" i="3" s="1"/>
  <c r="A506" i="3"/>
  <c r="B506" i="3" s="1"/>
  <c r="P506" i="3" s="1"/>
  <c r="Q506" i="3" s="1"/>
  <c r="R506" i="3" s="1"/>
  <c r="S506" i="3" s="1"/>
  <c r="L505" i="3"/>
  <c r="W505" i="3" l="1"/>
  <c r="AA506" i="3"/>
  <c r="AD506" i="3"/>
  <c r="AC506" i="3"/>
  <c r="Z506" i="3"/>
  <c r="U505" i="3"/>
  <c r="Y504" i="3"/>
  <c r="T506" i="3"/>
  <c r="AG506" i="3" l="1"/>
  <c r="D506" i="3"/>
  <c r="G506" i="3" s="1"/>
  <c r="AH506" i="3"/>
  <c r="E506" i="3"/>
  <c r="H506" i="3" s="1"/>
  <c r="K506" i="3" s="1"/>
  <c r="AE506" i="3" s="1"/>
  <c r="F506" i="3" l="1"/>
  <c r="I506" i="3"/>
  <c r="J506" i="3"/>
  <c r="M506" i="3"/>
  <c r="N506" i="3" s="1"/>
  <c r="V506" i="3"/>
  <c r="A507" i="3"/>
  <c r="B507" i="3" s="1"/>
  <c r="W506" i="3" l="1"/>
  <c r="L506" i="3"/>
  <c r="AC507" i="3"/>
  <c r="P507" i="3"/>
  <c r="Q507" i="3" s="1"/>
  <c r="R507" i="3" s="1"/>
  <c r="S507" i="3" s="1"/>
  <c r="AA507" i="3"/>
  <c r="Z507" i="3"/>
  <c r="U506" i="3" l="1"/>
  <c r="Y505" i="3"/>
  <c r="T507" i="3"/>
  <c r="AH507" i="3" s="1"/>
  <c r="AG507" i="3" l="1"/>
  <c r="E507" i="3"/>
  <c r="H507" i="3" s="1"/>
  <c r="D507" i="3"/>
  <c r="K507" i="3" l="1"/>
  <c r="AE507" i="3" s="1"/>
  <c r="F507" i="3"/>
  <c r="G507" i="3"/>
  <c r="I507" i="3" l="1"/>
  <c r="J507" i="3"/>
  <c r="AD507" i="3" s="1"/>
  <c r="M507" i="3"/>
  <c r="N507" i="3" s="1"/>
  <c r="V507" i="3"/>
  <c r="A508" i="3"/>
  <c r="B508" i="3" s="1"/>
  <c r="W507" i="3" l="1"/>
  <c r="L507" i="3"/>
  <c r="P508" i="3"/>
  <c r="Q508" i="3" s="1"/>
  <c r="R508" i="3" s="1"/>
  <c r="S508" i="3" s="1"/>
  <c r="AA508" i="3"/>
  <c r="Z508" i="3"/>
  <c r="AC508" i="3"/>
  <c r="U507" i="3" l="1"/>
  <c r="Y506" i="3"/>
  <c r="T508" i="3"/>
  <c r="E508" i="3" l="1"/>
  <c r="H508" i="3" s="1"/>
  <c r="K508" i="3" s="1"/>
  <c r="AE508" i="3" s="1"/>
  <c r="AH508" i="3"/>
  <c r="D508" i="3"/>
  <c r="AG508" i="3"/>
  <c r="F508" i="3" l="1"/>
  <c r="G508" i="3"/>
  <c r="V508" i="3"/>
  <c r="A509" i="3"/>
  <c r="B509" i="3" s="1"/>
  <c r="AD509" i="3" l="1"/>
  <c r="AC509" i="3"/>
  <c r="Z509" i="3"/>
  <c r="AA509" i="3"/>
  <c r="P509" i="3"/>
  <c r="Q509" i="3" s="1"/>
  <c r="R509" i="3" s="1"/>
  <c r="S509" i="3" s="1"/>
  <c r="I508" i="3"/>
  <c r="W508" i="3" s="1"/>
  <c r="J508" i="3"/>
  <c r="AD508" i="3" s="1"/>
  <c r="M508" i="3"/>
  <c r="N508" i="3" s="1"/>
  <c r="L508" i="3" l="1"/>
  <c r="T509" i="3"/>
  <c r="AG509" i="3" l="1"/>
  <c r="AH509" i="3"/>
  <c r="U508" i="3"/>
  <c r="D509" i="3" s="1"/>
  <c r="Y507" i="3"/>
  <c r="G509" i="3" l="1"/>
  <c r="E509" i="3"/>
  <c r="H509" i="3" s="1"/>
  <c r="F509" i="3" l="1"/>
  <c r="I509" i="3"/>
  <c r="J509" i="3"/>
  <c r="M509" i="3"/>
  <c r="N509" i="3" s="1"/>
  <c r="K509" i="3"/>
  <c r="AE509" i="3" s="1"/>
  <c r="V509" i="3" l="1"/>
  <c r="W509" i="3" s="1"/>
  <c r="A510" i="3"/>
  <c r="B510" i="3" s="1"/>
  <c r="L509" i="3"/>
  <c r="U509" i="3" l="1"/>
  <c r="Y508" i="3"/>
  <c r="AC510" i="3"/>
  <c r="Z510" i="3"/>
  <c r="AA510" i="3"/>
  <c r="AD510" i="3"/>
  <c r="P510" i="3"/>
  <c r="Q510" i="3" s="1"/>
  <c r="R510" i="3" s="1"/>
  <c r="S510" i="3" s="1"/>
  <c r="T510" i="3" l="1"/>
  <c r="AH510" i="3" l="1"/>
  <c r="E510" i="3"/>
  <c r="H510" i="3" s="1"/>
  <c r="D510" i="3"/>
  <c r="AG510" i="3"/>
  <c r="F510" i="3" l="1"/>
  <c r="G510" i="3"/>
  <c r="K510" i="3"/>
  <c r="AE510" i="3" s="1"/>
  <c r="V510" i="3" l="1"/>
  <c r="A511" i="3"/>
  <c r="B511" i="3" s="1"/>
  <c r="I510" i="3"/>
  <c r="J510" i="3"/>
  <c r="M510" i="3"/>
  <c r="N510" i="3" s="1"/>
  <c r="L510" i="3" l="1"/>
  <c r="AA511" i="3"/>
  <c r="AC511" i="3"/>
  <c r="P511" i="3"/>
  <c r="Q511" i="3" s="1"/>
  <c r="R511" i="3" s="1"/>
  <c r="S511" i="3" s="1"/>
  <c r="Z511" i="3"/>
  <c r="AD511" i="3"/>
  <c r="W510" i="3"/>
  <c r="U510" i="3" l="1"/>
  <c r="Y509" i="3"/>
  <c r="T511" i="3"/>
  <c r="AG511" i="3" s="1"/>
  <c r="AH511" i="3" l="1"/>
  <c r="D511" i="3"/>
  <c r="E511" i="3"/>
  <c r="H511" i="3" s="1"/>
  <c r="F511" i="3" l="1"/>
  <c r="G511" i="3"/>
  <c r="K511" i="3"/>
  <c r="AE511" i="3" s="1"/>
  <c r="V511" i="3" l="1"/>
  <c r="A512" i="3"/>
  <c r="B512" i="3" s="1"/>
  <c r="I511" i="3"/>
  <c r="J511" i="3"/>
  <c r="M511" i="3"/>
  <c r="N511" i="3" s="1"/>
  <c r="W511" i="3" l="1"/>
  <c r="L511" i="3"/>
  <c r="AC512" i="3"/>
  <c r="Z512" i="3"/>
  <c r="AA512" i="3"/>
  <c r="P512" i="3"/>
  <c r="Q512" i="3" s="1"/>
  <c r="R512" i="3" s="1"/>
  <c r="S512" i="3" s="1"/>
  <c r="AD512" i="3"/>
  <c r="T512" i="3" l="1"/>
  <c r="U511" i="3"/>
  <c r="Y510" i="3"/>
  <c r="D512" i="3" l="1"/>
  <c r="G512" i="3" s="1"/>
  <c r="AH512" i="3"/>
  <c r="E512" i="3"/>
  <c r="H512" i="3" s="1"/>
  <c r="K512" i="3" s="1"/>
  <c r="AE512" i="3" s="1"/>
  <c r="AG512" i="3"/>
  <c r="F512" i="3" l="1"/>
  <c r="I512" i="3"/>
  <c r="J512" i="3"/>
  <c r="M512" i="3"/>
  <c r="N512" i="3" s="1"/>
  <c r="V512" i="3"/>
  <c r="A513" i="3"/>
  <c r="B513" i="3" s="1"/>
  <c r="W512" i="3" l="1"/>
  <c r="L512" i="3"/>
  <c r="AA513" i="3"/>
  <c r="P513" i="3"/>
  <c r="Q513" i="3" s="1"/>
  <c r="R513" i="3" s="1"/>
  <c r="S513" i="3" s="1"/>
  <c r="AC513" i="3"/>
  <c r="AD513" i="3"/>
  <c r="Z513" i="3"/>
  <c r="T513" i="3" l="1"/>
  <c r="AG513" i="3" s="1"/>
  <c r="U512" i="3"/>
  <c r="Y511" i="3"/>
  <c r="AH513" i="3" l="1"/>
  <c r="E513" i="3"/>
  <c r="H513" i="3" s="1"/>
  <c r="D513" i="3"/>
  <c r="F513" i="3" l="1"/>
  <c r="G513" i="3"/>
  <c r="K513" i="3"/>
  <c r="AE513" i="3" s="1"/>
  <c r="V513" i="3" l="1"/>
  <c r="A514" i="3"/>
  <c r="B514" i="3" s="1"/>
  <c r="I513" i="3"/>
  <c r="J513" i="3"/>
  <c r="M513" i="3"/>
  <c r="N513" i="3" s="1"/>
  <c r="L513" i="3" l="1"/>
  <c r="Z514" i="3"/>
  <c r="AA514" i="3"/>
  <c r="AC514" i="3"/>
  <c r="P514" i="3"/>
  <c r="Q514" i="3" s="1"/>
  <c r="R514" i="3" s="1"/>
  <c r="S514" i="3" s="1"/>
  <c r="W513" i="3"/>
  <c r="T514" i="3" l="1"/>
  <c r="AH514" i="3" s="1"/>
  <c r="U513" i="3"/>
  <c r="Y512" i="3"/>
  <c r="AG514" i="3" l="1"/>
  <c r="E514" i="3"/>
  <c r="H514" i="3" s="1"/>
  <c r="D514" i="3"/>
  <c r="K514" i="3" l="1"/>
  <c r="AE514" i="3" s="1"/>
  <c r="F514" i="3"/>
  <c r="G514" i="3"/>
  <c r="V514" i="3" l="1"/>
  <c r="A515" i="3"/>
  <c r="B515" i="3" s="1"/>
  <c r="I514" i="3"/>
  <c r="J514" i="3"/>
  <c r="AD514" i="3" s="1"/>
  <c r="M514" i="3"/>
  <c r="N514" i="3" s="1"/>
  <c r="W514" i="3" l="1"/>
  <c r="L514" i="3"/>
  <c r="P515" i="3"/>
  <c r="Q515" i="3" s="1"/>
  <c r="R515" i="3" s="1"/>
  <c r="S515" i="3" s="1"/>
  <c r="AC515" i="3"/>
  <c r="Z515" i="3"/>
  <c r="AA515" i="3"/>
  <c r="U514" i="3" l="1"/>
  <c r="Y513" i="3"/>
  <c r="T515" i="3"/>
  <c r="D515" i="3" l="1"/>
  <c r="G515" i="3" s="1"/>
  <c r="AG515" i="3"/>
  <c r="AH515" i="3"/>
  <c r="E515" i="3"/>
  <c r="H515" i="3" s="1"/>
  <c r="K515" i="3" l="1"/>
  <c r="AE515" i="3" s="1"/>
  <c r="I515" i="3"/>
  <c r="J515" i="3"/>
  <c r="AD515" i="3" s="1"/>
  <c r="M515" i="3"/>
  <c r="N515" i="3" s="1"/>
  <c r="F515" i="3"/>
  <c r="L515" i="3" l="1"/>
  <c r="V515" i="3"/>
  <c r="W515" i="3" s="1"/>
  <c r="A516" i="3"/>
  <c r="B516" i="3" s="1"/>
  <c r="U515" i="3" l="1"/>
  <c r="Y514" i="3"/>
  <c r="AA516" i="3"/>
  <c r="Z516" i="3"/>
  <c r="AC516" i="3"/>
  <c r="P516" i="3"/>
  <c r="Q516" i="3" s="1"/>
  <c r="R516" i="3" s="1"/>
  <c r="S516" i="3" s="1"/>
  <c r="T516" i="3" l="1"/>
  <c r="AG516" i="3" s="1"/>
  <c r="D516" i="3" l="1"/>
  <c r="AH516" i="3"/>
  <c r="E516" i="3"/>
  <c r="H516" i="3" s="1"/>
  <c r="F516" i="3" l="1"/>
  <c r="G516" i="3"/>
  <c r="K516" i="3"/>
  <c r="AE516" i="3" s="1"/>
  <c r="I516" i="3" l="1"/>
  <c r="J516" i="3"/>
  <c r="AD516" i="3" s="1"/>
  <c r="M516" i="3"/>
  <c r="N516" i="3" s="1"/>
  <c r="V516" i="3"/>
  <c r="A517" i="3"/>
  <c r="B517" i="3" s="1"/>
  <c r="W516" i="3" l="1"/>
  <c r="L516" i="3"/>
  <c r="AC517" i="3"/>
  <c r="P517" i="3"/>
  <c r="Q517" i="3" s="1"/>
  <c r="R517" i="3" s="1"/>
  <c r="S517" i="3" s="1"/>
  <c r="AA517" i="3"/>
  <c r="Z517" i="3"/>
  <c r="U516" i="3" l="1"/>
  <c r="Y515" i="3"/>
  <c r="T517" i="3"/>
  <c r="AG517" i="3" s="1"/>
  <c r="D517" i="3" l="1"/>
  <c r="G517" i="3" s="1"/>
  <c r="AH517" i="3"/>
  <c r="E517" i="3"/>
  <c r="H517" i="3" s="1"/>
  <c r="K517" i="3" s="1"/>
  <c r="AE517" i="3" s="1"/>
  <c r="F517" i="3" l="1"/>
  <c r="I517" i="3"/>
  <c r="J517" i="3"/>
  <c r="AD517" i="3" s="1"/>
  <c r="M517" i="3"/>
  <c r="N517" i="3" s="1"/>
  <c r="V517" i="3"/>
  <c r="A518" i="3"/>
  <c r="B518" i="3" s="1"/>
  <c r="W517" i="3" l="1"/>
  <c r="L517" i="3"/>
  <c r="AA518" i="3"/>
  <c r="AC518" i="3"/>
  <c r="Z518" i="3"/>
  <c r="P518" i="3"/>
  <c r="Q518" i="3" s="1"/>
  <c r="R518" i="3" s="1"/>
  <c r="S518" i="3" s="1"/>
  <c r="U517" i="3" l="1"/>
  <c r="Y516" i="3"/>
  <c r="T518" i="3"/>
  <c r="D518" i="3" l="1"/>
  <c r="G518" i="3" s="1"/>
  <c r="E518" i="3"/>
  <c r="H518" i="3" s="1"/>
  <c r="AH518" i="3"/>
  <c r="AG518" i="3"/>
  <c r="F518" i="3" l="1"/>
  <c r="I518" i="3"/>
  <c r="J518" i="3"/>
  <c r="AD518" i="3" s="1"/>
  <c r="M518" i="3"/>
  <c r="N518" i="3" s="1"/>
  <c r="K518" i="3"/>
  <c r="AE518" i="3" s="1"/>
  <c r="V518" i="3" l="1"/>
  <c r="W518" i="3" s="1"/>
  <c r="A519" i="3"/>
  <c r="B519" i="3" s="1"/>
  <c r="L518" i="3"/>
  <c r="U518" i="3" l="1"/>
  <c r="Y517" i="3"/>
  <c r="AA519" i="3"/>
  <c r="Z519" i="3"/>
  <c r="AC519" i="3"/>
  <c r="P519" i="3"/>
  <c r="Q519" i="3" s="1"/>
  <c r="R519" i="3" s="1"/>
  <c r="S519" i="3" s="1"/>
  <c r="T519" i="3" l="1"/>
  <c r="D519" i="3" s="1"/>
  <c r="AG519" i="3" l="1"/>
  <c r="G519" i="3"/>
  <c r="AH519" i="3"/>
  <c r="E519" i="3"/>
  <c r="H519" i="3" s="1"/>
  <c r="F519" i="3" l="1"/>
  <c r="I519" i="3"/>
  <c r="J519" i="3"/>
  <c r="AD519" i="3" s="1"/>
  <c r="M519" i="3"/>
  <c r="N519" i="3" s="1"/>
  <c r="K519" i="3"/>
  <c r="AE519" i="3" s="1"/>
  <c r="V519" i="3" l="1"/>
  <c r="W519" i="3" s="1"/>
  <c r="A520" i="3"/>
  <c r="B520" i="3" s="1"/>
  <c r="L519" i="3"/>
  <c r="U519" i="3" l="1"/>
  <c r="Y518" i="3"/>
  <c r="AA520" i="3"/>
  <c r="AC520" i="3"/>
  <c r="Z520" i="3"/>
  <c r="P520" i="3"/>
  <c r="Q520" i="3" s="1"/>
  <c r="R520" i="3" s="1"/>
  <c r="S520" i="3" s="1"/>
  <c r="T520" i="3" l="1"/>
  <c r="D520" i="3" s="1"/>
  <c r="AG520" i="3" l="1"/>
  <c r="E520" i="3"/>
  <c r="H520" i="3" s="1"/>
  <c r="K520" i="3" s="1"/>
  <c r="AE520" i="3" s="1"/>
  <c r="AH520" i="3"/>
  <c r="G520" i="3"/>
  <c r="F520" i="3" l="1"/>
  <c r="I520" i="3"/>
  <c r="J520" i="3"/>
  <c r="AD520" i="3" s="1"/>
  <c r="M520" i="3"/>
  <c r="N520" i="3" s="1"/>
  <c r="V520" i="3"/>
  <c r="A521" i="3"/>
  <c r="B521" i="3" s="1"/>
  <c r="W520" i="3" l="1"/>
  <c r="L520" i="3"/>
  <c r="P521" i="3"/>
  <c r="Q521" i="3" s="1"/>
  <c r="R521" i="3" s="1"/>
  <c r="S521" i="3" s="1"/>
  <c r="AC521" i="3"/>
  <c r="AA521" i="3"/>
  <c r="Z521" i="3"/>
  <c r="U520" i="3" l="1"/>
  <c r="Y519" i="3"/>
  <c r="T521" i="3"/>
  <c r="AH521" i="3" s="1"/>
  <c r="AG521" i="3" l="1"/>
  <c r="D521" i="3"/>
  <c r="E521" i="3"/>
  <c r="H521" i="3" s="1"/>
  <c r="K521" i="3" s="1"/>
  <c r="AE521" i="3" s="1"/>
  <c r="F521" i="3" l="1"/>
  <c r="G521" i="3"/>
  <c r="I521" i="3" s="1"/>
  <c r="V521" i="3"/>
  <c r="A522" i="3"/>
  <c r="B522" i="3" s="1"/>
  <c r="M521" i="3" l="1"/>
  <c r="N521" i="3" s="1"/>
  <c r="J521" i="3"/>
  <c r="W521" i="3"/>
  <c r="AC522" i="3"/>
  <c r="P522" i="3"/>
  <c r="Q522" i="3" s="1"/>
  <c r="R522" i="3" s="1"/>
  <c r="S522" i="3" s="1"/>
  <c r="AA522" i="3"/>
  <c r="Z522" i="3"/>
  <c r="L521" i="3" l="1"/>
  <c r="U521" i="3" s="1"/>
  <c r="AD521" i="3"/>
  <c r="T522" i="3"/>
  <c r="AG522" i="3" s="1"/>
  <c r="Y520" i="3" l="1"/>
  <c r="AH522" i="3"/>
  <c r="E522" i="3"/>
  <c r="H522" i="3" s="1"/>
  <c r="D522" i="3"/>
  <c r="K522" i="3" l="1"/>
  <c r="AE522" i="3" s="1"/>
  <c r="F522" i="3"/>
  <c r="G522" i="3"/>
  <c r="I522" i="3" l="1"/>
  <c r="J522" i="3"/>
  <c r="AD522" i="3" s="1"/>
  <c r="M522" i="3"/>
  <c r="N522" i="3" s="1"/>
  <c r="V522" i="3"/>
  <c r="A523" i="3"/>
  <c r="B523" i="3" s="1"/>
  <c r="W522" i="3" l="1"/>
  <c r="L522" i="3"/>
  <c r="AC523" i="3"/>
  <c r="Z523" i="3"/>
  <c r="AA523" i="3"/>
  <c r="P523" i="3"/>
  <c r="Q523" i="3" s="1"/>
  <c r="R523" i="3" s="1"/>
  <c r="S523" i="3" s="1"/>
  <c r="U522" i="3" l="1"/>
  <c r="Y521" i="3"/>
  <c r="T523" i="3"/>
  <c r="AG523" i="3" s="1"/>
  <c r="AH523" i="3" l="1"/>
  <c r="D523" i="3"/>
  <c r="G523" i="3" s="1"/>
  <c r="E523" i="3"/>
  <c r="H523" i="3" s="1"/>
  <c r="F523" i="3" l="1"/>
  <c r="I523" i="3"/>
  <c r="J523" i="3"/>
  <c r="AD523" i="3" s="1"/>
  <c r="M523" i="3"/>
  <c r="N523" i="3" s="1"/>
  <c r="K523" i="3"/>
  <c r="AE523" i="3" s="1"/>
  <c r="V523" i="3" l="1"/>
  <c r="W523" i="3" s="1"/>
  <c r="A524" i="3"/>
  <c r="B524" i="3" s="1"/>
  <c r="L523" i="3"/>
  <c r="U523" i="3" l="1"/>
  <c r="Y522" i="3"/>
  <c r="Z524" i="3"/>
  <c r="P524" i="3"/>
  <c r="Q524" i="3" s="1"/>
  <c r="R524" i="3" s="1"/>
  <c r="S524" i="3" s="1"/>
  <c r="AC524" i="3"/>
  <c r="AA524" i="3"/>
  <c r="T524" i="3" l="1"/>
  <c r="E524" i="3" s="1"/>
  <c r="H524" i="3" s="1"/>
  <c r="D524" i="3" l="1"/>
  <c r="G524" i="3" s="1"/>
  <c r="K524" i="3"/>
  <c r="AE524" i="3" s="1"/>
  <c r="AH524" i="3"/>
  <c r="AG524" i="3"/>
  <c r="F524" i="3" l="1"/>
  <c r="I524" i="3"/>
  <c r="J524" i="3"/>
  <c r="AD524" i="3" s="1"/>
  <c r="M524" i="3"/>
  <c r="N524" i="3" s="1"/>
  <c r="V524" i="3"/>
  <c r="A525" i="3"/>
  <c r="B525" i="3" s="1"/>
  <c r="W524" i="3" l="1"/>
  <c r="L524" i="3"/>
  <c r="AA525" i="3"/>
  <c r="AC525" i="3"/>
  <c r="AD525" i="3"/>
  <c r="Z525" i="3"/>
  <c r="P525" i="3"/>
  <c r="Q525" i="3" s="1"/>
  <c r="R525" i="3" s="1"/>
  <c r="S525" i="3" s="1"/>
  <c r="T525" i="3" l="1"/>
  <c r="AH525" i="3" s="1"/>
  <c r="U524" i="3"/>
  <c r="Y523" i="3"/>
  <c r="AG525" i="3" l="1"/>
  <c r="D525" i="3"/>
  <c r="E525" i="3"/>
  <c r="H525" i="3" s="1"/>
  <c r="F525" i="3" l="1"/>
  <c r="G525" i="3"/>
  <c r="K525" i="3"/>
  <c r="AE525" i="3" s="1"/>
  <c r="I525" i="3" l="1"/>
  <c r="J525" i="3"/>
  <c r="M525" i="3"/>
  <c r="N525" i="3" s="1"/>
  <c r="V525" i="3"/>
  <c r="A526" i="3"/>
  <c r="B526" i="3" s="1"/>
  <c r="L525" i="3" l="1"/>
  <c r="W525" i="3"/>
  <c r="AA526" i="3"/>
  <c r="P526" i="3"/>
  <c r="Q526" i="3" s="1"/>
  <c r="R526" i="3" s="1"/>
  <c r="S526" i="3" s="1"/>
  <c r="Z526" i="3"/>
  <c r="AD526" i="3"/>
  <c r="AC526" i="3"/>
  <c r="T526" i="3" l="1"/>
  <c r="U525" i="3"/>
  <c r="Y524" i="3"/>
  <c r="D526" i="3" l="1"/>
  <c r="G526" i="3" s="1"/>
  <c r="AH526" i="3"/>
  <c r="E526" i="3"/>
  <c r="H526" i="3" s="1"/>
  <c r="K526" i="3" s="1"/>
  <c r="AE526" i="3" s="1"/>
  <c r="AG526" i="3"/>
  <c r="F526" i="3" l="1"/>
  <c r="V526" i="3"/>
  <c r="A527" i="3"/>
  <c r="B527" i="3" s="1"/>
  <c r="I526" i="3"/>
  <c r="J526" i="3"/>
  <c r="M526" i="3"/>
  <c r="N526" i="3" s="1"/>
  <c r="W526" i="3" l="1"/>
  <c r="L526" i="3"/>
  <c r="Z527" i="3"/>
  <c r="AC527" i="3"/>
  <c r="P527" i="3"/>
  <c r="Q527" i="3" s="1"/>
  <c r="R527" i="3" s="1"/>
  <c r="S527" i="3" s="1"/>
  <c r="AA527" i="3"/>
  <c r="U526" i="3" l="1"/>
  <c r="Y525" i="3"/>
  <c r="T527" i="3"/>
  <c r="D527" i="3" l="1"/>
  <c r="G527" i="3" s="1"/>
  <c r="E527" i="3"/>
  <c r="H527" i="3" s="1"/>
  <c r="AG527" i="3"/>
  <c r="AH527" i="3"/>
  <c r="F527" i="3" l="1"/>
  <c r="I527" i="3"/>
  <c r="J527" i="3"/>
  <c r="AD527" i="3" s="1"/>
  <c r="M527" i="3"/>
  <c r="N527" i="3" s="1"/>
  <c r="K527" i="3"/>
  <c r="AE527" i="3" s="1"/>
  <c r="V527" i="3" l="1"/>
  <c r="W527" i="3" s="1"/>
  <c r="A528" i="3"/>
  <c r="B528" i="3" s="1"/>
  <c r="L527" i="3"/>
  <c r="U527" i="3" l="1"/>
  <c r="Y526" i="3"/>
  <c r="Z528" i="3"/>
  <c r="P528" i="3"/>
  <c r="Q528" i="3" s="1"/>
  <c r="R528" i="3" s="1"/>
  <c r="S528" i="3" s="1"/>
  <c r="AC528" i="3"/>
  <c r="AA528" i="3"/>
  <c r="T528" i="3" l="1"/>
  <c r="AH528" i="3" s="1"/>
  <c r="D528" i="3" l="1"/>
  <c r="E528" i="3"/>
  <c r="H528" i="3" s="1"/>
  <c r="K528" i="3" s="1"/>
  <c r="AE528" i="3" s="1"/>
  <c r="AG528" i="3"/>
  <c r="F528" i="3" l="1"/>
  <c r="G528" i="3"/>
  <c r="M528" i="3" s="1"/>
  <c r="N528" i="3" s="1"/>
  <c r="V528" i="3"/>
  <c r="A529" i="3"/>
  <c r="B529" i="3" s="1"/>
  <c r="I528" i="3" l="1"/>
  <c r="W528" i="3" s="1"/>
  <c r="J528" i="3"/>
  <c r="Z529" i="3"/>
  <c r="AC529" i="3"/>
  <c r="AD529" i="3"/>
  <c r="P529" i="3"/>
  <c r="Q529" i="3" s="1"/>
  <c r="R529" i="3" s="1"/>
  <c r="S529" i="3" s="1"/>
  <c r="AA529" i="3"/>
  <c r="L528" i="3" l="1"/>
  <c r="Y527" i="3" s="1"/>
  <c r="AD528" i="3"/>
  <c r="T529" i="3"/>
  <c r="AG529" i="3" l="1"/>
  <c r="U528" i="3"/>
  <c r="D529" i="3" s="1"/>
  <c r="G529" i="3" s="1"/>
  <c r="AH529" i="3"/>
  <c r="E529" i="3" l="1"/>
  <c r="H529" i="3" s="1"/>
  <c r="K529" i="3" s="1"/>
  <c r="AE529" i="3" s="1"/>
  <c r="J529" i="3"/>
  <c r="A530" i="3" l="1"/>
  <c r="B530" i="3" s="1"/>
  <c r="P530" i="3" s="1"/>
  <c r="Q530" i="3" s="1"/>
  <c r="R530" i="3" s="1"/>
  <c r="S530" i="3" s="1"/>
  <c r="V529" i="3"/>
  <c r="M529" i="3"/>
  <c r="N529" i="3" s="1"/>
  <c r="I529" i="3"/>
  <c r="F529" i="3"/>
  <c r="L529" i="3"/>
  <c r="AC530" i="3" l="1"/>
  <c r="AD530" i="3"/>
  <c r="Z530" i="3"/>
  <c r="AA530" i="3"/>
  <c r="W529" i="3"/>
  <c r="T530" i="3"/>
  <c r="U529" i="3"/>
  <c r="Y528" i="3"/>
  <c r="AG530" i="3" l="1"/>
  <c r="D530" i="3"/>
  <c r="G530" i="3" s="1"/>
  <c r="AH530" i="3"/>
  <c r="E530" i="3"/>
  <c r="H530" i="3" s="1"/>
  <c r="F530" i="3" l="1"/>
  <c r="I530" i="3"/>
  <c r="J530" i="3"/>
  <c r="M530" i="3"/>
  <c r="N530" i="3" s="1"/>
  <c r="K530" i="3"/>
  <c r="AE530" i="3" s="1"/>
  <c r="V530" i="3" l="1"/>
  <c r="W530" i="3" s="1"/>
  <c r="A531" i="3"/>
  <c r="B531" i="3" s="1"/>
  <c r="L530" i="3"/>
  <c r="U530" i="3" l="1"/>
  <c r="Y529" i="3"/>
  <c r="Z531" i="3"/>
  <c r="AD531" i="3"/>
  <c r="AC531" i="3"/>
  <c r="AA531" i="3"/>
  <c r="P531" i="3"/>
  <c r="Q531" i="3" s="1"/>
  <c r="R531" i="3" s="1"/>
  <c r="S531" i="3" s="1"/>
  <c r="T531" i="3" l="1"/>
  <c r="AG531" i="3" s="1"/>
  <c r="AH531" i="3" l="1"/>
  <c r="D531" i="3"/>
  <c r="E531" i="3"/>
  <c r="H531" i="3" s="1"/>
  <c r="K531" i="3" l="1"/>
  <c r="AE531" i="3" s="1"/>
  <c r="F531" i="3"/>
  <c r="G531" i="3"/>
  <c r="I531" i="3" l="1"/>
  <c r="J531" i="3"/>
  <c r="M531" i="3"/>
  <c r="N531" i="3" s="1"/>
  <c r="V531" i="3"/>
  <c r="A532" i="3"/>
  <c r="B532" i="3" s="1"/>
  <c r="W531" i="3" l="1"/>
  <c r="L531" i="3"/>
  <c r="AD532" i="3"/>
  <c r="AC532" i="3"/>
  <c r="Z532" i="3"/>
  <c r="P532" i="3"/>
  <c r="Q532" i="3" s="1"/>
  <c r="R532" i="3" s="1"/>
  <c r="S532" i="3" s="1"/>
  <c r="AA532" i="3"/>
  <c r="U531" i="3" l="1"/>
  <c r="Y530" i="3"/>
  <c r="T532" i="3"/>
  <c r="AH532" i="3" s="1"/>
  <c r="D532" i="3" l="1"/>
  <c r="G532" i="3" s="1"/>
  <c r="AG532" i="3"/>
  <c r="E532" i="3"/>
  <c r="H532" i="3" s="1"/>
  <c r="K532" i="3" s="1"/>
  <c r="AE532" i="3" s="1"/>
  <c r="F532" i="3" l="1"/>
  <c r="V532" i="3"/>
  <c r="A533" i="3"/>
  <c r="B533" i="3" s="1"/>
  <c r="I532" i="3"/>
  <c r="J532" i="3"/>
  <c r="M532" i="3"/>
  <c r="N532" i="3" s="1"/>
  <c r="W532" i="3" l="1"/>
  <c r="L532" i="3"/>
  <c r="P533" i="3"/>
  <c r="Q533" i="3" s="1"/>
  <c r="R533" i="3" s="1"/>
  <c r="S533" i="3" s="1"/>
  <c r="AD533" i="3"/>
  <c r="AA533" i="3"/>
  <c r="Z533" i="3"/>
  <c r="AC533" i="3"/>
  <c r="T533" i="3" l="1"/>
  <c r="U532" i="3"/>
  <c r="Y531" i="3"/>
  <c r="E533" i="3" l="1"/>
  <c r="H533" i="3" s="1"/>
  <c r="K533" i="3" s="1"/>
  <c r="AE533" i="3" s="1"/>
  <c r="AH533" i="3"/>
  <c r="AG533" i="3"/>
  <c r="D533" i="3"/>
  <c r="F533" i="3" l="1"/>
  <c r="G533" i="3"/>
  <c r="V533" i="3"/>
  <c r="A534" i="3"/>
  <c r="B534" i="3" s="1"/>
  <c r="Z534" i="3" l="1"/>
  <c r="AC534" i="3"/>
  <c r="AA534" i="3"/>
  <c r="P534" i="3"/>
  <c r="Q534" i="3" s="1"/>
  <c r="R534" i="3" s="1"/>
  <c r="S534" i="3" s="1"/>
  <c r="I533" i="3"/>
  <c r="W533" i="3" s="1"/>
  <c r="J533" i="3"/>
  <c r="M533" i="3"/>
  <c r="N533" i="3" s="1"/>
  <c r="L533" i="3" l="1"/>
  <c r="T534" i="3"/>
  <c r="U533" i="3" l="1"/>
  <c r="D534" i="3" s="1"/>
  <c r="AG534" i="3"/>
  <c r="AH534" i="3"/>
  <c r="Y532" i="3"/>
  <c r="E534" i="3" l="1"/>
  <c r="H534" i="3" s="1"/>
  <c r="K534" i="3" s="1"/>
  <c r="AE534" i="3" s="1"/>
  <c r="G534" i="3"/>
  <c r="F534" i="3" l="1"/>
  <c r="V534" i="3"/>
  <c r="A535" i="3"/>
  <c r="B535" i="3" s="1"/>
  <c r="I534" i="3"/>
  <c r="J534" i="3"/>
  <c r="AD534" i="3" s="1"/>
  <c r="M534" i="3"/>
  <c r="N534" i="3" s="1"/>
  <c r="W534" i="3" l="1"/>
  <c r="L534" i="3"/>
  <c r="AA535" i="3"/>
  <c r="AC535" i="3"/>
  <c r="AD535" i="3"/>
  <c r="Z535" i="3"/>
  <c r="P535" i="3"/>
  <c r="Q535" i="3" s="1"/>
  <c r="R535" i="3" s="1"/>
  <c r="S535" i="3" s="1"/>
  <c r="T535" i="3" l="1"/>
  <c r="U534" i="3"/>
  <c r="Y533" i="3"/>
  <c r="D535" i="3" l="1"/>
  <c r="G535" i="3" s="1"/>
  <c r="E535" i="3"/>
  <c r="H535" i="3" s="1"/>
  <c r="K535" i="3" s="1"/>
  <c r="AE535" i="3" s="1"/>
  <c r="AG535" i="3"/>
  <c r="AH535" i="3"/>
  <c r="F535" i="3" l="1"/>
  <c r="V535" i="3"/>
  <c r="A536" i="3"/>
  <c r="B536" i="3" s="1"/>
  <c r="I535" i="3"/>
  <c r="J535" i="3"/>
  <c r="M535" i="3"/>
  <c r="N535" i="3" s="1"/>
  <c r="W535" i="3" l="1"/>
  <c r="L535" i="3"/>
  <c r="AC536" i="3"/>
  <c r="AA536" i="3"/>
  <c r="Z536" i="3"/>
  <c r="P536" i="3"/>
  <c r="Q536" i="3" s="1"/>
  <c r="R536" i="3" s="1"/>
  <c r="S536" i="3" s="1"/>
  <c r="AD536" i="3"/>
  <c r="U535" i="3" l="1"/>
  <c r="Y534" i="3"/>
  <c r="T536" i="3"/>
  <c r="AH536" i="3" s="1"/>
  <c r="AG536" i="3" l="1"/>
  <c r="E536" i="3"/>
  <c r="H536" i="3" s="1"/>
  <c r="D536" i="3"/>
  <c r="K536" i="3" l="1"/>
  <c r="AE536" i="3" s="1"/>
  <c r="F536" i="3"/>
  <c r="G536" i="3"/>
  <c r="I536" i="3" l="1"/>
  <c r="J536" i="3"/>
  <c r="M536" i="3"/>
  <c r="N536" i="3" s="1"/>
  <c r="V536" i="3"/>
  <c r="A537" i="3"/>
  <c r="B537" i="3" s="1"/>
  <c r="W536" i="3" l="1"/>
  <c r="L536" i="3"/>
  <c r="AC537" i="3"/>
  <c r="P537" i="3"/>
  <c r="Q537" i="3" s="1"/>
  <c r="R537" i="3" s="1"/>
  <c r="S537" i="3" s="1"/>
  <c r="Z537" i="3"/>
  <c r="AA537" i="3"/>
  <c r="U536" i="3" l="1"/>
  <c r="Y535" i="3"/>
  <c r="T537" i="3"/>
  <c r="AH537" i="3" s="1"/>
  <c r="AG537" i="3" l="1"/>
  <c r="E537" i="3"/>
  <c r="H537" i="3" s="1"/>
  <c r="D537" i="3"/>
  <c r="K537" i="3" l="1"/>
  <c r="AE537" i="3" s="1"/>
  <c r="F537" i="3"/>
  <c r="G537" i="3"/>
  <c r="I537" i="3" l="1"/>
  <c r="J537" i="3"/>
  <c r="AD537" i="3" s="1"/>
  <c r="M537" i="3"/>
  <c r="N537" i="3" s="1"/>
  <c r="V537" i="3"/>
  <c r="A538" i="3"/>
  <c r="B538" i="3" s="1"/>
  <c r="W537" i="3" l="1"/>
  <c r="L537" i="3"/>
  <c r="AA538" i="3"/>
  <c r="AC538" i="3"/>
  <c r="Z538" i="3"/>
  <c r="P538" i="3"/>
  <c r="Q538" i="3" s="1"/>
  <c r="R538" i="3" s="1"/>
  <c r="S538" i="3" s="1"/>
  <c r="T538" i="3" l="1"/>
  <c r="U537" i="3"/>
  <c r="Y536" i="3"/>
  <c r="D538" i="3" l="1"/>
  <c r="G538" i="3" s="1"/>
  <c r="AH538" i="3"/>
  <c r="AG538" i="3"/>
  <c r="E538" i="3"/>
  <c r="H538" i="3" s="1"/>
  <c r="F538" i="3" l="1"/>
  <c r="I538" i="3"/>
  <c r="J538" i="3"/>
  <c r="AD538" i="3" s="1"/>
  <c r="M538" i="3"/>
  <c r="N538" i="3" s="1"/>
  <c r="K538" i="3"/>
  <c r="AE538" i="3" s="1"/>
  <c r="V538" i="3" l="1"/>
  <c r="W538" i="3" s="1"/>
  <c r="A539" i="3"/>
  <c r="B539" i="3" s="1"/>
  <c r="L538" i="3"/>
  <c r="U538" i="3" l="1"/>
  <c r="Y537" i="3"/>
  <c r="Z539" i="3"/>
  <c r="P539" i="3"/>
  <c r="Q539" i="3" s="1"/>
  <c r="R539" i="3" s="1"/>
  <c r="S539" i="3" s="1"/>
  <c r="AD539" i="3"/>
  <c r="AA539" i="3"/>
  <c r="AC539" i="3"/>
  <c r="T539" i="3" l="1"/>
  <c r="AH539" i="3" s="1"/>
  <c r="AG539" i="3" l="1"/>
  <c r="E539" i="3"/>
  <c r="H539" i="3" s="1"/>
  <c r="K539" i="3" s="1"/>
  <c r="AE539" i="3" s="1"/>
  <c r="D539" i="3"/>
  <c r="G539" i="3" s="1"/>
  <c r="F539" i="3" l="1"/>
  <c r="V539" i="3"/>
  <c r="A540" i="3"/>
  <c r="B540" i="3" s="1"/>
  <c r="I539" i="3"/>
  <c r="J539" i="3"/>
  <c r="M539" i="3"/>
  <c r="N539" i="3" s="1"/>
  <c r="W539" i="3" l="1"/>
  <c r="L539" i="3"/>
  <c r="AA540" i="3"/>
  <c r="AC540" i="3"/>
  <c r="Z540" i="3"/>
  <c r="AD540" i="3"/>
  <c r="P540" i="3"/>
  <c r="Q540" i="3" s="1"/>
  <c r="R540" i="3" s="1"/>
  <c r="S540" i="3" s="1"/>
  <c r="U539" i="3" l="1"/>
  <c r="Y538" i="3"/>
  <c r="T540" i="3"/>
  <c r="AG540" i="3" s="1"/>
  <c r="E540" i="3" l="1"/>
  <c r="H540" i="3" s="1"/>
  <c r="D540" i="3"/>
  <c r="AH540" i="3"/>
  <c r="K540" i="3" l="1"/>
  <c r="AE540" i="3" s="1"/>
  <c r="F540" i="3"/>
  <c r="G540" i="3"/>
  <c r="V540" i="3" l="1"/>
  <c r="A541" i="3"/>
  <c r="B541" i="3" s="1"/>
  <c r="I540" i="3"/>
  <c r="J540" i="3"/>
  <c r="M540" i="3"/>
  <c r="N540" i="3" s="1"/>
  <c r="W540" i="3" l="1"/>
  <c r="L540" i="3"/>
  <c r="P541" i="3"/>
  <c r="Q541" i="3" s="1"/>
  <c r="R541" i="3" s="1"/>
  <c r="S541" i="3" s="1"/>
  <c r="AA541" i="3"/>
  <c r="AD541" i="3"/>
  <c r="Z541" i="3"/>
  <c r="AC541" i="3"/>
  <c r="U540" i="3" l="1"/>
  <c r="Y539" i="3"/>
  <c r="T541" i="3"/>
  <c r="AG541" i="3" s="1"/>
  <c r="AH541" i="3" l="1"/>
  <c r="E541" i="3"/>
  <c r="H541" i="3" s="1"/>
  <c r="D541" i="3"/>
  <c r="K541" i="3" l="1"/>
  <c r="AE541" i="3" s="1"/>
  <c r="F541" i="3"/>
  <c r="G541" i="3"/>
  <c r="I541" i="3" l="1"/>
  <c r="J541" i="3"/>
  <c r="M541" i="3"/>
  <c r="N541" i="3" s="1"/>
  <c r="V541" i="3"/>
  <c r="A542" i="3"/>
  <c r="B542" i="3" s="1"/>
  <c r="W541" i="3" l="1"/>
  <c r="L541" i="3"/>
  <c r="AC542" i="3"/>
  <c r="P542" i="3"/>
  <c r="Q542" i="3" s="1"/>
  <c r="R542" i="3" s="1"/>
  <c r="S542" i="3" s="1"/>
  <c r="AA542" i="3"/>
  <c r="Z542" i="3"/>
  <c r="AD542" i="3"/>
  <c r="T542" i="3" l="1"/>
  <c r="AH542" i="3" s="1"/>
  <c r="U541" i="3"/>
  <c r="Y540" i="3"/>
  <c r="E542" i="3" l="1"/>
  <c r="H542" i="3" s="1"/>
  <c r="K542" i="3" s="1"/>
  <c r="AE542" i="3" s="1"/>
  <c r="AG542" i="3"/>
  <c r="D542" i="3"/>
  <c r="F542" i="3" l="1"/>
  <c r="G542" i="3"/>
  <c r="V542" i="3"/>
  <c r="A543" i="3"/>
  <c r="B543" i="3" s="1"/>
  <c r="P543" i="3" l="1"/>
  <c r="Q543" i="3" s="1"/>
  <c r="R543" i="3" s="1"/>
  <c r="S543" i="3" s="1"/>
  <c r="AD543" i="3"/>
  <c r="Z543" i="3"/>
  <c r="AA543" i="3"/>
  <c r="AC543" i="3"/>
  <c r="I542" i="3"/>
  <c r="W542" i="3" s="1"/>
  <c r="J542" i="3"/>
  <c r="M542" i="3"/>
  <c r="N542" i="3" s="1"/>
  <c r="T543" i="3" l="1"/>
  <c r="L542" i="3"/>
  <c r="AH543" i="3" l="1"/>
  <c r="U542" i="3"/>
  <c r="E543" i="3" s="1"/>
  <c r="H543" i="3" s="1"/>
  <c r="AG543" i="3"/>
  <c r="Y541" i="3"/>
  <c r="D543" i="3" l="1"/>
  <c r="G543" i="3" s="1"/>
  <c r="K543" i="3"/>
  <c r="AE543" i="3" s="1"/>
  <c r="F543" i="3" l="1"/>
  <c r="I543" i="3"/>
  <c r="J543" i="3"/>
  <c r="M543" i="3"/>
  <c r="N543" i="3" s="1"/>
  <c r="V543" i="3"/>
  <c r="A544" i="3"/>
  <c r="B544" i="3" s="1"/>
  <c r="W543" i="3" l="1"/>
  <c r="L543" i="3"/>
  <c r="P544" i="3"/>
  <c r="Q544" i="3" s="1"/>
  <c r="R544" i="3" s="1"/>
  <c r="S544" i="3" s="1"/>
  <c r="Z544" i="3"/>
  <c r="AC544" i="3"/>
  <c r="AA544" i="3"/>
  <c r="U543" i="3" l="1"/>
  <c r="Y542" i="3"/>
  <c r="T544" i="3"/>
  <c r="AG544" i="3" s="1"/>
  <c r="E544" i="3" l="1"/>
  <c r="H544" i="3" s="1"/>
  <c r="D544" i="3"/>
  <c r="AH544" i="3"/>
  <c r="K544" i="3" l="1"/>
  <c r="AE544" i="3" s="1"/>
  <c r="F544" i="3"/>
  <c r="G544" i="3"/>
  <c r="I544" i="3" l="1"/>
  <c r="J544" i="3"/>
  <c r="AD544" i="3" s="1"/>
  <c r="M544" i="3"/>
  <c r="N544" i="3" s="1"/>
  <c r="V544" i="3"/>
  <c r="A545" i="3"/>
  <c r="B545" i="3" s="1"/>
  <c r="W544" i="3" l="1"/>
  <c r="L544" i="3"/>
  <c r="Z545" i="3"/>
  <c r="AA545" i="3"/>
  <c r="AC545" i="3"/>
  <c r="P545" i="3"/>
  <c r="Q545" i="3" s="1"/>
  <c r="R545" i="3" s="1"/>
  <c r="S545" i="3" s="1"/>
  <c r="U544" i="3" l="1"/>
  <c r="Y543" i="3"/>
  <c r="T545" i="3"/>
  <c r="AH545" i="3" s="1"/>
  <c r="E545" i="3" l="1"/>
  <c r="H545" i="3" s="1"/>
  <c r="K545" i="3" s="1"/>
  <c r="AE545" i="3" s="1"/>
  <c r="D545" i="3"/>
  <c r="AG545" i="3"/>
  <c r="V545" i="3" l="1"/>
  <c r="A546" i="3"/>
  <c r="B546" i="3" s="1"/>
  <c r="F545" i="3"/>
  <c r="G545" i="3"/>
  <c r="I545" i="3" l="1"/>
  <c r="W545" i="3" s="1"/>
  <c r="J545" i="3"/>
  <c r="AD545" i="3" s="1"/>
  <c r="M545" i="3"/>
  <c r="N545" i="3" s="1"/>
  <c r="AC546" i="3"/>
  <c r="P546" i="3"/>
  <c r="Q546" i="3" s="1"/>
  <c r="R546" i="3" s="1"/>
  <c r="S546" i="3" s="1"/>
  <c r="Z546" i="3"/>
  <c r="AA546" i="3"/>
  <c r="T546" i="3" l="1"/>
  <c r="L545" i="3"/>
  <c r="U545" i="3" l="1"/>
  <c r="D546" i="3" s="1"/>
  <c r="AG546" i="3"/>
  <c r="AH546" i="3"/>
  <c r="Y544" i="3"/>
  <c r="E546" i="3" l="1"/>
  <c r="H546" i="3" s="1"/>
  <c r="K546" i="3" s="1"/>
  <c r="AE546" i="3" s="1"/>
  <c r="G546" i="3"/>
  <c r="F546" i="3" l="1"/>
  <c r="V546" i="3"/>
  <c r="A547" i="3"/>
  <c r="B547" i="3" s="1"/>
  <c r="I546" i="3"/>
  <c r="J546" i="3"/>
  <c r="AD546" i="3" s="1"/>
  <c r="M546" i="3"/>
  <c r="N546" i="3" s="1"/>
  <c r="W546" i="3" l="1"/>
  <c r="L546" i="3"/>
  <c r="AC547" i="3"/>
  <c r="P547" i="3"/>
  <c r="Q547" i="3" s="1"/>
  <c r="R547" i="3" s="1"/>
  <c r="S547" i="3" s="1"/>
  <c r="AA547" i="3"/>
  <c r="Z547" i="3"/>
  <c r="U546" i="3" l="1"/>
  <c r="Y545" i="3"/>
  <c r="T547" i="3"/>
  <c r="AG547" i="3" s="1"/>
  <c r="E547" i="3" l="1"/>
  <c r="H547" i="3" s="1"/>
  <c r="K547" i="3" s="1"/>
  <c r="AE547" i="3" s="1"/>
  <c r="D547" i="3"/>
  <c r="G547" i="3" s="1"/>
  <c r="AH547" i="3"/>
  <c r="F547" i="3" l="1"/>
  <c r="I547" i="3"/>
  <c r="J547" i="3"/>
  <c r="AD547" i="3" s="1"/>
  <c r="M547" i="3"/>
  <c r="N547" i="3" s="1"/>
  <c r="V547" i="3"/>
  <c r="A548" i="3"/>
  <c r="B548" i="3" s="1"/>
  <c r="W547" i="3" l="1"/>
  <c r="L547" i="3"/>
  <c r="Z548" i="3"/>
  <c r="AA548" i="3"/>
  <c r="P548" i="3"/>
  <c r="Q548" i="3" s="1"/>
  <c r="R548" i="3" s="1"/>
  <c r="S548" i="3" s="1"/>
  <c r="AC548" i="3"/>
  <c r="U547" i="3" l="1"/>
  <c r="Y546" i="3"/>
  <c r="T548" i="3"/>
  <c r="E548" i="3" l="1"/>
  <c r="H548" i="3" s="1"/>
  <c r="K548" i="3" s="1"/>
  <c r="AE548" i="3" s="1"/>
  <c r="D548" i="3"/>
  <c r="AG548" i="3"/>
  <c r="AH548" i="3"/>
  <c r="V548" i="3" l="1"/>
  <c r="A549" i="3"/>
  <c r="B549" i="3" s="1"/>
  <c r="F548" i="3"/>
  <c r="G548" i="3"/>
  <c r="I548" i="3" l="1"/>
  <c r="W548" i="3" s="1"/>
  <c r="J548" i="3"/>
  <c r="AD548" i="3" s="1"/>
  <c r="M548" i="3"/>
  <c r="N548" i="3" s="1"/>
  <c r="P549" i="3"/>
  <c r="Q549" i="3" s="1"/>
  <c r="R549" i="3" s="1"/>
  <c r="S549" i="3" s="1"/>
  <c r="AC549" i="3"/>
  <c r="AA549" i="3"/>
  <c r="Z549" i="3"/>
  <c r="T549" i="3" l="1"/>
  <c r="L548" i="3"/>
  <c r="AH549" i="3" l="1"/>
  <c r="U548" i="3"/>
  <c r="E549" i="3" s="1"/>
  <c r="H549" i="3" s="1"/>
  <c r="AG549" i="3"/>
  <c r="Y547" i="3"/>
  <c r="K549" i="3" l="1"/>
  <c r="AE549" i="3" s="1"/>
  <c r="D549" i="3"/>
  <c r="V549" i="3" l="1"/>
  <c r="A550" i="3"/>
  <c r="B550" i="3" s="1"/>
  <c r="F549" i="3"/>
  <c r="G549" i="3"/>
  <c r="I549" i="3" l="1"/>
  <c r="W549" i="3" s="1"/>
  <c r="J549" i="3"/>
  <c r="AD549" i="3" s="1"/>
  <c r="M549" i="3"/>
  <c r="N549" i="3" s="1"/>
  <c r="P550" i="3"/>
  <c r="Q550" i="3" s="1"/>
  <c r="R550" i="3" s="1"/>
  <c r="S550" i="3" s="1"/>
  <c r="AA550" i="3"/>
  <c r="AC550" i="3"/>
  <c r="Z550" i="3"/>
  <c r="T550" i="3" l="1"/>
  <c r="L549" i="3"/>
  <c r="U549" i="3" l="1"/>
  <c r="D550" i="3" s="1"/>
  <c r="AH550" i="3"/>
  <c r="AG550" i="3"/>
  <c r="Y548" i="3"/>
  <c r="E550" i="3" l="1"/>
  <c r="H550" i="3" s="1"/>
  <c r="K550" i="3" s="1"/>
  <c r="AE550" i="3" s="1"/>
  <c r="G550" i="3"/>
  <c r="F550" i="3" l="1"/>
  <c r="I550" i="3"/>
  <c r="J550" i="3"/>
  <c r="AD550" i="3" s="1"/>
  <c r="M550" i="3"/>
  <c r="N550" i="3" s="1"/>
  <c r="V550" i="3"/>
  <c r="A551" i="3"/>
  <c r="B551" i="3" s="1"/>
  <c r="W550" i="3" l="1"/>
  <c r="L550" i="3"/>
  <c r="P551" i="3"/>
  <c r="Q551" i="3" s="1"/>
  <c r="R551" i="3" s="1"/>
  <c r="S551" i="3" s="1"/>
  <c r="AC551" i="3"/>
  <c r="AA551" i="3"/>
  <c r="Z551" i="3"/>
  <c r="T551" i="3" l="1"/>
  <c r="AG551" i="3" s="1"/>
  <c r="U550" i="3"/>
  <c r="Y549" i="3"/>
  <c r="D551" i="3" l="1"/>
  <c r="G551" i="3" s="1"/>
  <c r="AH551" i="3"/>
  <c r="E551" i="3"/>
  <c r="H551" i="3" s="1"/>
  <c r="F551" i="3" l="1"/>
  <c r="I551" i="3"/>
  <c r="J551" i="3"/>
  <c r="AD551" i="3" s="1"/>
  <c r="M551" i="3"/>
  <c r="N551" i="3" s="1"/>
  <c r="K551" i="3"/>
  <c r="AE551" i="3" s="1"/>
  <c r="V551" i="3" l="1"/>
  <c r="W551" i="3" s="1"/>
  <c r="A552" i="3"/>
  <c r="B552" i="3" s="1"/>
  <c r="L551" i="3"/>
  <c r="U551" i="3" l="1"/>
  <c r="Y550" i="3"/>
  <c r="AA552" i="3"/>
  <c r="P552" i="3"/>
  <c r="Q552" i="3" s="1"/>
  <c r="R552" i="3" s="1"/>
  <c r="S552" i="3" s="1"/>
  <c r="AC552" i="3"/>
  <c r="Z552" i="3"/>
  <c r="T552" i="3" l="1"/>
  <c r="D552" i="3" s="1"/>
  <c r="AG552" i="3" l="1"/>
  <c r="AH552" i="3"/>
  <c r="E552" i="3"/>
  <c r="H552" i="3" s="1"/>
  <c r="K552" i="3" s="1"/>
  <c r="AE552" i="3" s="1"/>
  <c r="G552" i="3"/>
  <c r="F552" i="3" l="1"/>
  <c r="I552" i="3"/>
  <c r="J552" i="3"/>
  <c r="AD552" i="3" s="1"/>
  <c r="M552" i="3"/>
  <c r="N552" i="3" s="1"/>
  <c r="V552" i="3"/>
  <c r="A553" i="3"/>
  <c r="B553" i="3" s="1"/>
  <c r="W552" i="3" l="1"/>
  <c r="L552" i="3"/>
  <c r="P553" i="3"/>
  <c r="Q553" i="3" s="1"/>
  <c r="R553" i="3" s="1"/>
  <c r="S553" i="3" s="1"/>
  <c r="Z553" i="3"/>
  <c r="AC553" i="3"/>
  <c r="AA553" i="3"/>
  <c r="T553" i="3" l="1"/>
  <c r="U552" i="3"/>
  <c r="Y551" i="3"/>
  <c r="D553" i="3" l="1"/>
  <c r="G553" i="3" s="1"/>
  <c r="AH553" i="3"/>
  <c r="AG553" i="3"/>
  <c r="E553" i="3"/>
  <c r="H553" i="3" s="1"/>
  <c r="K553" i="3" l="1"/>
  <c r="AE553" i="3" s="1"/>
  <c r="F553" i="3"/>
  <c r="I553" i="3"/>
  <c r="J553" i="3"/>
  <c r="AD553" i="3" s="1"/>
  <c r="M553" i="3"/>
  <c r="N553" i="3" s="1"/>
  <c r="V553" i="3" l="1"/>
  <c r="W553" i="3" s="1"/>
  <c r="A554" i="3"/>
  <c r="B554" i="3" s="1"/>
  <c r="L553" i="3"/>
  <c r="U553" i="3" l="1"/>
  <c r="Y552" i="3"/>
  <c r="AA554" i="3"/>
  <c r="AC554" i="3"/>
  <c r="P554" i="3"/>
  <c r="Q554" i="3" s="1"/>
  <c r="R554" i="3" s="1"/>
  <c r="S554" i="3" s="1"/>
  <c r="Z554" i="3"/>
  <c r="T554" i="3" l="1"/>
  <c r="AH554" i="3" s="1"/>
  <c r="E554" i="3" l="1"/>
  <c r="H554" i="3" s="1"/>
  <c r="K554" i="3" s="1"/>
  <c r="AE554" i="3" s="1"/>
  <c r="AG554" i="3"/>
  <c r="D554" i="3"/>
  <c r="V554" i="3" l="1"/>
  <c r="A555" i="3"/>
  <c r="B555" i="3" s="1"/>
  <c r="F554" i="3"/>
  <c r="G554" i="3"/>
  <c r="I554" i="3" l="1"/>
  <c r="W554" i="3" s="1"/>
  <c r="J554" i="3"/>
  <c r="AD554" i="3" s="1"/>
  <c r="M554" i="3"/>
  <c r="N554" i="3" s="1"/>
  <c r="AA555" i="3"/>
  <c r="Z555" i="3"/>
  <c r="AC555" i="3"/>
  <c r="P555" i="3"/>
  <c r="Q555" i="3" s="1"/>
  <c r="R555" i="3" s="1"/>
  <c r="S555" i="3" s="1"/>
  <c r="L554" i="3" l="1"/>
  <c r="T555" i="3"/>
  <c r="U554" i="3" l="1"/>
  <c r="E555" i="3" s="1"/>
  <c r="H555" i="3" s="1"/>
  <c r="AG555" i="3"/>
  <c r="AH555" i="3"/>
  <c r="Y553" i="3"/>
  <c r="K555" i="3" l="1"/>
  <c r="AE555" i="3" s="1"/>
  <c r="D555" i="3"/>
  <c r="F555" i="3" l="1"/>
  <c r="G555" i="3"/>
  <c r="V555" i="3"/>
  <c r="A556" i="3"/>
  <c r="B556" i="3" s="1"/>
  <c r="P556" i="3" l="1"/>
  <c r="Q556" i="3" s="1"/>
  <c r="R556" i="3" s="1"/>
  <c r="S556" i="3" s="1"/>
  <c r="AA556" i="3"/>
  <c r="Z556" i="3"/>
  <c r="AC556" i="3"/>
  <c r="I555" i="3"/>
  <c r="W555" i="3" s="1"/>
  <c r="J555" i="3"/>
  <c r="AD555" i="3" s="1"/>
  <c r="M555" i="3"/>
  <c r="N555" i="3" s="1"/>
  <c r="T556" i="3" l="1"/>
  <c r="L555" i="3"/>
  <c r="AH556" i="3" l="1"/>
  <c r="U555" i="3"/>
  <c r="D556" i="3" s="1"/>
  <c r="AG556" i="3"/>
  <c r="Y554" i="3"/>
  <c r="E556" i="3" l="1"/>
  <c r="H556" i="3" s="1"/>
  <c r="K556" i="3" s="1"/>
  <c r="AE556" i="3" s="1"/>
  <c r="G556" i="3"/>
  <c r="F556" i="3" l="1"/>
  <c r="I556" i="3"/>
  <c r="J556" i="3"/>
  <c r="AD556" i="3" s="1"/>
  <c r="M556" i="3"/>
  <c r="N556" i="3" s="1"/>
  <c r="V556" i="3"/>
  <c r="A557" i="3"/>
  <c r="B557" i="3" s="1"/>
  <c r="W556" i="3" l="1"/>
  <c r="L556" i="3"/>
  <c r="P557" i="3"/>
  <c r="Q557" i="3" s="1"/>
  <c r="R557" i="3" s="1"/>
  <c r="S557" i="3" s="1"/>
  <c r="AA557" i="3"/>
  <c r="AC557" i="3"/>
  <c r="Z557" i="3"/>
  <c r="U556" i="3" l="1"/>
  <c r="Y555" i="3"/>
  <c r="T557" i="3"/>
  <c r="AH557" i="3" s="1"/>
  <c r="D557" i="3" l="1"/>
  <c r="G557" i="3" s="1"/>
  <c r="AG557" i="3"/>
  <c r="E557" i="3"/>
  <c r="H557" i="3" s="1"/>
  <c r="K557" i="3" s="1"/>
  <c r="AE557" i="3" s="1"/>
  <c r="F557" i="3" l="1"/>
  <c r="I557" i="3"/>
  <c r="J557" i="3"/>
  <c r="AD557" i="3" s="1"/>
  <c r="M557" i="3"/>
  <c r="N557" i="3" s="1"/>
  <c r="V557" i="3"/>
  <c r="A558" i="3"/>
  <c r="B558" i="3" s="1"/>
  <c r="W557" i="3" l="1"/>
  <c r="L557" i="3"/>
  <c r="AA558" i="3"/>
  <c r="P558" i="3"/>
  <c r="Q558" i="3" s="1"/>
  <c r="R558" i="3" s="1"/>
  <c r="S558" i="3" s="1"/>
  <c r="Z558" i="3"/>
  <c r="AC558" i="3"/>
  <c r="T558" i="3" l="1"/>
  <c r="AG558" i="3" s="1"/>
  <c r="U557" i="3"/>
  <c r="Y556" i="3"/>
  <c r="E558" i="3" l="1"/>
  <c r="H558" i="3" s="1"/>
  <c r="AH558" i="3"/>
  <c r="D558" i="3"/>
  <c r="F558" i="3" l="1"/>
  <c r="G558" i="3"/>
  <c r="K558" i="3"/>
  <c r="AE558" i="3" s="1"/>
  <c r="I558" i="3" l="1"/>
  <c r="J558" i="3"/>
  <c r="AD558" i="3" s="1"/>
  <c r="M558" i="3"/>
  <c r="N558" i="3" s="1"/>
  <c r="V558" i="3"/>
  <c r="A559" i="3"/>
  <c r="B559" i="3" s="1"/>
  <c r="W558" i="3" l="1"/>
  <c r="L558" i="3"/>
  <c r="AC559" i="3"/>
  <c r="P559" i="3"/>
  <c r="Q559" i="3" s="1"/>
  <c r="R559" i="3" s="1"/>
  <c r="S559" i="3" s="1"/>
  <c r="AA559" i="3"/>
  <c r="Z559" i="3"/>
  <c r="T559" i="3" l="1"/>
  <c r="U558" i="3"/>
  <c r="Y557" i="3"/>
  <c r="E559" i="3" l="1"/>
  <c r="H559" i="3" s="1"/>
  <c r="K559" i="3" s="1"/>
  <c r="AE559" i="3" s="1"/>
  <c r="AH559" i="3"/>
  <c r="AG559" i="3"/>
  <c r="D559" i="3"/>
  <c r="V559" i="3" l="1"/>
  <c r="A560" i="3"/>
  <c r="B560" i="3" s="1"/>
  <c r="F559" i="3"/>
  <c r="G559" i="3"/>
  <c r="I559" i="3" l="1"/>
  <c r="W559" i="3" s="1"/>
  <c r="J559" i="3"/>
  <c r="AD559" i="3" s="1"/>
  <c r="M559" i="3"/>
  <c r="N559" i="3" s="1"/>
  <c r="Z560" i="3"/>
  <c r="AC560" i="3"/>
  <c r="AA560" i="3"/>
  <c r="P560" i="3"/>
  <c r="Q560" i="3" s="1"/>
  <c r="R560" i="3" s="1"/>
  <c r="S560" i="3" s="1"/>
  <c r="T560" i="3" l="1"/>
  <c r="L559" i="3"/>
  <c r="AG560" i="3" l="1"/>
  <c r="U559" i="3"/>
  <c r="D560" i="3" s="1"/>
  <c r="AH560" i="3"/>
  <c r="Y558" i="3"/>
  <c r="E560" i="3" l="1"/>
  <c r="H560" i="3" s="1"/>
  <c r="K560" i="3" s="1"/>
  <c r="AE560" i="3" s="1"/>
  <c r="G560" i="3"/>
  <c r="F560" i="3" l="1"/>
  <c r="V560" i="3"/>
  <c r="A561" i="3"/>
  <c r="B561" i="3" s="1"/>
  <c r="I560" i="3"/>
  <c r="J560" i="3"/>
  <c r="AD560" i="3" s="1"/>
  <c r="M560" i="3"/>
  <c r="N560" i="3" s="1"/>
  <c r="W560" i="3" l="1"/>
  <c r="L560" i="3"/>
  <c r="AA561" i="3"/>
  <c r="P561" i="3"/>
  <c r="Q561" i="3" s="1"/>
  <c r="R561" i="3" s="1"/>
  <c r="S561" i="3" s="1"/>
  <c r="Z561" i="3"/>
  <c r="AC561" i="3"/>
  <c r="U560" i="3" l="1"/>
  <c r="Y559" i="3"/>
  <c r="T561" i="3"/>
  <c r="E561" i="3" l="1"/>
  <c r="H561" i="3" s="1"/>
  <c r="K561" i="3" s="1"/>
  <c r="AE561" i="3" s="1"/>
  <c r="D561" i="3"/>
  <c r="AH561" i="3"/>
  <c r="AG561" i="3"/>
  <c r="F561" i="3" l="1"/>
  <c r="G561" i="3"/>
  <c r="M561" i="3" s="1"/>
  <c r="N561" i="3" s="1"/>
  <c r="V561" i="3"/>
  <c r="A562" i="3"/>
  <c r="B562" i="3" s="1"/>
  <c r="I561" i="3" l="1"/>
  <c r="W561" i="3" s="1"/>
  <c r="J561" i="3"/>
  <c r="Z562" i="3"/>
  <c r="AA562" i="3"/>
  <c r="P562" i="3"/>
  <c r="Q562" i="3" s="1"/>
  <c r="R562" i="3" s="1"/>
  <c r="S562" i="3" s="1"/>
  <c r="AC562" i="3"/>
  <c r="L561" i="3" l="1"/>
  <c r="U561" i="3" s="1"/>
  <c r="AD561" i="3"/>
  <c r="Y560" i="3"/>
  <c r="T562" i="3"/>
  <c r="AH562" i="3" s="1"/>
  <c r="AG562" i="3" l="1"/>
  <c r="E562" i="3"/>
  <c r="H562" i="3" s="1"/>
  <c r="K562" i="3" s="1"/>
  <c r="AE562" i="3" s="1"/>
  <c r="D562" i="3"/>
  <c r="F562" i="3" l="1"/>
  <c r="G562" i="3"/>
  <c r="J562" i="3" s="1"/>
  <c r="AD562" i="3" s="1"/>
  <c r="V562" i="3"/>
  <c r="A563" i="3"/>
  <c r="B563" i="3" s="1"/>
  <c r="M562" i="3" l="1"/>
  <c r="N562" i="3" s="1"/>
  <c r="I562" i="3"/>
  <c r="W562" i="3" s="1"/>
  <c r="L562" i="3"/>
  <c r="Z563" i="3"/>
  <c r="P563" i="3"/>
  <c r="Q563" i="3" s="1"/>
  <c r="R563" i="3" s="1"/>
  <c r="S563" i="3" s="1"/>
  <c r="AC563" i="3"/>
  <c r="AA563" i="3"/>
  <c r="U562" i="3" l="1"/>
  <c r="Y561" i="3"/>
  <c r="T563" i="3"/>
  <c r="AH563" i="3" s="1"/>
  <c r="AG563" i="3" l="1"/>
  <c r="D563" i="3"/>
  <c r="E563" i="3"/>
  <c r="H563" i="3" s="1"/>
  <c r="K563" i="3" s="1"/>
  <c r="AE563" i="3" s="1"/>
  <c r="F563" i="3" l="1"/>
  <c r="G563" i="3"/>
  <c r="M563" i="3" s="1"/>
  <c r="N563" i="3" s="1"/>
  <c r="V563" i="3"/>
  <c r="A564" i="3"/>
  <c r="B564" i="3" s="1"/>
  <c r="I563" i="3" l="1"/>
  <c r="W563" i="3" s="1"/>
  <c r="J563" i="3"/>
  <c r="Z564" i="3"/>
  <c r="P564" i="3"/>
  <c r="Q564" i="3" s="1"/>
  <c r="R564" i="3" s="1"/>
  <c r="S564" i="3" s="1"/>
  <c r="AC564" i="3"/>
  <c r="AA564" i="3"/>
  <c r="L563" i="3" l="1"/>
  <c r="U563" i="3" s="1"/>
  <c r="AD563" i="3"/>
  <c r="T564" i="3"/>
  <c r="AH564" i="3" l="1"/>
  <c r="Y562" i="3"/>
  <c r="D564" i="3"/>
  <c r="E564" i="3"/>
  <c r="H564" i="3" s="1"/>
  <c r="AG564" i="3"/>
  <c r="K564" i="3" l="1"/>
  <c r="AE564" i="3" s="1"/>
  <c r="F564" i="3"/>
  <c r="G564" i="3"/>
  <c r="V564" i="3" l="1"/>
  <c r="A565" i="3"/>
  <c r="B565" i="3" s="1"/>
  <c r="I564" i="3"/>
  <c r="J564" i="3"/>
  <c r="AD564" i="3" s="1"/>
  <c r="M564" i="3"/>
  <c r="N564" i="3" s="1"/>
  <c r="W564" i="3" l="1"/>
  <c r="L564" i="3"/>
  <c r="Z565" i="3"/>
  <c r="AC565" i="3"/>
  <c r="P565" i="3"/>
  <c r="Q565" i="3" s="1"/>
  <c r="R565" i="3" s="1"/>
  <c r="S565" i="3" s="1"/>
  <c r="AA565" i="3"/>
  <c r="U564" i="3" l="1"/>
  <c r="Y563" i="3"/>
  <c r="T565" i="3"/>
  <c r="E565" i="3" l="1"/>
  <c r="H565" i="3" s="1"/>
  <c r="K565" i="3" s="1"/>
  <c r="AE565" i="3" s="1"/>
  <c r="D565" i="3"/>
  <c r="AG565" i="3"/>
  <c r="AH565" i="3"/>
  <c r="V565" i="3" l="1"/>
  <c r="A566" i="3"/>
  <c r="B566" i="3" s="1"/>
  <c r="F565" i="3"/>
  <c r="G565" i="3"/>
  <c r="I565" i="3" l="1"/>
  <c r="W565" i="3" s="1"/>
  <c r="J565" i="3"/>
  <c r="AD565" i="3" s="1"/>
  <c r="M565" i="3"/>
  <c r="N565" i="3" s="1"/>
  <c r="Z566" i="3"/>
  <c r="AA566" i="3"/>
  <c r="P566" i="3"/>
  <c r="Q566" i="3" s="1"/>
  <c r="R566" i="3" s="1"/>
  <c r="S566" i="3" s="1"/>
  <c r="AC566" i="3"/>
  <c r="L565" i="3" l="1"/>
  <c r="T566" i="3"/>
  <c r="AG566" i="3" l="1"/>
  <c r="AH566" i="3"/>
  <c r="U565" i="3"/>
  <c r="D566" i="3" s="1"/>
  <c r="Y564" i="3"/>
  <c r="G566" i="3" l="1"/>
  <c r="E566" i="3"/>
  <c r="H566" i="3" s="1"/>
  <c r="F566" i="3" l="1"/>
  <c r="I566" i="3"/>
  <c r="J566" i="3"/>
  <c r="AD566" i="3" s="1"/>
  <c r="M566" i="3"/>
  <c r="N566" i="3" s="1"/>
  <c r="K566" i="3"/>
  <c r="AE566" i="3" s="1"/>
  <c r="V566" i="3" l="1"/>
  <c r="W566" i="3" s="1"/>
  <c r="A567" i="3"/>
  <c r="B567" i="3" s="1"/>
  <c r="L566" i="3"/>
  <c r="U566" i="3" l="1"/>
  <c r="Y565" i="3"/>
  <c r="P567" i="3"/>
  <c r="Q567" i="3" s="1"/>
  <c r="R567" i="3" s="1"/>
  <c r="S567" i="3" s="1"/>
  <c r="AA567" i="3"/>
  <c r="Z567" i="3"/>
  <c r="AC567" i="3"/>
  <c r="T567" i="3" l="1"/>
  <c r="AG567" i="3" s="1"/>
  <c r="AH567" i="3" l="1"/>
  <c r="E567" i="3"/>
  <c r="H567" i="3" s="1"/>
  <c r="K567" i="3" s="1"/>
  <c r="AE567" i="3" s="1"/>
  <c r="D567" i="3"/>
  <c r="G567" i="3" s="1"/>
  <c r="F567" i="3" l="1"/>
  <c r="I567" i="3"/>
  <c r="J567" i="3"/>
  <c r="AD567" i="3" s="1"/>
  <c r="M567" i="3"/>
  <c r="N567" i="3" s="1"/>
  <c r="V567" i="3"/>
  <c r="A568" i="3"/>
  <c r="B568" i="3" s="1"/>
  <c r="W567" i="3" l="1"/>
  <c r="L567" i="3"/>
  <c r="AC568" i="3"/>
  <c r="P568" i="3"/>
  <c r="Q568" i="3" s="1"/>
  <c r="R568" i="3" s="1"/>
  <c r="S568" i="3" s="1"/>
  <c r="AA568" i="3"/>
  <c r="Z568" i="3"/>
  <c r="U567" i="3" l="1"/>
  <c r="Y566" i="3"/>
  <c r="T568" i="3"/>
  <c r="AG568" i="3" s="1"/>
  <c r="D568" i="3" l="1"/>
  <c r="G568" i="3" s="1"/>
  <c r="E568" i="3"/>
  <c r="H568" i="3" s="1"/>
  <c r="K568" i="3" s="1"/>
  <c r="AE568" i="3" s="1"/>
  <c r="AH568" i="3"/>
  <c r="F568" i="3" l="1"/>
  <c r="V568" i="3"/>
  <c r="A569" i="3"/>
  <c r="B569" i="3" s="1"/>
  <c r="I568" i="3"/>
  <c r="J568" i="3"/>
  <c r="AD568" i="3" s="1"/>
  <c r="M568" i="3"/>
  <c r="N568" i="3" s="1"/>
  <c r="L568" i="3" l="1"/>
  <c r="W568" i="3"/>
  <c r="AA569" i="3"/>
  <c r="P569" i="3"/>
  <c r="Q569" i="3" s="1"/>
  <c r="R569" i="3" s="1"/>
  <c r="S569" i="3" s="1"/>
  <c r="AC569" i="3"/>
  <c r="Z569" i="3"/>
  <c r="T569" i="3" l="1"/>
  <c r="AH569" i="3" s="1"/>
  <c r="U568" i="3"/>
  <c r="Y567" i="3"/>
  <c r="D569" i="3" l="1"/>
  <c r="G569" i="3" s="1"/>
  <c r="AG569" i="3"/>
  <c r="E569" i="3"/>
  <c r="H569" i="3" s="1"/>
  <c r="F569" i="3" l="1"/>
  <c r="I569" i="3"/>
  <c r="J569" i="3"/>
  <c r="AD569" i="3" s="1"/>
  <c r="M569" i="3"/>
  <c r="N569" i="3" s="1"/>
  <c r="K569" i="3"/>
  <c r="AE569" i="3" s="1"/>
  <c r="L569" i="3" l="1"/>
  <c r="V569" i="3"/>
  <c r="W569" i="3" s="1"/>
  <c r="A570" i="3"/>
  <c r="B570" i="3" s="1"/>
  <c r="AC570" i="3" l="1"/>
  <c r="P570" i="3"/>
  <c r="Q570" i="3" s="1"/>
  <c r="R570" i="3" s="1"/>
  <c r="S570" i="3" s="1"/>
  <c r="Z570" i="3"/>
  <c r="AA570" i="3"/>
  <c r="U569" i="3"/>
  <c r="Y568" i="3"/>
  <c r="T570" i="3" l="1"/>
  <c r="D570" i="3" l="1"/>
  <c r="E570" i="3"/>
  <c r="H570" i="3" s="1"/>
  <c r="AG570" i="3"/>
  <c r="AH570" i="3"/>
  <c r="F570" i="3" l="1"/>
  <c r="G570" i="3"/>
  <c r="K570" i="3"/>
  <c r="AE570" i="3" s="1"/>
  <c r="V570" i="3" l="1"/>
  <c r="A571" i="3"/>
  <c r="B571" i="3" s="1"/>
  <c r="I570" i="3"/>
  <c r="J570" i="3"/>
  <c r="AD570" i="3" s="1"/>
  <c r="M570" i="3"/>
  <c r="N570" i="3" s="1"/>
  <c r="W570" i="3" l="1"/>
  <c r="L570" i="3"/>
  <c r="P571" i="3"/>
  <c r="Q571" i="3" s="1"/>
  <c r="R571" i="3" s="1"/>
  <c r="S571" i="3" s="1"/>
  <c r="AA571" i="3"/>
  <c r="Z571" i="3"/>
  <c r="AC571" i="3"/>
  <c r="U570" i="3" l="1"/>
  <c r="Y569" i="3"/>
  <c r="T571" i="3"/>
  <c r="D571" i="3" l="1"/>
  <c r="G571" i="3" s="1"/>
  <c r="AG571" i="3"/>
  <c r="AH571" i="3"/>
  <c r="E571" i="3"/>
  <c r="H571" i="3" s="1"/>
  <c r="K571" i="3" s="1"/>
  <c r="AE571" i="3" s="1"/>
  <c r="F571" i="3" l="1"/>
  <c r="V571" i="3"/>
  <c r="A572" i="3"/>
  <c r="B572" i="3" s="1"/>
  <c r="I571" i="3"/>
  <c r="J571" i="3"/>
  <c r="AD571" i="3" s="1"/>
  <c r="M571" i="3"/>
  <c r="N571" i="3" s="1"/>
  <c r="W571" i="3" l="1"/>
  <c r="L571" i="3"/>
  <c r="AC572" i="3"/>
  <c r="P572" i="3"/>
  <c r="Q572" i="3" s="1"/>
  <c r="R572" i="3" s="1"/>
  <c r="S572" i="3" s="1"/>
  <c r="AA572" i="3"/>
  <c r="Z572" i="3"/>
  <c r="T572" i="3" l="1"/>
  <c r="AH572" i="3" s="1"/>
  <c r="U571" i="3"/>
  <c r="Y570" i="3"/>
  <c r="E572" i="3" l="1"/>
  <c r="H572" i="3" s="1"/>
  <c r="AG572" i="3"/>
  <c r="D572" i="3"/>
  <c r="F572" i="3" l="1"/>
  <c r="G572" i="3"/>
  <c r="K572" i="3"/>
  <c r="AE572" i="3" s="1"/>
  <c r="V572" i="3" l="1"/>
  <c r="A573" i="3"/>
  <c r="B573" i="3" s="1"/>
  <c r="I572" i="3"/>
  <c r="J572" i="3"/>
  <c r="AD572" i="3" s="1"/>
  <c r="M572" i="3"/>
  <c r="N572" i="3" s="1"/>
  <c r="W572" i="3" l="1"/>
  <c r="L572" i="3"/>
  <c r="P573" i="3"/>
  <c r="Q573" i="3" s="1"/>
  <c r="R573" i="3" s="1"/>
  <c r="S573" i="3" s="1"/>
  <c r="Z573" i="3"/>
  <c r="AC573" i="3"/>
  <c r="AA573" i="3"/>
  <c r="U572" i="3" l="1"/>
  <c r="Y571" i="3"/>
  <c r="T573" i="3"/>
  <c r="E573" i="3" l="1"/>
  <c r="H573" i="3" s="1"/>
  <c r="K573" i="3" s="1"/>
  <c r="AE573" i="3" s="1"/>
  <c r="D573" i="3"/>
  <c r="AH573" i="3"/>
  <c r="AG573" i="3"/>
  <c r="F573" i="3" l="1"/>
  <c r="G573" i="3"/>
  <c r="I573" i="3" s="1"/>
  <c r="V573" i="3"/>
  <c r="A574" i="3"/>
  <c r="B574" i="3" s="1"/>
  <c r="J573" i="3" l="1"/>
  <c r="M573" i="3"/>
  <c r="N573" i="3" s="1"/>
  <c r="W573" i="3"/>
  <c r="AA574" i="3"/>
  <c r="Z574" i="3"/>
  <c r="P574" i="3"/>
  <c r="Q574" i="3" s="1"/>
  <c r="R574" i="3" s="1"/>
  <c r="S574" i="3" s="1"/>
  <c r="AC574" i="3"/>
  <c r="L573" i="3" l="1"/>
  <c r="U573" i="3" s="1"/>
  <c r="AD573" i="3"/>
  <c r="T574" i="3"/>
  <c r="AH574" i="3" l="1"/>
  <c r="Y572" i="3"/>
  <c r="D574" i="3"/>
  <c r="G574" i="3" s="1"/>
  <c r="AG574" i="3"/>
  <c r="E574" i="3"/>
  <c r="H574" i="3" s="1"/>
  <c r="K574" i="3" l="1"/>
  <c r="AE574" i="3" s="1"/>
  <c r="I574" i="3"/>
  <c r="J574" i="3"/>
  <c r="AD574" i="3" s="1"/>
  <c r="M574" i="3"/>
  <c r="N574" i="3" s="1"/>
  <c r="F574" i="3"/>
  <c r="V574" i="3" l="1"/>
  <c r="W574" i="3" s="1"/>
  <c r="A575" i="3"/>
  <c r="B575" i="3" s="1"/>
  <c r="L574" i="3"/>
  <c r="U574" i="3" l="1"/>
  <c r="Y573" i="3"/>
  <c r="P575" i="3"/>
  <c r="Q575" i="3" s="1"/>
  <c r="R575" i="3" s="1"/>
  <c r="S575" i="3" s="1"/>
  <c r="Z575" i="3"/>
  <c r="AC575" i="3"/>
  <c r="AA575" i="3"/>
  <c r="T575" i="3" l="1"/>
  <c r="AH575" i="3" s="1"/>
  <c r="AG575" i="3" l="1"/>
  <c r="E575" i="3"/>
  <c r="H575" i="3" s="1"/>
  <c r="D575" i="3"/>
  <c r="K575" i="3" l="1"/>
  <c r="AE575" i="3" s="1"/>
  <c r="F575" i="3"/>
  <c r="G575" i="3"/>
  <c r="V575" i="3" l="1"/>
  <c r="A576" i="3"/>
  <c r="B576" i="3" s="1"/>
  <c r="I575" i="3"/>
  <c r="J575" i="3"/>
  <c r="AD575" i="3" s="1"/>
  <c r="M575" i="3"/>
  <c r="N575" i="3" s="1"/>
  <c r="W575" i="3" l="1"/>
  <c r="L575" i="3"/>
  <c r="AA576" i="3"/>
  <c r="P576" i="3"/>
  <c r="Q576" i="3" s="1"/>
  <c r="R576" i="3" s="1"/>
  <c r="S576" i="3" s="1"/>
  <c r="Z576" i="3"/>
  <c r="AC576" i="3"/>
  <c r="U575" i="3" l="1"/>
  <c r="Y574" i="3"/>
  <c r="T576" i="3"/>
  <c r="E576" i="3" l="1"/>
  <c r="H576" i="3" s="1"/>
  <c r="K576" i="3" s="1"/>
  <c r="AE576" i="3" s="1"/>
  <c r="AH576" i="3"/>
  <c r="D576" i="3"/>
  <c r="G576" i="3" s="1"/>
  <c r="AG576" i="3"/>
  <c r="F576" i="3" l="1"/>
  <c r="V576" i="3"/>
  <c r="A577" i="3"/>
  <c r="B577" i="3" s="1"/>
  <c r="I576" i="3"/>
  <c r="J576" i="3"/>
  <c r="AD576" i="3" s="1"/>
  <c r="M576" i="3"/>
  <c r="N576" i="3" s="1"/>
  <c r="W576" i="3" l="1"/>
  <c r="L576" i="3"/>
  <c r="P577" i="3"/>
  <c r="Q577" i="3" s="1"/>
  <c r="R577" i="3" s="1"/>
  <c r="S577" i="3" s="1"/>
  <c r="AC577" i="3"/>
  <c r="AA577" i="3"/>
  <c r="Z577" i="3"/>
  <c r="U576" i="3" l="1"/>
  <c r="Y575" i="3"/>
  <c r="T577" i="3"/>
  <c r="AH577" i="3" s="1"/>
  <c r="E577" i="3" l="1"/>
  <c r="H577" i="3" s="1"/>
  <c r="K577" i="3" s="1"/>
  <c r="AE577" i="3" s="1"/>
  <c r="AG577" i="3"/>
  <c r="D577" i="3"/>
  <c r="F577" i="3" l="1"/>
  <c r="G577" i="3"/>
  <c r="J577" i="3" s="1"/>
  <c r="AD577" i="3" s="1"/>
  <c r="V577" i="3"/>
  <c r="A578" i="3"/>
  <c r="B578" i="3" s="1"/>
  <c r="M577" i="3" l="1"/>
  <c r="N577" i="3" s="1"/>
  <c r="I577" i="3"/>
  <c r="W577" i="3" s="1"/>
  <c r="L577" i="3"/>
  <c r="AC578" i="3"/>
  <c r="P578" i="3"/>
  <c r="Q578" i="3" s="1"/>
  <c r="R578" i="3" s="1"/>
  <c r="S578" i="3" s="1"/>
  <c r="Z578" i="3"/>
  <c r="AA578" i="3"/>
  <c r="U577" i="3" l="1"/>
  <c r="Y576" i="3"/>
  <c r="T578" i="3"/>
  <c r="AG578" i="3" s="1"/>
  <c r="D578" i="3" l="1"/>
  <c r="G578" i="3" s="1"/>
  <c r="AH578" i="3"/>
  <c r="E578" i="3"/>
  <c r="H578" i="3" s="1"/>
  <c r="K578" i="3" s="1"/>
  <c r="AE578" i="3" s="1"/>
  <c r="F578" i="3" l="1"/>
  <c r="I578" i="3"/>
  <c r="J578" i="3"/>
  <c r="AD578" i="3" s="1"/>
  <c r="M578" i="3"/>
  <c r="N578" i="3" s="1"/>
  <c r="V578" i="3"/>
  <c r="A579" i="3"/>
  <c r="B579" i="3" s="1"/>
  <c r="W578" i="3" l="1"/>
  <c r="L578" i="3"/>
  <c r="AC579" i="3"/>
  <c r="Z579" i="3"/>
  <c r="P579" i="3"/>
  <c r="Q579" i="3" s="1"/>
  <c r="R579" i="3" s="1"/>
  <c r="S579" i="3" s="1"/>
  <c r="AA579" i="3"/>
  <c r="U578" i="3" l="1"/>
  <c r="Y577" i="3"/>
  <c r="T579" i="3"/>
  <c r="AG579" i="3" s="1"/>
  <c r="E579" i="3" l="1"/>
  <c r="H579" i="3" s="1"/>
  <c r="K579" i="3" s="1"/>
  <c r="AE579" i="3" s="1"/>
  <c r="AH579" i="3"/>
  <c r="D579" i="3"/>
  <c r="F579" i="3" l="1"/>
  <c r="G579" i="3"/>
  <c r="M579" i="3" s="1"/>
  <c r="N579" i="3" s="1"/>
  <c r="V579" i="3"/>
  <c r="A580" i="3"/>
  <c r="B580" i="3" s="1"/>
  <c r="I579" i="3" l="1"/>
  <c r="W579" i="3" s="1"/>
  <c r="J579" i="3"/>
  <c r="P580" i="3"/>
  <c r="Q580" i="3" s="1"/>
  <c r="R580" i="3" s="1"/>
  <c r="S580" i="3" s="1"/>
  <c r="AA580" i="3"/>
  <c r="AC580" i="3"/>
  <c r="Z580" i="3"/>
  <c r="L579" i="3" l="1"/>
  <c r="Y578" i="3" s="1"/>
  <c r="AD579" i="3"/>
  <c r="T580" i="3"/>
  <c r="AH580" i="3" l="1"/>
  <c r="U579" i="3"/>
  <c r="E580" i="3" s="1"/>
  <c r="H580" i="3" s="1"/>
  <c r="AG580" i="3"/>
  <c r="D580" i="3" l="1"/>
  <c r="G580" i="3" s="1"/>
  <c r="K580" i="3"/>
  <c r="AE580" i="3" s="1"/>
  <c r="F580" i="3" l="1"/>
  <c r="I580" i="3"/>
  <c r="J580" i="3"/>
  <c r="AD580" i="3" s="1"/>
  <c r="M580" i="3"/>
  <c r="N580" i="3" s="1"/>
  <c r="V580" i="3"/>
  <c r="A581" i="3"/>
  <c r="B581" i="3" s="1"/>
  <c r="W580" i="3" l="1"/>
  <c r="P581" i="3"/>
  <c r="Q581" i="3" s="1"/>
  <c r="R581" i="3" s="1"/>
  <c r="S581" i="3" s="1"/>
  <c r="Z581" i="3"/>
  <c r="AA581" i="3"/>
  <c r="AC581" i="3"/>
  <c r="L580" i="3"/>
  <c r="T581" i="3" l="1"/>
  <c r="AH581" i="3" s="1"/>
  <c r="U580" i="3"/>
  <c r="Y579" i="3"/>
  <c r="D581" i="3" l="1"/>
  <c r="G581" i="3" s="1"/>
  <c r="AG581" i="3"/>
  <c r="E581" i="3"/>
  <c r="H581" i="3" s="1"/>
  <c r="I581" i="3" l="1"/>
  <c r="J581" i="3"/>
  <c r="AD581" i="3" s="1"/>
  <c r="M581" i="3"/>
  <c r="N581" i="3" s="1"/>
  <c r="F581" i="3"/>
  <c r="K581" i="3"/>
  <c r="AE581" i="3" s="1"/>
  <c r="L581" i="3" l="1"/>
  <c r="V581" i="3"/>
  <c r="W581" i="3" s="1"/>
  <c r="A582" i="3"/>
  <c r="B582" i="3" s="1"/>
  <c r="P582" i="3" l="1"/>
  <c r="Q582" i="3" s="1"/>
  <c r="R582" i="3" s="1"/>
  <c r="S582" i="3" s="1"/>
  <c r="Z582" i="3"/>
  <c r="AC582" i="3"/>
  <c r="AA582" i="3"/>
  <c r="U581" i="3"/>
  <c r="Y580" i="3"/>
  <c r="T582" i="3" l="1"/>
  <c r="AH582" i="3" s="1"/>
  <c r="E582" i="3" l="1"/>
  <c r="H582" i="3" s="1"/>
  <c r="K582" i="3" s="1"/>
  <c r="AE582" i="3" s="1"/>
  <c r="AG582" i="3"/>
  <c r="D582" i="3"/>
  <c r="V582" i="3" l="1"/>
  <c r="A583" i="3"/>
  <c r="B583" i="3" s="1"/>
  <c r="F582" i="3"/>
  <c r="G582" i="3"/>
  <c r="I582" i="3" l="1"/>
  <c r="W582" i="3" s="1"/>
  <c r="J582" i="3"/>
  <c r="AD582" i="3" s="1"/>
  <c r="M582" i="3"/>
  <c r="N582" i="3" s="1"/>
  <c r="AA583" i="3"/>
  <c r="Z583" i="3"/>
  <c r="P583" i="3"/>
  <c r="Q583" i="3" s="1"/>
  <c r="R583" i="3" s="1"/>
  <c r="S583" i="3" s="1"/>
  <c r="AC583" i="3"/>
  <c r="T583" i="3" l="1"/>
  <c r="L582" i="3"/>
  <c r="U582" i="3" l="1"/>
  <c r="E583" i="3" s="1"/>
  <c r="H583" i="3" s="1"/>
  <c r="AG583" i="3"/>
  <c r="AH583" i="3"/>
  <c r="Y581" i="3"/>
  <c r="D583" i="3" l="1"/>
  <c r="G583" i="3" s="1"/>
  <c r="K583" i="3"/>
  <c r="AE583" i="3" s="1"/>
  <c r="F583" i="3" l="1"/>
  <c r="V583" i="3"/>
  <c r="A584" i="3"/>
  <c r="B584" i="3" s="1"/>
  <c r="I583" i="3"/>
  <c r="J583" i="3"/>
  <c r="AD583" i="3" s="1"/>
  <c r="M583" i="3"/>
  <c r="N583" i="3" s="1"/>
  <c r="W583" i="3" l="1"/>
  <c r="L583" i="3"/>
  <c r="AC584" i="3"/>
  <c r="P584" i="3"/>
  <c r="Q584" i="3" s="1"/>
  <c r="R584" i="3" s="1"/>
  <c r="S584" i="3" s="1"/>
  <c r="AA584" i="3"/>
  <c r="Z584" i="3"/>
  <c r="U583" i="3" l="1"/>
  <c r="Y582" i="3"/>
  <c r="T584" i="3"/>
  <c r="AG584" i="3" s="1"/>
  <c r="E584" i="3" l="1"/>
  <c r="H584" i="3" s="1"/>
  <c r="K584" i="3" s="1"/>
  <c r="AE584" i="3" s="1"/>
  <c r="AH584" i="3"/>
  <c r="D584" i="3"/>
  <c r="V584" i="3" l="1"/>
  <c r="A585" i="3"/>
  <c r="B585" i="3" s="1"/>
  <c r="F584" i="3"/>
  <c r="G584" i="3"/>
  <c r="Z585" i="3" l="1"/>
  <c r="AA585" i="3"/>
  <c r="P585" i="3"/>
  <c r="Q585" i="3" s="1"/>
  <c r="R585" i="3" s="1"/>
  <c r="S585" i="3" s="1"/>
  <c r="AD585" i="3"/>
  <c r="AC585" i="3"/>
  <c r="I584" i="3"/>
  <c r="W584" i="3" s="1"/>
  <c r="J584" i="3"/>
  <c r="AD584" i="3" s="1"/>
  <c r="M584" i="3"/>
  <c r="N584" i="3" s="1"/>
  <c r="T585" i="3" l="1"/>
  <c r="L584" i="3"/>
  <c r="AG585" i="3" l="1"/>
  <c r="U584" i="3"/>
  <c r="D585" i="3" s="1"/>
  <c r="AH585" i="3"/>
  <c r="Y583" i="3"/>
  <c r="G585" i="3" l="1"/>
  <c r="E585" i="3"/>
  <c r="H585" i="3" s="1"/>
  <c r="F585" i="3" l="1"/>
  <c r="I585" i="3"/>
  <c r="J585" i="3"/>
  <c r="M585" i="3"/>
  <c r="N585" i="3" s="1"/>
  <c r="K585" i="3"/>
  <c r="AE585" i="3" s="1"/>
  <c r="V585" i="3" l="1"/>
  <c r="W585" i="3" s="1"/>
  <c r="A586" i="3"/>
  <c r="B586" i="3" s="1"/>
  <c r="L585" i="3"/>
  <c r="U585" i="3" l="1"/>
  <c r="Y584" i="3"/>
  <c r="P586" i="3"/>
  <c r="Q586" i="3" s="1"/>
  <c r="R586" i="3" s="1"/>
  <c r="S586" i="3" s="1"/>
  <c r="AA586" i="3"/>
  <c r="Z586" i="3"/>
  <c r="AD586" i="3"/>
  <c r="AC586" i="3"/>
  <c r="T586" i="3" l="1"/>
  <c r="E586" i="3" s="1"/>
  <c r="H586" i="3" s="1"/>
  <c r="AH586" i="3" l="1"/>
  <c r="K586" i="3"/>
  <c r="AE586" i="3" s="1"/>
  <c r="AG586" i="3"/>
  <c r="D586" i="3"/>
  <c r="F586" i="3" l="1"/>
  <c r="G586" i="3"/>
  <c r="V586" i="3"/>
  <c r="A587" i="3"/>
  <c r="B587" i="3" s="1"/>
  <c r="AA587" i="3" l="1"/>
  <c r="Z587" i="3"/>
  <c r="AC587" i="3"/>
  <c r="P587" i="3"/>
  <c r="Q587" i="3" s="1"/>
  <c r="R587" i="3" s="1"/>
  <c r="S587" i="3" s="1"/>
  <c r="I586" i="3"/>
  <c r="W586" i="3" s="1"/>
  <c r="J586" i="3"/>
  <c r="M586" i="3"/>
  <c r="N586" i="3" s="1"/>
  <c r="T587" i="3" l="1"/>
  <c r="L586" i="3"/>
  <c r="AH587" i="3" l="1"/>
  <c r="U586" i="3"/>
  <c r="D587" i="3" s="1"/>
  <c r="AG587" i="3"/>
  <c r="Y585" i="3"/>
  <c r="G587" i="3" l="1"/>
  <c r="E587" i="3"/>
  <c r="H587" i="3" s="1"/>
  <c r="F587" i="3" l="1"/>
  <c r="K587" i="3"/>
  <c r="AE587" i="3" s="1"/>
  <c r="I587" i="3"/>
  <c r="J587" i="3"/>
  <c r="AD587" i="3" s="1"/>
  <c r="M587" i="3"/>
  <c r="N587" i="3" s="1"/>
  <c r="L587" i="3" l="1"/>
  <c r="V587" i="3"/>
  <c r="W587" i="3" s="1"/>
  <c r="A588" i="3"/>
  <c r="B588" i="3" s="1"/>
  <c r="U587" i="3" l="1"/>
  <c r="Y586" i="3"/>
  <c r="P588" i="3"/>
  <c r="Q588" i="3" s="1"/>
  <c r="R588" i="3" s="1"/>
  <c r="S588" i="3" s="1"/>
  <c r="Z588" i="3"/>
  <c r="AC588" i="3"/>
  <c r="AA588" i="3"/>
  <c r="T588" i="3" l="1"/>
  <c r="AH588" i="3" s="1"/>
  <c r="E588" i="3" l="1"/>
  <c r="H588" i="3" s="1"/>
  <c r="K588" i="3" s="1"/>
  <c r="AE588" i="3" s="1"/>
  <c r="AG588" i="3"/>
  <c r="D588" i="3"/>
  <c r="G588" i="3" s="1"/>
  <c r="F588" i="3" l="1"/>
  <c r="I588" i="3"/>
  <c r="J588" i="3"/>
  <c r="AD588" i="3" s="1"/>
  <c r="M588" i="3"/>
  <c r="N588" i="3" s="1"/>
  <c r="V588" i="3"/>
  <c r="A589" i="3"/>
  <c r="B589" i="3" s="1"/>
  <c r="W588" i="3" l="1"/>
  <c r="L588" i="3"/>
  <c r="AA589" i="3"/>
  <c r="Z589" i="3"/>
  <c r="AC589" i="3"/>
  <c r="P589" i="3"/>
  <c r="Q589" i="3" s="1"/>
  <c r="R589" i="3" s="1"/>
  <c r="S589" i="3" s="1"/>
  <c r="AD589" i="3"/>
  <c r="T589" i="3" l="1"/>
  <c r="AG589" i="3" s="1"/>
  <c r="U588" i="3"/>
  <c r="Y587" i="3"/>
  <c r="AH589" i="3" l="1"/>
  <c r="D589" i="3"/>
  <c r="E589" i="3"/>
  <c r="H589" i="3" s="1"/>
  <c r="F589" i="3" l="1"/>
  <c r="G589" i="3"/>
  <c r="K589" i="3"/>
  <c r="AE589" i="3" s="1"/>
  <c r="I589" i="3" l="1"/>
  <c r="J589" i="3"/>
  <c r="M589" i="3"/>
  <c r="N589" i="3" s="1"/>
  <c r="V589" i="3"/>
  <c r="A590" i="3"/>
  <c r="B590" i="3" s="1"/>
  <c r="W589" i="3" l="1"/>
  <c r="L589" i="3"/>
  <c r="P590" i="3"/>
  <c r="Q590" i="3" s="1"/>
  <c r="R590" i="3" s="1"/>
  <c r="S590" i="3" s="1"/>
  <c r="AC590" i="3"/>
  <c r="AA590" i="3"/>
  <c r="Z590" i="3"/>
  <c r="AD590" i="3"/>
  <c r="U589" i="3" l="1"/>
  <c r="Y588" i="3"/>
  <c r="T590" i="3"/>
  <c r="AH590" i="3" s="1"/>
  <c r="D590" i="3" l="1"/>
  <c r="G590" i="3" s="1"/>
  <c r="E590" i="3"/>
  <c r="H590" i="3" s="1"/>
  <c r="K590" i="3" s="1"/>
  <c r="AE590" i="3" s="1"/>
  <c r="AG590" i="3"/>
  <c r="F590" i="3" l="1"/>
  <c r="V590" i="3"/>
  <c r="A591" i="3"/>
  <c r="B591" i="3" s="1"/>
  <c r="I590" i="3"/>
  <c r="J590" i="3"/>
  <c r="M590" i="3"/>
  <c r="N590" i="3" s="1"/>
  <c r="W590" i="3" l="1"/>
  <c r="L590" i="3"/>
  <c r="AC591" i="3"/>
  <c r="P591" i="3"/>
  <c r="Q591" i="3" s="1"/>
  <c r="R591" i="3" s="1"/>
  <c r="S591" i="3" s="1"/>
  <c r="Z591" i="3"/>
  <c r="AA591" i="3"/>
  <c r="AD591" i="3"/>
  <c r="U590" i="3" l="1"/>
  <c r="Y589" i="3"/>
  <c r="T591" i="3"/>
  <c r="AG591" i="3" s="1"/>
  <c r="D591" i="3" l="1"/>
  <c r="G591" i="3" s="1"/>
  <c r="E591" i="3"/>
  <c r="H591" i="3" s="1"/>
  <c r="K591" i="3" s="1"/>
  <c r="AE591" i="3" s="1"/>
  <c r="AH591" i="3"/>
  <c r="F591" i="3" l="1"/>
  <c r="I591" i="3"/>
  <c r="J591" i="3"/>
  <c r="M591" i="3"/>
  <c r="N591" i="3" s="1"/>
  <c r="V591" i="3"/>
  <c r="A592" i="3"/>
  <c r="B592" i="3" s="1"/>
  <c r="W591" i="3" l="1"/>
  <c r="L591" i="3"/>
  <c r="AA592" i="3"/>
  <c r="AC592" i="3"/>
  <c r="Z592" i="3"/>
  <c r="AD592" i="3"/>
  <c r="P592" i="3"/>
  <c r="Q592" i="3" s="1"/>
  <c r="R592" i="3" s="1"/>
  <c r="S592" i="3" s="1"/>
  <c r="U591" i="3" l="1"/>
  <c r="Y590" i="3"/>
  <c r="T592" i="3"/>
  <c r="D592" i="3" l="1"/>
  <c r="G592" i="3" s="1"/>
  <c r="AH592" i="3"/>
  <c r="AG592" i="3"/>
  <c r="E592" i="3"/>
  <c r="H592" i="3" s="1"/>
  <c r="K592" i="3" s="1"/>
  <c r="AE592" i="3" s="1"/>
  <c r="F592" i="3" l="1"/>
  <c r="I592" i="3"/>
  <c r="J592" i="3"/>
  <c r="M592" i="3"/>
  <c r="N592" i="3" s="1"/>
  <c r="V592" i="3"/>
  <c r="A593" i="3"/>
  <c r="B593" i="3" s="1"/>
  <c r="W592" i="3" l="1"/>
  <c r="L592" i="3"/>
  <c r="Z593" i="3"/>
  <c r="P593" i="3"/>
  <c r="Q593" i="3" s="1"/>
  <c r="R593" i="3" s="1"/>
  <c r="S593" i="3" s="1"/>
  <c r="AD593" i="3"/>
  <c r="AA593" i="3"/>
  <c r="AC593" i="3"/>
  <c r="U592" i="3" l="1"/>
  <c r="Y591" i="3"/>
  <c r="T593" i="3"/>
  <c r="E593" i="3" l="1"/>
  <c r="H593" i="3" s="1"/>
  <c r="K593" i="3" s="1"/>
  <c r="AE593" i="3" s="1"/>
  <c r="D593" i="3"/>
  <c r="G593" i="3" s="1"/>
  <c r="AH593" i="3"/>
  <c r="AG593" i="3"/>
  <c r="F593" i="3" l="1"/>
  <c r="I593" i="3"/>
  <c r="J593" i="3"/>
  <c r="M593" i="3"/>
  <c r="N593" i="3" s="1"/>
  <c r="V593" i="3"/>
  <c r="A594" i="3"/>
  <c r="B594" i="3" s="1"/>
  <c r="W593" i="3" l="1"/>
  <c r="L593" i="3"/>
  <c r="Z594" i="3"/>
  <c r="AA594" i="3"/>
  <c r="P594" i="3"/>
  <c r="Q594" i="3" s="1"/>
  <c r="R594" i="3" s="1"/>
  <c r="S594" i="3" s="1"/>
  <c r="AC594" i="3"/>
  <c r="U593" i="3" l="1"/>
  <c r="Y592" i="3"/>
  <c r="T594" i="3"/>
  <c r="AG594" i="3" s="1"/>
  <c r="AH594" i="3" l="1"/>
  <c r="E594" i="3"/>
  <c r="H594" i="3" s="1"/>
  <c r="K594" i="3" s="1"/>
  <c r="AE594" i="3" s="1"/>
  <c r="D594" i="3"/>
  <c r="V594" i="3" l="1"/>
  <c r="A595" i="3"/>
  <c r="B595" i="3" s="1"/>
  <c r="F594" i="3"/>
  <c r="G594" i="3"/>
  <c r="I594" i="3" l="1"/>
  <c r="W594" i="3" s="1"/>
  <c r="J594" i="3"/>
  <c r="AD594" i="3" s="1"/>
  <c r="M594" i="3"/>
  <c r="N594" i="3" s="1"/>
  <c r="AC595" i="3"/>
  <c r="AA595" i="3"/>
  <c r="P595" i="3"/>
  <c r="Q595" i="3" s="1"/>
  <c r="R595" i="3" s="1"/>
  <c r="S595" i="3" s="1"/>
  <c r="Z595" i="3"/>
  <c r="T595" i="3" l="1"/>
  <c r="L594" i="3"/>
  <c r="AH595" i="3" l="1"/>
  <c r="U594" i="3"/>
  <c r="E595" i="3" s="1"/>
  <c r="H595" i="3" s="1"/>
  <c r="AG595" i="3"/>
  <c r="Y593" i="3"/>
  <c r="D595" i="3" l="1"/>
  <c r="G595" i="3" s="1"/>
  <c r="K595" i="3"/>
  <c r="AE595" i="3" s="1"/>
  <c r="F595" i="3" l="1"/>
  <c r="V595" i="3"/>
  <c r="A596" i="3"/>
  <c r="B596" i="3" s="1"/>
  <c r="I595" i="3"/>
  <c r="J595" i="3"/>
  <c r="AD595" i="3" s="1"/>
  <c r="M595" i="3"/>
  <c r="N595" i="3" s="1"/>
  <c r="W595" i="3" l="1"/>
  <c r="L595" i="3"/>
  <c r="P596" i="3"/>
  <c r="Q596" i="3" s="1"/>
  <c r="R596" i="3" s="1"/>
  <c r="S596" i="3" s="1"/>
  <c r="AA596" i="3"/>
  <c r="AC596" i="3"/>
  <c r="Z596" i="3"/>
  <c r="T596" i="3" l="1"/>
  <c r="AG596" i="3" s="1"/>
  <c r="U595" i="3"/>
  <c r="Y594" i="3"/>
  <c r="D596" i="3" l="1"/>
  <c r="E596" i="3"/>
  <c r="H596" i="3" s="1"/>
  <c r="AH596" i="3"/>
  <c r="F596" i="3" l="1"/>
  <c r="G596" i="3"/>
  <c r="K596" i="3"/>
  <c r="AE596" i="3" s="1"/>
  <c r="V596" i="3" l="1"/>
  <c r="A597" i="3"/>
  <c r="B597" i="3" s="1"/>
  <c r="I596" i="3"/>
  <c r="J596" i="3"/>
  <c r="AD596" i="3" s="1"/>
  <c r="M596" i="3"/>
  <c r="N596" i="3" s="1"/>
  <c r="W596" i="3" l="1"/>
  <c r="L596" i="3"/>
  <c r="Z597" i="3"/>
  <c r="P597" i="3"/>
  <c r="Q597" i="3" s="1"/>
  <c r="R597" i="3" s="1"/>
  <c r="S597" i="3" s="1"/>
  <c r="AA597" i="3"/>
  <c r="AC597" i="3"/>
  <c r="U596" i="3" l="1"/>
  <c r="Y595" i="3"/>
  <c r="T597" i="3"/>
  <c r="E597" i="3" l="1"/>
  <c r="H597" i="3" s="1"/>
  <c r="K597" i="3" s="1"/>
  <c r="AE597" i="3" s="1"/>
  <c r="AH597" i="3"/>
  <c r="AG597" i="3"/>
  <c r="D597" i="3"/>
  <c r="G597" i="3" s="1"/>
  <c r="F597" i="3" l="1"/>
  <c r="I597" i="3"/>
  <c r="J597" i="3"/>
  <c r="AD597" i="3" s="1"/>
  <c r="M597" i="3"/>
  <c r="N597" i="3" s="1"/>
  <c r="V597" i="3"/>
  <c r="A598" i="3"/>
  <c r="B598" i="3" s="1"/>
  <c r="W597" i="3" l="1"/>
  <c r="L597" i="3"/>
  <c r="AC598" i="3"/>
  <c r="P598" i="3"/>
  <c r="Q598" i="3" s="1"/>
  <c r="R598" i="3" s="1"/>
  <c r="S598" i="3" s="1"/>
  <c r="Z598" i="3"/>
  <c r="AA598" i="3"/>
  <c r="U597" i="3" l="1"/>
  <c r="Y596" i="3"/>
  <c r="T598" i="3"/>
  <c r="AG598" i="3" s="1"/>
  <c r="AH598" i="3" l="1"/>
  <c r="E598" i="3"/>
  <c r="H598" i="3" s="1"/>
  <c r="K598" i="3" s="1"/>
  <c r="AE598" i="3" s="1"/>
  <c r="D598" i="3"/>
  <c r="V598" i="3" l="1"/>
  <c r="A599" i="3"/>
  <c r="B599" i="3" s="1"/>
  <c r="F598" i="3"/>
  <c r="G598" i="3"/>
  <c r="I598" i="3" l="1"/>
  <c r="W598" i="3" s="1"/>
  <c r="J598" i="3"/>
  <c r="AD598" i="3" s="1"/>
  <c r="M598" i="3"/>
  <c r="N598" i="3" s="1"/>
  <c r="AC599" i="3"/>
  <c r="AA599" i="3"/>
  <c r="P599" i="3"/>
  <c r="Q599" i="3" s="1"/>
  <c r="R599" i="3" s="1"/>
  <c r="S599" i="3" s="1"/>
  <c r="Z599" i="3"/>
  <c r="T599" i="3" l="1"/>
  <c r="L598" i="3"/>
  <c r="U598" i="3" l="1"/>
  <c r="D599" i="3" s="1"/>
  <c r="AG599" i="3"/>
  <c r="AH599" i="3"/>
  <c r="Y597" i="3"/>
  <c r="G599" i="3" l="1"/>
  <c r="E599" i="3"/>
  <c r="H599" i="3" s="1"/>
  <c r="I599" i="3" l="1"/>
  <c r="J599" i="3"/>
  <c r="AD599" i="3" s="1"/>
  <c r="M599" i="3"/>
  <c r="N599" i="3" s="1"/>
  <c r="K599" i="3"/>
  <c r="AE599" i="3" s="1"/>
  <c r="F599" i="3"/>
  <c r="V599" i="3" l="1"/>
  <c r="W599" i="3" s="1"/>
  <c r="A600" i="3"/>
  <c r="B600" i="3" s="1"/>
  <c r="L599" i="3"/>
  <c r="U599" i="3" l="1"/>
  <c r="Y598" i="3"/>
  <c r="AC600" i="3"/>
  <c r="P600" i="3"/>
  <c r="Q600" i="3" s="1"/>
  <c r="R600" i="3" s="1"/>
  <c r="S600" i="3" s="1"/>
  <c r="Z600" i="3"/>
  <c r="AA600" i="3"/>
  <c r="T600" i="3" l="1"/>
  <c r="E600" i="3" s="1"/>
  <c r="H600" i="3" s="1"/>
  <c r="AH600" i="3" l="1"/>
  <c r="K600" i="3"/>
  <c r="AE600" i="3" s="1"/>
  <c r="AG600" i="3"/>
  <c r="D600" i="3"/>
  <c r="V600" i="3" l="1"/>
  <c r="A601" i="3"/>
  <c r="B601" i="3" s="1"/>
  <c r="F600" i="3"/>
  <c r="G600" i="3"/>
  <c r="I600" i="3" l="1"/>
  <c r="W600" i="3" s="1"/>
  <c r="J600" i="3"/>
  <c r="AD600" i="3" s="1"/>
  <c r="M600" i="3"/>
  <c r="N600" i="3" s="1"/>
  <c r="P601" i="3"/>
  <c r="Q601" i="3" s="1"/>
  <c r="R601" i="3" s="1"/>
  <c r="S601" i="3" s="1"/>
  <c r="AA601" i="3"/>
  <c r="AC601" i="3"/>
  <c r="Z601" i="3"/>
  <c r="T601" i="3" l="1"/>
  <c r="L600" i="3"/>
  <c r="AH601" i="3" l="1"/>
  <c r="U600" i="3"/>
  <c r="D601" i="3" s="1"/>
  <c r="AG601" i="3"/>
  <c r="Y599" i="3"/>
  <c r="E601" i="3" l="1"/>
  <c r="H601" i="3" s="1"/>
  <c r="K601" i="3" s="1"/>
  <c r="AE601" i="3" s="1"/>
  <c r="G601" i="3"/>
  <c r="F601" i="3" l="1"/>
  <c r="I601" i="3"/>
  <c r="J601" i="3"/>
  <c r="AD601" i="3" s="1"/>
  <c r="M601" i="3"/>
  <c r="N601" i="3" s="1"/>
  <c r="V601" i="3"/>
  <c r="A602" i="3"/>
  <c r="B602" i="3" s="1"/>
  <c r="W601" i="3" l="1"/>
  <c r="L601" i="3"/>
  <c r="P602" i="3"/>
  <c r="Q602" i="3" s="1"/>
  <c r="R602" i="3" s="1"/>
  <c r="S602" i="3" s="1"/>
  <c r="Z602" i="3"/>
  <c r="AC602" i="3"/>
  <c r="AA602" i="3"/>
  <c r="U601" i="3" l="1"/>
  <c r="Y600" i="3"/>
  <c r="T602" i="3"/>
  <c r="AG602" i="3" s="1"/>
  <c r="D602" i="3" l="1"/>
  <c r="E602" i="3"/>
  <c r="H602" i="3" s="1"/>
  <c r="AH602" i="3"/>
  <c r="K602" i="3" l="1"/>
  <c r="AE602" i="3" s="1"/>
  <c r="F602" i="3"/>
  <c r="G602" i="3"/>
  <c r="I602" i="3" l="1"/>
  <c r="J602" i="3"/>
  <c r="AD602" i="3" s="1"/>
  <c r="M602" i="3"/>
  <c r="N602" i="3" s="1"/>
  <c r="V602" i="3"/>
  <c r="A603" i="3"/>
  <c r="B603" i="3" s="1"/>
  <c r="W602" i="3" l="1"/>
  <c r="L602" i="3"/>
  <c r="AA603" i="3"/>
  <c r="AC603" i="3"/>
  <c r="Z603" i="3"/>
  <c r="P603" i="3"/>
  <c r="Q603" i="3" s="1"/>
  <c r="R603" i="3" s="1"/>
  <c r="S603" i="3" s="1"/>
  <c r="U602" i="3" l="1"/>
  <c r="Y601" i="3"/>
  <c r="T603" i="3"/>
  <c r="AG603" i="3" s="1"/>
  <c r="AH603" i="3" l="1"/>
  <c r="D603" i="3"/>
  <c r="G603" i="3" s="1"/>
  <c r="E603" i="3"/>
  <c r="H603" i="3" s="1"/>
  <c r="K603" i="3" s="1"/>
  <c r="AE603" i="3" s="1"/>
  <c r="F603" i="3" l="1"/>
  <c r="I603" i="3"/>
  <c r="J603" i="3"/>
  <c r="AD603" i="3" s="1"/>
  <c r="M603" i="3"/>
  <c r="N603" i="3" s="1"/>
  <c r="V603" i="3"/>
  <c r="A604" i="3"/>
  <c r="B604" i="3" s="1"/>
  <c r="W603" i="3" l="1"/>
  <c r="L603" i="3"/>
  <c r="AC604" i="3"/>
  <c r="Z604" i="3"/>
  <c r="AA604" i="3"/>
  <c r="P604" i="3"/>
  <c r="Q604" i="3" s="1"/>
  <c r="R604" i="3" s="1"/>
  <c r="S604" i="3" s="1"/>
  <c r="U603" i="3" l="1"/>
  <c r="Y602" i="3"/>
  <c r="T604" i="3"/>
  <c r="AH604" i="3" s="1"/>
  <c r="D604" i="3" l="1"/>
  <c r="E604" i="3"/>
  <c r="H604" i="3" s="1"/>
  <c r="AG604" i="3"/>
  <c r="F604" i="3" l="1"/>
  <c r="G604" i="3"/>
  <c r="K604" i="3"/>
  <c r="AE604" i="3" s="1"/>
  <c r="V604" i="3" l="1"/>
  <c r="A605" i="3"/>
  <c r="B605" i="3" s="1"/>
  <c r="I604" i="3"/>
  <c r="J604" i="3"/>
  <c r="AD604" i="3" s="1"/>
  <c r="M604" i="3"/>
  <c r="N604" i="3" s="1"/>
  <c r="W604" i="3" l="1"/>
  <c r="L604" i="3"/>
  <c r="P605" i="3"/>
  <c r="Q605" i="3" s="1"/>
  <c r="R605" i="3" s="1"/>
  <c r="S605" i="3" s="1"/>
  <c r="Z605" i="3"/>
  <c r="AA605" i="3"/>
  <c r="AD605" i="3"/>
  <c r="AC605" i="3"/>
  <c r="U604" i="3" l="1"/>
  <c r="Y603" i="3"/>
  <c r="T605" i="3"/>
  <c r="AG605" i="3" s="1"/>
  <c r="AH605" i="3" l="1"/>
  <c r="D605" i="3"/>
  <c r="E605" i="3"/>
  <c r="H605" i="3" s="1"/>
  <c r="K605" i="3" s="1"/>
  <c r="AE605" i="3" s="1"/>
  <c r="F605" i="3" l="1"/>
  <c r="G605" i="3"/>
  <c r="M605" i="3" s="1"/>
  <c r="N605" i="3" s="1"/>
  <c r="V605" i="3"/>
  <c r="A606" i="3"/>
  <c r="B606" i="3" s="1"/>
  <c r="I605" i="3" l="1"/>
  <c r="W605" i="3" s="1"/>
  <c r="J605" i="3"/>
  <c r="L605" i="3" s="1"/>
  <c r="P606" i="3"/>
  <c r="Q606" i="3" s="1"/>
  <c r="R606" i="3" s="1"/>
  <c r="S606" i="3" s="1"/>
  <c r="AC606" i="3"/>
  <c r="AD606" i="3"/>
  <c r="AA606" i="3"/>
  <c r="Z606" i="3"/>
  <c r="U605" i="3" l="1"/>
  <c r="Y604" i="3"/>
  <c r="T606" i="3"/>
  <c r="AG606" i="3" s="1"/>
  <c r="E606" i="3" l="1"/>
  <c r="H606" i="3" s="1"/>
  <c r="AH606" i="3"/>
  <c r="D606" i="3"/>
  <c r="F606" i="3" l="1"/>
  <c r="G606" i="3"/>
  <c r="K606" i="3"/>
  <c r="AE606" i="3" s="1"/>
  <c r="I606" i="3" l="1"/>
  <c r="J606" i="3"/>
  <c r="M606" i="3"/>
  <c r="N606" i="3" s="1"/>
  <c r="V606" i="3"/>
  <c r="A607" i="3"/>
  <c r="B607" i="3" s="1"/>
  <c r="W606" i="3" l="1"/>
  <c r="L606" i="3"/>
  <c r="Z607" i="3"/>
  <c r="AC607" i="3"/>
  <c r="P607" i="3"/>
  <c r="Q607" i="3" s="1"/>
  <c r="R607" i="3" s="1"/>
  <c r="S607" i="3" s="1"/>
  <c r="AA607" i="3"/>
  <c r="U606" i="3" l="1"/>
  <c r="Y605" i="3"/>
  <c r="T607" i="3"/>
  <c r="AH607" i="3" s="1"/>
  <c r="E607" i="3" l="1"/>
  <c r="H607" i="3" s="1"/>
  <c r="K607" i="3" s="1"/>
  <c r="AE607" i="3" s="1"/>
  <c r="D607" i="3"/>
  <c r="AG607" i="3"/>
  <c r="V607" i="3" l="1"/>
  <c r="A608" i="3"/>
  <c r="B608" i="3" s="1"/>
  <c r="F607" i="3"/>
  <c r="G607" i="3"/>
  <c r="I607" i="3" l="1"/>
  <c r="W607" i="3" s="1"/>
  <c r="J607" i="3"/>
  <c r="AD607" i="3" s="1"/>
  <c r="M607" i="3"/>
  <c r="N607" i="3" s="1"/>
  <c r="AA608" i="3"/>
  <c r="P608" i="3"/>
  <c r="Q608" i="3" s="1"/>
  <c r="R608" i="3" s="1"/>
  <c r="S608" i="3" s="1"/>
  <c r="Z608" i="3"/>
  <c r="AC608" i="3"/>
  <c r="T608" i="3" l="1"/>
  <c r="L607" i="3"/>
  <c r="AH608" i="3" l="1"/>
  <c r="AG608" i="3"/>
  <c r="U607" i="3"/>
  <c r="E608" i="3" s="1"/>
  <c r="H608" i="3" s="1"/>
  <c r="Y606" i="3"/>
  <c r="D608" i="3" l="1"/>
  <c r="G608" i="3" s="1"/>
  <c r="K608" i="3"/>
  <c r="AE608" i="3" s="1"/>
  <c r="F608" i="3" l="1"/>
  <c r="I608" i="3"/>
  <c r="J608" i="3"/>
  <c r="AD608" i="3" s="1"/>
  <c r="M608" i="3"/>
  <c r="N608" i="3" s="1"/>
  <c r="V608" i="3"/>
  <c r="A609" i="3"/>
  <c r="B609" i="3" s="1"/>
  <c r="L608" i="3" l="1"/>
  <c r="W608" i="3"/>
  <c r="Z609" i="3"/>
  <c r="P609" i="3"/>
  <c r="Q609" i="3" s="1"/>
  <c r="R609" i="3" s="1"/>
  <c r="S609" i="3" s="1"/>
  <c r="AC609" i="3"/>
  <c r="AA609" i="3"/>
  <c r="AD609" i="3"/>
  <c r="U608" i="3" l="1"/>
  <c r="Y607" i="3"/>
  <c r="T609" i="3"/>
  <c r="AG609" i="3" s="1"/>
  <c r="E609" i="3" l="1"/>
  <c r="H609" i="3" s="1"/>
  <c r="D609" i="3"/>
  <c r="AH609" i="3"/>
  <c r="K609" i="3" l="1"/>
  <c r="AE609" i="3" s="1"/>
  <c r="F609" i="3"/>
  <c r="G609" i="3"/>
  <c r="I609" i="3" l="1"/>
  <c r="J609" i="3"/>
  <c r="M609" i="3"/>
  <c r="N609" i="3" s="1"/>
  <c r="V609" i="3"/>
  <c r="A610" i="3"/>
  <c r="B610" i="3" s="1"/>
  <c r="L609" i="3" l="1"/>
  <c r="W609" i="3"/>
  <c r="AA610" i="3"/>
  <c r="P610" i="3"/>
  <c r="Q610" i="3" s="1"/>
  <c r="R610" i="3" s="1"/>
  <c r="S610" i="3" s="1"/>
  <c r="Z610" i="3"/>
  <c r="AC610" i="3"/>
  <c r="AD610" i="3"/>
  <c r="U609" i="3" l="1"/>
  <c r="Y608" i="3"/>
  <c r="T610" i="3"/>
  <c r="AG610" i="3" s="1"/>
  <c r="AH610" i="3" l="1"/>
  <c r="D610" i="3"/>
  <c r="G610" i="3" s="1"/>
  <c r="E610" i="3"/>
  <c r="H610" i="3" s="1"/>
  <c r="K610" i="3" s="1"/>
  <c r="AE610" i="3" s="1"/>
  <c r="F610" i="3" l="1"/>
  <c r="I610" i="3"/>
  <c r="J610" i="3"/>
  <c r="M610" i="3"/>
  <c r="N610" i="3" s="1"/>
  <c r="V610" i="3"/>
  <c r="A611" i="3"/>
  <c r="B611" i="3" s="1"/>
  <c r="W610" i="3" l="1"/>
  <c r="L610" i="3"/>
  <c r="AA611" i="3"/>
  <c r="P611" i="3"/>
  <c r="Q611" i="3" s="1"/>
  <c r="R611" i="3" s="1"/>
  <c r="S611" i="3" s="1"/>
  <c r="AC611" i="3"/>
  <c r="AD611" i="3"/>
  <c r="Z611" i="3"/>
  <c r="T611" i="3" l="1"/>
  <c r="U610" i="3"/>
  <c r="Y609" i="3"/>
  <c r="E611" i="3" l="1"/>
  <c r="H611" i="3" s="1"/>
  <c r="K611" i="3" s="1"/>
  <c r="AE611" i="3" s="1"/>
  <c r="AH611" i="3"/>
  <c r="AG611" i="3"/>
  <c r="D611" i="3"/>
  <c r="V611" i="3" l="1"/>
  <c r="A612" i="3"/>
  <c r="B612" i="3" s="1"/>
  <c r="F611" i="3"/>
  <c r="G611" i="3"/>
  <c r="I611" i="3" l="1"/>
  <c r="W611" i="3" s="1"/>
  <c r="J611" i="3"/>
  <c r="M611" i="3"/>
  <c r="N611" i="3" s="1"/>
  <c r="Z612" i="3"/>
  <c r="P612" i="3"/>
  <c r="Q612" i="3" s="1"/>
  <c r="R612" i="3" s="1"/>
  <c r="S612" i="3" s="1"/>
  <c r="AD612" i="3"/>
  <c r="AC612" i="3"/>
  <c r="AA612" i="3"/>
  <c r="T612" i="3" l="1"/>
  <c r="L611" i="3"/>
  <c r="U611" i="3" l="1"/>
  <c r="E612" i="3" s="1"/>
  <c r="H612" i="3" s="1"/>
  <c r="AH612" i="3"/>
  <c r="AG612" i="3"/>
  <c r="Y610" i="3"/>
  <c r="D612" i="3" l="1"/>
  <c r="G612" i="3" s="1"/>
  <c r="K612" i="3"/>
  <c r="AE612" i="3" s="1"/>
  <c r="F612" i="3" l="1"/>
  <c r="V612" i="3"/>
  <c r="A613" i="3"/>
  <c r="B613" i="3" s="1"/>
  <c r="I612" i="3"/>
  <c r="J612" i="3"/>
  <c r="M612" i="3"/>
  <c r="N612" i="3" s="1"/>
  <c r="W612" i="3" l="1"/>
  <c r="L612" i="3"/>
  <c r="P613" i="3"/>
  <c r="Q613" i="3" s="1"/>
  <c r="R613" i="3" s="1"/>
  <c r="S613" i="3" s="1"/>
  <c r="AD613" i="3"/>
  <c r="AA613" i="3"/>
  <c r="Z613" i="3"/>
  <c r="AC613" i="3"/>
  <c r="U612" i="3" l="1"/>
  <c r="Y611" i="3"/>
  <c r="T613" i="3"/>
  <c r="AG613" i="3" s="1"/>
  <c r="D613" i="3" l="1"/>
  <c r="AH613" i="3"/>
  <c r="E613" i="3"/>
  <c r="H613" i="3" s="1"/>
  <c r="F613" i="3" l="1"/>
  <c r="G613" i="3"/>
  <c r="K613" i="3"/>
  <c r="AE613" i="3" s="1"/>
  <c r="V613" i="3" l="1"/>
  <c r="A614" i="3"/>
  <c r="B614" i="3" s="1"/>
  <c r="I613" i="3"/>
  <c r="J613" i="3"/>
  <c r="M613" i="3"/>
  <c r="N613" i="3" s="1"/>
  <c r="W613" i="3" l="1"/>
  <c r="L613" i="3"/>
  <c r="AC614" i="3"/>
  <c r="AA614" i="3"/>
  <c r="Z614" i="3"/>
  <c r="P614" i="3"/>
  <c r="Q614" i="3" s="1"/>
  <c r="R614" i="3" s="1"/>
  <c r="S614" i="3" s="1"/>
  <c r="U613" i="3" l="1"/>
  <c r="Y612" i="3"/>
  <c r="T614" i="3"/>
  <c r="AG614" i="3" s="1"/>
  <c r="D614" i="3" l="1"/>
  <c r="G614" i="3" s="1"/>
  <c r="E614" i="3"/>
  <c r="H614" i="3" s="1"/>
  <c r="K614" i="3" s="1"/>
  <c r="AE614" i="3" s="1"/>
  <c r="AH614" i="3"/>
  <c r="F614" i="3" l="1"/>
  <c r="I614" i="3"/>
  <c r="J614" i="3"/>
  <c r="AD614" i="3" s="1"/>
  <c r="M614" i="3"/>
  <c r="N614" i="3" s="1"/>
  <c r="V614" i="3"/>
  <c r="A615" i="3"/>
  <c r="B615" i="3" s="1"/>
  <c r="L614" i="3" l="1"/>
  <c r="W614" i="3"/>
  <c r="P615" i="3"/>
  <c r="Q615" i="3" s="1"/>
  <c r="R615" i="3" s="1"/>
  <c r="S615" i="3" s="1"/>
  <c r="AC615" i="3"/>
  <c r="Z615" i="3"/>
  <c r="AA615" i="3"/>
  <c r="AD615" i="3"/>
  <c r="U614" i="3" l="1"/>
  <c r="Y613" i="3"/>
  <c r="T615" i="3"/>
  <c r="AH615" i="3" s="1"/>
  <c r="E615" i="3" l="1"/>
  <c r="H615" i="3" s="1"/>
  <c r="K615" i="3" s="1"/>
  <c r="AE615" i="3" s="1"/>
  <c r="AG615" i="3"/>
  <c r="D615" i="3"/>
  <c r="F615" i="3" l="1"/>
  <c r="G615" i="3"/>
  <c r="V615" i="3"/>
  <c r="A616" i="3"/>
  <c r="B616" i="3" s="1"/>
  <c r="AD616" i="3" l="1"/>
  <c r="P616" i="3"/>
  <c r="Q616" i="3" s="1"/>
  <c r="R616" i="3" s="1"/>
  <c r="S616" i="3" s="1"/>
  <c r="Z616" i="3"/>
  <c r="AC616" i="3"/>
  <c r="AA616" i="3"/>
  <c r="I615" i="3"/>
  <c r="W615" i="3" s="1"/>
  <c r="J615" i="3"/>
  <c r="M615" i="3"/>
  <c r="N615" i="3" s="1"/>
  <c r="L615" i="3" l="1"/>
  <c r="T616" i="3"/>
  <c r="U615" i="3" l="1"/>
  <c r="D616" i="3" s="1"/>
  <c r="AH616" i="3"/>
  <c r="AG616" i="3"/>
  <c r="Y614" i="3"/>
  <c r="E616" i="3" l="1"/>
  <c r="H616" i="3" s="1"/>
  <c r="K616" i="3" s="1"/>
  <c r="AE616" i="3" s="1"/>
  <c r="G616" i="3"/>
  <c r="F616" i="3" l="1"/>
  <c r="I616" i="3"/>
  <c r="J616" i="3"/>
  <c r="M616" i="3"/>
  <c r="N616" i="3" s="1"/>
  <c r="V616" i="3"/>
  <c r="A617" i="3"/>
  <c r="B617" i="3" s="1"/>
  <c r="W616" i="3" l="1"/>
  <c r="L616" i="3"/>
  <c r="Z617" i="3"/>
  <c r="AC617" i="3"/>
  <c r="P617" i="3"/>
  <c r="Q617" i="3" s="1"/>
  <c r="R617" i="3" s="1"/>
  <c r="S617" i="3" s="1"/>
  <c r="AA617" i="3"/>
  <c r="U616" i="3" l="1"/>
  <c r="Y615" i="3"/>
  <c r="T617" i="3"/>
  <c r="AG617" i="3" s="1"/>
  <c r="D617" i="3" l="1"/>
  <c r="G617" i="3" s="1"/>
  <c r="E617" i="3"/>
  <c r="H617" i="3" s="1"/>
  <c r="K617" i="3" s="1"/>
  <c r="AE617" i="3" s="1"/>
  <c r="AH617" i="3"/>
  <c r="F617" i="3" l="1"/>
  <c r="I617" i="3"/>
  <c r="J617" i="3"/>
  <c r="AD617" i="3" s="1"/>
  <c r="M617" i="3"/>
  <c r="N617" i="3" s="1"/>
  <c r="V617" i="3"/>
  <c r="A618" i="3"/>
  <c r="B618" i="3" s="1"/>
  <c r="W617" i="3" l="1"/>
  <c r="L617" i="3"/>
  <c r="P618" i="3"/>
  <c r="Q618" i="3" s="1"/>
  <c r="R618" i="3" s="1"/>
  <c r="S618" i="3" s="1"/>
  <c r="Z618" i="3"/>
  <c r="AC618" i="3"/>
  <c r="AA618" i="3"/>
  <c r="U617" i="3" l="1"/>
  <c r="Y616" i="3"/>
  <c r="T618" i="3"/>
  <c r="E618" i="3" l="1"/>
  <c r="H618" i="3" s="1"/>
  <c r="K618" i="3" s="1"/>
  <c r="AE618" i="3" s="1"/>
  <c r="AG618" i="3"/>
  <c r="D618" i="3"/>
  <c r="AH618" i="3"/>
  <c r="F618" i="3" l="1"/>
  <c r="G618" i="3"/>
  <c r="V618" i="3"/>
  <c r="A619" i="3"/>
  <c r="B619" i="3" s="1"/>
  <c r="P619" i="3" l="1"/>
  <c r="Q619" i="3" s="1"/>
  <c r="R619" i="3" s="1"/>
  <c r="S619" i="3" s="1"/>
  <c r="AD619" i="3"/>
  <c r="AA619" i="3"/>
  <c r="AC619" i="3"/>
  <c r="Z619" i="3"/>
  <c r="I618" i="3"/>
  <c r="W618" i="3" s="1"/>
  <c r="J618" i="3"/>
  <c r="AD618" i="3" s="1"/>
  <c r="M618" i="3"/>
  <c r="N618" i="3" s="1"/>
  <c r="T619" i="3" l="1"/>
  <c r="L618" i="3"/>
  <c r="AH619" i="3" l="1"/>
  <c r="AG619" i="3"/>
  <c r="U618" i="3"/>
  <c r="D619" i="3" s="1"/>
  <c r="Y617" i="3"/>
  <c r="E619" i="3" l="1"/>
  <c r="H619" i="3" s="1"/>
  <c r="K619" i="3" s="1"/>
  <c r="AE619" i="3" s="1"/>
  <c r="G619" i="3"/>
  <c r="F619" i="3" l="1"/>
  <c r="I619" i="3"/>
  <c r="J619" i="3"/>
  <c r="M619" i="3"/>
  <c r="N619" i="3" s="1"/>
  <c r="V619" i="3"/>
  <c r="A620" i="3"/>
  <c r="B620" i="3" s="1"/>
  <c r="W619" i="3" l="1"/>
  <c r="L619" i="3"/>
  <c r="AC620" i="3"/>
  <c r="AD620" i="3"/>
  <c r="P620" i="3"/>
  <c r="Q620" i="3" s="1"/>
  <c r="R620" i="3" s="1"/>
  <c r="S620" i="3" s="1"/>
  <c r="AA620" i="3"/>
  <c r="Z620" i="3"/>
  <c r="T620" i="3" l="1"/>
  <c r="AH620" i="3" s="1"/>
  <c r="U619" i="3"/>
  <c r="Y618" i="3"/>
  <c r="E620" i="3" l="1"/>
  <c r="H620" i="3" s="1"/>
  <c r="K620" i="3" s="1"/>
  <c r="AE620" i="3" s="1"/>
  <c r="D620" i="3"/>
  <c r="G620" i="3" s="1"/>
  <c r="AG620" i="3"/>
  <c r="F620" i="3" l="1"/>
  <c r="I620" i="3"/>
  <c r="J620" i="3"/>
  <c r="M620" i="3"/>
  <c r="N620" i="3" s="1"/>
  <c r="V620" i="3"/>
  <c r="A621" i="3"/>
  <c r="B621" i="3" s="1"/>
  <c r="W620" i="3" l="1"/>
  <c r="L620" i="3"/>
  <c r="AD621" i="3"/>
  <c r="AC621" i="3"/>
  <c r="AA621" i="3"/>
  <c r="P621" i="3"/>
  <c r="Q621" i="3" s="1"/>
  <c r="R621" i="3" s="1"/>
  <c r="S621" i="3" s="1"/>
  <c r="Z621" i="3"/>
  <c r="U620" i="3" l="1"/>
  <c r="Y619" i="3"/>
  <c r="T621" i="3"/>
  <c r="D621" i="3" l="1"/>
  <c r="G621" i="3" s="1"/>
  <c r="AH621" i="3"/>
  <c r="E621" i="3"/>
  <c r="H621" i="3" s="1"/>
  <c r="AG621" i="3"/>
  <c r="F621" i="3" l="1"/>
  <c r="I621" i="3"/>
  <c r="J621" i="3"/>
  <c r="M621" i="3"/>
  <c r="N621" i="3" s="1"/>
  <c r="K621" i="3"/>
  <c r="AE621" i="3" s="1"/>
  <c r="V621" i="3" l="1"/>
  <c r="W621" i="3" s="1"/>
  <c r="A622" i="3"/>
  <c r="B622" i="3" s="1"/>
  <c r="L621" i="3"/>
  <c r="U621" i="3" l="1"/>
  <c r="Y620" i="3"/>
  <c r="AA622" i="3"/>
  <c r="AC622" i="3"/>
  <c r="P622" i="3"/>
  <c r="Q622" i="3" s="1"/>
  <c r="R622" i="3" s="1"/>
  <c r="S622" i="3" s="1"/>
  <c r="Z622" i="3"/>
  <c r="AD622" i="3"/>
  <c r="T622" i="3" l="1"/>
  <c r="AG622" i="3" s="1"/>
  <c r="D622" i="3" l="1"/>
  <c r="E622" i="3"/>
  <c r="H622" i="3" s="1"/>
  <c r="K622" i="3" s="1"/>
  <c r="AE622" i="3" s="1"/>
  <c r="AH622" i="3"/>
  <c r="F622" i="3" l="1"/>
  <c r="G622" i="3"/>
  <c r="I622" i="3" s="1"/>
  <c r="V622" i="3"/>
  <c r="A623" i="3"/>
  <c r="B623" i="3" s="1"/>
  <c r="M622" i="3" l="1"/>
  <c r="N622" i="3" s="1"/>
  <c r="J622" i="3"/>
  <c r="L622" i="3" s="1"/>
  <c r="W622" i="3"/>
  <c r="P623" i="3"/>
  <c r="Q623" i="3" s="1"/>
  <c r="R623" i="3" s="1"/>
  <c r="S623" i="3" s="1"/>
  <c r="Z623" i="3"/>
  <c r="AD623" i="3"/>
  <c r="AA623" i="3"/>
  <c r="AC623" i="3"/>
  <c r="U622" i="3" l="1"/>
  <c r="Y621" i="3"/>
  <c r="T623" i="3"/>
  <c r="D623" i="3" l="1"/>
  <c r="G623" i="3" s="1"/>
  <c r="AH623" i="3"/>
  <c r="AG623" i="3"/>
  <c r="E623" i="3"/>
  <c r="H623" i="3" s="1"/>
  <c r="K623" i="3" l="1"/>
  <c r="AE623" i="3" s="1"/>
  <c r="I623" i="3"/>
  <c r="J623" i="3"/>
  <c r="M623" i="3"/>
  <c r="N623" i="3" s="1"/>
  <c r="F623" i="3"/>
  <c r="L623" i="3" l="1"/>
  <c r="V623" i="3"/>
  <c r="W623" i="3" s="1"/>
  <c r="A624" i="3"/>
  <c r="B624" i="3" s="1"/>
  <c r="U623" i="3" l="1"/>
  <c r="Y622" i="3"/>
  <c r="AA624" i="3"/>
  <c r="Z624" i="3"/>
  <c r="AC624" i="3"/>
  <c r="P624" i="3"/>
  <c r="Q624" i="3" s="1"/>
  <c r="R624" i="3" s="1"/>
  <c r="S624" i="3" s="1"/>
  <c r="T624" i="3" l="1"/>
  <c r="D624" i="3" s="1"/>
  <c r="AG624" i="3" l="1"/>
  <c r="AH624" i="3"/>
  <c r="E624" i="3"/>
  <c r="H624" i="3" s="1"/>
  <c r="K624" i="3" s="1"/>
  <c r="AE624" i="3" s="1"/>
  <c r="G624" i="3"/>
  <c r="F624" i="3" l="1"/>
  <c r="I624" i="3"/>
  <c r="J624" i="3"/>
  <c r="AD624" i="3" s="1"/>
  <c r="M624" i="3"/>
  <c r="N624" i="3" s="1"/>
  <c r="V624" i="3"/>
  <c r="A625" i="3"/>
  <c r="B625" i="3" s="1"/>
  <c r="W624" i="3" l="1"/>
  <c r="L624" i="3"/>
  <c r="P625" i="3"/>
  <c r="Q625" i="3" s="1"/>
  <c r="R625" i="3" s="1"/>
  <c r="S625" i="3" s="1"/>
  <c r="AD625" i="3"/>
  <c r="AA625" i="3"/>
  <c r="Z625" i="3"/>
  <c r="AC625" i="3"/>
  <c r="U624" i="3" l="1"/>
  <c r="Y623" i="3"/>
  <c r="T625" i="3"/>
  <c r="D625" i="3" l="1"/>
  <c r="G625" i="3" s="1"/>
  <c r="E625" i="3"/>
  <c r="H625" i="3" s="1"/>
  <c r="AH625" i="3"/>
  <c r="AG625" i="3"/>
  <c r="F625" i="3" l="1"/>
  <c r="I625" i="3"/>
  <c r="J625" i="3"/>
  <c r="M625" i="3"/>
  <c r="N625" i="3" s="1"/>
  <c r="K625" i="3"/>
  <c r="AE625" i="3" s="1"/>
  <c r="V625" i="3" l="1"/>
  <c r="W625" i="3" s="1"/>
  <c r="A626" i="3"/>
  <c r="B626" i="3" s="1"/>
  <c r="L625" i="3"/>
  <c r="U625" i="3" l="1"/>
  <c r="Y624" i="3"/>
  <c r="AD626" i="3"/>
  <c r="Z626" i="3"/>
  <c r="AC626" i="3"/>
  <c r="P626" i="3"/>
  <c r="Q626" i="3" s="1"/>
  <c r="R626" i="3" s="1"/>
  <c r="S626" i="3" s="1"/>
  <c r="AA626" i="3"/>
  <c r="T626" i="3" l="1"/>
  <c r="E626" i="3" s="1"/>
  <c r="H626" i="3" s="1"/>
  <c r="AG626" i="3" l="1"/>
  <c r="K626" i="3"/>
  <c r="AE626" i="3" s="1"/>
  <c r="D626" i="3"/>
  <c r="AH626" i="3"/>
  <c r="V626" i="3" l="1"/>
  <c r="A627" i="3"/>
  <c r="B627" i="3" s="1"/>
  <c r="F626" i="3"/>
  <c r="G626" i="3"/>
  <c r="I626" i="3" l="1"/>
  <c r="W626" i="3" s="1"/>
  <c r="J626" i="3"/>
  <c r="M626" i="3"/>
  <c r="N626" i="3" s="1"/>
  <c r="Z627" i="3"/>
  <c r="P627" i="3"/>
  <c r="Q627" i="3" s="1"/>
  <c r="R627" i="3" s="1"/>
  <c r="S627" i="3" s="1"/>
  <c r="AC627" i="3"/>
  <c r="AA627" i="3"/>
  <c r="L626" i="3" l="1"/>
  <c r="T627" i="3"/>
  <c r="AG627" i="3" l="1"/>
  <c r="U626" i="3"/>
  <c r="D627" i="3" s="1"/>
  <c r="AH627" i="3"/>
  <c r="Y625" i="3"/>
  <c r="G627" i="3" l="1"/>
  <c r="E627" i="3"/>
  <c r="H627" i="3" s="1"/>
  <c r="K627" i="3" l="1"/>
  <c r="AE627" i="3" s="1"/>
  <c r="I627" i="3"/>
  <c r="J627" i="3"/>
  <c r="AD627" i="3" s="1"/>
  <c r="M627" i="3"/>
  <c r="N627" i="3" s="1"/>
  <c r="F627" i="3"/>
  <c r="L627" i="3" l="1"/>
  <c r="V627" i="3"/>
  <c r="W627" i="3" s="1"/>
  <c r="A628" i="3"/>
  <c r="B628" i="3" s="1"/>
  <c r="Z628" i="3" l="1"/>
  <c r="AA628" i="3"/>
  <c r="P628" i="3"/>
  <c r="Q628" i="3" s="1"/>
  <c r="R628" i="3" s="1"/>
  <c r="S628" i="3" s="1"/>
  <c r="AC628" i="3"/>
  <c r="U627" i="3"/>
  <c r="Y626" i="3"/>
  <c r="T628" i="3" l="1"/>
  <c r="D628" i="3" l="1"/>
  <c r="E628" i="3"/>
  <c r="H628" i="3" s="1"/>
  <c r="AG628" i="3"/>
  <c r="AH628" i="3"/>
  <c r="F628" i="3" l="1"/>
  <c r="G628" i="3"/>
  <c r="K628" i="3"/>
  <c r="AE628" i="3" s="1"/>
  <c r="I628" i="3" l="1"/>
  <c r="J628" i="3"/>
  <c r="AD628" i="3" s="1"/>
  <c r="M628" i="3"/>
  <c r="N628" i="3" s="1"/>
  <c r="V628" i="3"/>
  <c r="A629" i="3"/>
  <c r="B629" i="3" s="1"/>
  <c r="W628" i="3" l="1"/>
  <c r="L628" i="3"/>
  <c r="AC629" i="3"/>
  <c r="AA629" i="3"/>
  <c r="P629" i="3"/>
  <c r="Q629" i="3" s="1"/>
  <c r="R629" i="3" s="1"/>
  <c r="S629" i="3" s="1"/>
  <c r="AD629" i="3"/>
  <c r="Z629" i="3"/>
  <c r="T629" i="3" l="1"/>
  <c r="U628" i="3"/>
  <c r="Y627" i="3"/>
  <c r="E629" i="3" l="1"/>
  <c r="H629" i="3" s="1"/>
  <c r="K629" i="3" s="1"/>
  <c r="AE629" i="3" s="1"/>
  <c r="AH629" i="3"/>
  <c r="AG629" i="3"/>
  <c r="D629" i="3"/>
  <c r="F629" i="3" l="1"/>
  <c r="G629" i="3"/>
  <c r="V629" i="3"/>
  <c r="A630" i="3"/>
  <c r="B630" i="3" s="1"/>
  <c r="I629" i="3" l="1"/>
  <c r="W629" i="3" s="1"/>
  <c r="J629" i="3"/>
  <c r="M629" i="3"/>
  <c r="N629" i="3" s="1"/>
  <c r="AD630" i="3"/>
  <c r="P630" i="3"/>
  <c r="Q630" i="3" s="1"/>
  <c r="R630" i="3" s="1"/>
  <c r="S630" i="3" s="1"/>
  <c r="AC630" i="3"/>
  <c r="AA630" i="3"/>
  <c r="Z630" i="3"/>
  <c r="T630" i="3" l="1"/>
  <c r="L629" i="3"/>
  <c r="U629" i="3" l="1"/>
  <c r="D630" i="3" s="1"/>
  <c r="AH630" i="3"/>
  <c r="AG630" i="3"/>
  <c r="Y628" i="3"/>
  <c r="G630" i="3" l="1"/>
  <c r="E630" i="3"/>
  <c r="H630" i="3" s="1"/>
  <c r="F630" i="3" l="1"/>
  <c r="K630" i="3"/>
  <c r="AE630" i="3" s="1"/>
  <c r="I630" i="3"/>
  <c r="J630" i="3"/>
  <c r="M630" i="3"/>
  <c r="N630" i="3" s="1"/>
  <c r="V630" i="3" l="1"/>
  <c r="W630" i="3" s="1"/>
  <c r="A631" i="3"/>
  <c r="B631" i="3" s="1"/>
  <c r="L630" i="3"/>
  <c r="U630" i="3" l="1"/>
  <c r="Y629" i="3"/>
  <c r="AD631" i="3"/>
  <c r="P631" i="3"/>
  <c r="Q631" i="3" s="1"/>
  <c r="R631" i="3" s="1"/>
  <c r="S631" i="3" s="1"/>
  <c r="AC631" i="3"/>
  <c r="AA631" i="3"/>
  <c r="Z631" i="3"/>
  <c r="T631" i="3" l="1"/>
  <c r="D631" i="3" s="1"/>
  <c r="AH631" i="3" l="1"/>
  <c r="E631" i="3"/>
  <c r="H631" i="3" s="1"/>
  <c r="K631" i="3" s="1"/>
  <c r="AE631" i="3" s="1"/>
  <c r="G631" i="3"/>
  <c r="AG631" i="3"/>
  <c r="F631" i="3" l="1"/>
  <c r="I631" i="3"/>
  <c r="J631" i="3"/>
  <c r="M631" i="3"/>
  <c r="N631" i="3" s="1"/>
  <c r="V631" i="3"/>
  <c r="A632" i="3"/>
  <c r="B632" i="3" s="1"/>
  <c r="L631" i="3" l="1"/>
  <c r="W631" i="3"/>
  <c r="AC632" i="3"/>
  <c r="AA632" i="3"/>
  <c r="Z632" i="3"/>
  <c r="P632" i="3"/>
  <c r="Q632" i="3" s="1"/>
  <c r="R632" i="3" s="1"/>
  <c r="S632" i="3" s="1"/>
  <c r="AD632" i="3"/>
  <c r="T632" i="3" l="1"/>
  <c r="U631" i="3"/>
  <c r="Y630" i="3"/>
  <c r="D632" i="3" l="1"/>
  <c r="G632" i="3" s="1"/>
  <c r="E632" i="3"/>
  <c r="H632" i="3" s="1"/>
  <c r="K632" i="3" s="1"/>
  <c r="AE632" i="3" s="1"/>
  <c r="AG632" i="3"/>
  <c r="AH632" i="3"/>
  <c r="F632" i="3" l="1"/>
  <c r="I632" i="3"/>
  <c r="J632" i="3"/>
  <c r="M632" i="3"/>
  <c r="N632" i="3" s="1"/>
  <c r="V632" i="3"/>
  <c r="A633" i="3"/>
  <c r="B633" i="3" s="1"/>
  <c r="W632" i="3" l="1"/>
  <c r="L632" i="3"/>
  <c r="AD633" i="3"/>
  <c r="Z633" i="3"/>
  <c r="AC633" i="3"/>
  <c r="P633" i="3"/>
  <c r="Q633" i="3" s="1"/>
  <c r="R633" i="3" s="1"/>
  <c r="S633" i="3" s="1"/>
  <c r="AA633" i="3"/>
  <c r="U632" i="3" l="1"/>
  <c r="Y631" i="3"/>
  <c r="T633" i="3"/>
  <c r="AG633" i="3" s="1"/>
  <c r="D633" i="3" l="1"/>
  <c r="G633" i="3" s="1"/>
  <c r="E633" i="3"/>
  <c r="H633" i="3" s="1"/>
  <c r="K633" i="3" s="1"/>
  <c r="AE633" i="3" s="1"/>
  <c r="AH633" i="3"/>
  <c r="F633" i="3" l="1"/>
  <c r="V633" i="3"/>
  <c r="A634" i="3"/>
  <c r="B634" i="3" s="1"/>
  <c r="I633" i="3"/>
  <c r="J633" i="3"/>
  <c r="M633" i="3"/>
  <c r="N633" i="3" s="1"/>
  <c r="L633" i="3" l="1"/>
  <c r="W633" i="3"/>
  <c r="P634" i="3"/>
  <c r="Q634" i="3" s="1"/>
  <c r="R634" i="3" s="1"/>
  <c r="S634" i="3" s="1"/>
  <c r="AA634" i="3"/>
  <c r="AC634" i="3"/>
  <c r="Z634" i="3"/>
  <c r="U633" i="3" l="1"/>
  <c r="Y632" i="3"/>
  <c r="T634" i="3"/>
  <c r="AH634" i="3" s="1"/>
  <c r="E634" i="3" l="1"/>
  <c r="H634" i="3" s="1"/>
  <c r="K634" i="3" s="1"/>
  <c r="AE634" i="3" s="1"/>
  <c r="AG634" i="3"/>
  <c r="D634" i="3"/>
  <c r="F634" i="3" l="1"/>
  <c r="G634" i="3"/>
  <c r="V634" i="3"/>
  <c r="A635" i="3"/>
  <c r="B635" i="3" s="1"/>
  <c r="Z635" i="3" l="1"/>
  <c r="AA635" i="3"/>
  <c r="P635" i="3"/>
  <c r="Q635" i="3" s="1"/>
  <c r="R635" i="3" s="1"/>
  <c r="S635" i="3" s="1"/>
  <c r="AD635" i="3"/>
  <c r="AC635" i="3"/>
  <c r="I634" i="3"/>
  <c r="W634" i="3" s="1"/>
  <c r="J634" i="3"/>
  <c r="AD634" i="3" s="1"/>
  <c r="M634" i="3"/>
  <c r="N634" i="3" s="1"/>
  <c r="T635" i="3" l="1"/>
  <c r="L634" i="3"/>
  <c r="AH635" i="3" l="1"/>
  <c r="U634" i="3"/>
  <c r="D635" i="3" s="1"/>
  <c r="AG635" i="3"/>
  <c r="Y633" i="3"/>
  <c r="E635" i="3" l="1"/>
  <c r="H635" i="3" s="1"/>
  <c r="K635" i="3" s="1"/>
  <c r="AE635" i="3" s="1"/>
  <c r="G635" i="3"/>
  <c r="F635" i="3" l="1"/>
  <c r="I635" i="3"/>
  <c r="J635" i="3"/>
  <c r="M635" i="3"/>
  <c r="N635" i="3" s="1"/>
  <c r="V635" i="3"/>
  <c r="A636" i="3"/>
  <c r="B636" i="3" s="1"/>
  <c r="W635" i="3" l="1"/>
  <c r="L635" i="3"/>
  <c r="AC636" i="3"/>
  <c r="AD636" i="3"/>
  <c r="AA636" i="3"/>
  <c r="P636" i="3"/>
  <c r="Q636" i="3" s="1"/>
  <c r="R636" i="3" s="1"/>
  <c r="S636" i="3" s="1"/>
  <c r="Z636" i="3"/>
  <c r="U635" i="3" l="1"/>
  <c r="Y634" i="3"/>
  <c r="T636" i="3"/>
  <c r="AG636" i="3" s="1"/>
  <c r="AH636" i="3" l="1"/>
  <c r="D636" i="3"/>
  <c r="E636" i="3"/>
  <c r="H636" i="3" s="1"/>
  <c r="F636" i="3" l="1"/>
  <c r="G636" i="3"/>
  <c r="K636" i="3"/>
  <c r="AE636" i="3" s="1"/>
  <c r="I636" i="3" l="1"/>
  <c r="J636" i="3"/>
  <c r="M636" i="3"/>
  <c r="N636" i="3" s="1"/>
  <c r="V636" i="3"/>
  <c r="A637" i="3"/>
  <c r="B637" i="3" s="1"/>
  <c r="W636" i="3" l="1"/>
  <c r="L636" i="3"/>
  <c r="Z637" i="3"/>
  <c r="P637" i="3"/>
  <c r="Q637" i="3" s="1"/>
  <c r="R637" i="3" s="1"/>
  <c r="S637" i="3" s="1"/>
  <c r="AC637" i="3"/>
  <c r="AA637" i="3"/>
  <c r="U636" i="3" l="1"/>
  <c r="Y635" i="3"/>
  <c r="T637" i="3"/>
  <c r="AG637" i="3" s="1"/>
  <c r="D637" i="3" l="1"/>
  <c r="AH637" i="3"/>
  <c r="E637" i="3"/>
  <c r="H637" i="3" s="1"/>
  <c r="F637" i="3" l="1"/>
  <c r="G637" i="3"/>
  <c r="K637" i="3"/>
  <c r="AE637" i="3" s="1"/>
  <c r="I637" i="3" l="1"/>
  <c r="J637" i="3"/>
  <c r="AD637" i="3" s="1"/>
  <c r="M637" i="3"/>
  <c r="N637" i="3" s="1"/>
  <c r="V637" i="3"/>
  <c r="A638" i="3"/>
  <c r="B638" i="3" s="1"/>
  <c r="W637" i="3" l="1"/>
  <c r="L637" i="3"/>
  <c r="P638" i="3"/>
  <c r="Q638" i="3" s="1"/>
  <c r="R638" i="3" s="1"/>
  <c r="S638" i="3" s="1"/>
  <c r="AC638" i="3"/>
  <c r="AA638" i="3"/>
  <c r="Z638" i="3"/>
  <c r="T638" i="3" l="1"/>
  <c r="AG638" i="3" s="1"/>
  <c r="U637" i="3"/>
  <c r="Y636" i="3"/>
  <c r="D638" i="3" l="1"/>
  <c r="G638" i="3" s="1"/>
  <c r="E638" i="3"/>
  <c r="H638" i="3" s="1"/>
  <c r="AH638" i="3"/>
  <c r="F638" i="3" l="1"/>
  <c r="I638" i="3"/>
  <c r="J638" i="3"/>
  <c r="AD638" i="3" s="1"/>
  <c r="M638" i="3"/>
  <c r="N638" i="3" s="1"/>
  <c r="K638" i="3"/>
  <c r="AE638" i="3" s="1"/>
  <c r="V638" i="3" l="1"/>
  <c r="W638" i="3" s="1"/>
  <c r="A639" i="3"/>
  <c r="B639" i="3" s="1"/>
  <c r="L638" i="3"/>
  <c r="U638" i="3" l="1"/>
  <c r="Y637" i="3"/>
  <c r="AC639" i="3"/>
  <c r="P639" i="3"/>
  <c r="Q639" i="3" s="1"/>
  <c r="R639" i="3" s="1"/>
  <c r="S639" i="3" s="1"/>
  <c r="AA639" i="3"/>
  <c r="AD639" i="3"/>
  <c r="Z639" i="3"/>
  <c r="T639" i="3" l="1"/>
  <c r="D639" i="3" s="1"/>
  <c r="AG639" i="3" l="1"/>
  <c r="E639" i="3"/>
  <c r="H639" i="3" s="1"/>
  <c r="K639" i="3" s="1"/>
  <c r="AE639" i="3" s="1"/>
  <c r="AH639" i="3"/>
  <c r="G639" i="3"/>
  <c r="F639" i="3" l="1"/>
  <c r="V639" i="3"/>
  <c r="A640" i="3"/>
  <c r="B640" i="3" s="1"/>
  <c r="I639" i="3"/>
  <c r="J639" i="3"/>
  <c r="M639" i="3"/>
  <c r="N639" i="3" s="1"/>
  <c r="W639" i="3" l="1"/>
  <c r="L639" i="3"/>
  <c r="AD640" i="3"/>
  <c r="P640" i="3"/>
  <c r="Q640" i="3" s="1"/>
  <c r="R640" i="3" s="1"/>
  <c r="S640" i="3" s="1"/>
  <c r="AA640" i="3"/>
  <c r="AC640" i="3"/>
  <c r="Z640" i="3"/>
  <c r="U639" i="3" l="1"/>
  <c r="Y638" i="3"/>
  <c r="T640" i="3"/>
  <c r="E640" i="3" l="1"/>
  <c r="H640" i="3" s="1"/>
  <c r="K640" i="3" s="1"/>
  <c r="AE640" i="3" s="1"/>
  <c r="D640" i="3"/>
  <c r="AG640" i="3"/>
  <c r="AH640" i="3"/>
  <c r="F640" i="3" l="1"/>
  <c r="G640" i="3"/>
  <c r="V640" i="3"/>
  <c r="A641" i="3"/>
  <c r="B641" i="3" s="1"/>
  <c r="AC641" i="3" l="1"/>
  <c r="AA641" i="3"/>
  <c r="AD641" i="3"/>
  <c r="Z641" i="3"/>
  <c r="P641" i="3"/>
  <c r="Q641" i="3" s="1"/>
  <c r="R641" i="3" s="1"/>
  <c r="S641" i="3" s="1"/>
  <c r="I640" i="3"/>
  <c r="W640" i="3" s="1"/>
  <c r="J640" i="3"/>
  <c r="M640" i="3"/>
  <c r="N640" i="3" s="1"/>
  <c r="L640" i="3" l="1"/>
  <c r="T641" i="3"/>
  <c r="U640" i="3" l="1"/>
  <c r="E641" i="3" s="1"/>
  <c r="H641" i="3" s="1"/>
  <c r="AG641" i="3"/>
  <c r="AH641" i="3"/>
  <c r="Y639" i="3"/>
  <c r="K641" i="3" l="1"/>
  <c r="AE641" i="3" s="1"/>
  <c r="D641" i="3"/>
  <c r="V641" i="3" l="1"/>
  <c r="A642" i="3"/>
  <c r="B642" i="3" s="1"/>
  <c r="F641" i="3"/>
  <c r="G641" i="3"/>
  <c r="I641" i="3" l="1"/>
  <c r="W641" i="3" s="1"/>
  <c r="J641" i="3"/>
  <c r="M641" i="3"/>
  <c r="N641" i="3" s="1"/>
  <c r="Z642" i="3"/>
  <c r="AD642" i="3"/>
  <c r="P642" i="3"/>
  <c r="Q642" i="3" s="1"/>
  <c r="R642" i="3" s="1"/>
  <c r="S642" i="3" s="1"/>
  <c r="AC642" i="3"/>
  <c r="AA642" i="3"/>
  <c r="T642" i="3" l="1"/>
  <c r="L641" i="3"/>
  <c r="U641" i="3" l="1"/>
  <c r="D642" i="3" s="1"/>
  <c r="AG642" i="3"/>
  <c r="AH642" i="3"/>
  <c r="Y640" i="3"/>
  <c r="E642" i="3" l="1"/>
  <c r="H642" i="3" s="1"/>
  <c r="K642" i="3" s="1"/>
  <c r="AE642" i="3" s="1"/>
  <c r="G642" i="3"/>
  <c r="F642" i="3" l="1"/>
  <c r="I642" i="3"/>
  <c r="J642" i="3"/>
  <c r="M642" i="3"/>
  <c r="N642" i="3" s="1"/>
  <c r="V642" i="3"/>
  <c r="A643" i="3"/>
  <c r="B643" i="3" s="1"/>
  <c r="W642" i="3" l="1"/>
  <c r="L642" i="3"/>
  <c r="AA643" i="3"/>
  <c r="AD643" i="3"/>
  <c r="AC643" i="3"/>
  <c r="P643" i="3"/>
  <c r="Q643" i="3" s="1"/>
  <c r="R643" i="3" s="1"/>
  <c r="S643" i="3" s="1"/>
  <c r="Z643" i="3"/>
  <c r="U642" i="3" l="1"/>
  <c r="Y641" i="3"/>
  <c r="T643" i="3"/>
  <c r="AH643" i="3" s="1"/>
  <c r="AG643" i="3" l="1"/>
  <c r="E643" i="3"/>
  <c r="H643" i="3" s="1"/>
  <c r="K643" i="3" s="1"/>
  <c r="AE643" i="3" s="1"/>
  <c r="D643" i="3"/>
  <c r="F643" i="3" l="1"/>
  <c r="G643" i="3"/>
  <c r="M643" i="3" s="1"/>
  <c r="N643" i="3" s="1"/>
  <c r="V643" i="3"/>
  <c r="A644" i="3"/>
  <c r="B644" i="3" s="1"/>
  <c r="I643" i="3" l="1"/>
  <c r="W643" i="3" s="1"/>
  <c r="J643" i="3"/>
  <c r="L643" i="3" s="1"/>
  <c r="P644" i="3"/>
  <c r="Q644" i="3" s="1"/>
  <c r="R644" i="3" s="1"/>
  <c r="S644" i="3" s="1"/>
  <c r="AA644" i="3"/>
  <c r="AC644" i="3"/>
  <c r="Z644" i="3"/>
  <c r="U643" i="3" l="1"/>
  <c r="Y642" i="3"/>
  <c r="T644" i="3"/>
  <c r="AG644" i="3" s="1"/>
  <c r="AH644" i="3" l="1"/>
  <c r="D644" i="3"/>
  <c r="E644" i="3"/>
  <c r="H644" i="3" s="1"/>
  <c r="K644" i="3" l="1"/>
  <c r="AE644" i="3" s="1"/>
  <c r="F644" i="3"/>
  <c r="G644" i="3"/>
  <c r="I644" i="3" l="1"/>
  <c r="J644" i="3"/>
  <c r="AD644" i="3" s="1"/>
  <c r="M644" i="3"/>
  <c r="N644" i="3" s="1"/>
  <c r="V644" i="3"/>
  <c r="A645" i="3"/>
  <c r="B645" i="3" s="1"/>
  <c r="L644" i="3" l="1"/>
  <c r="W644" i="3"/>
  <c r="Z645" i="3"/>
  <c r="P645" i="3"/>
  <c r="Q645" i="3" s="1"/>
  <c r="R645" i="3" s="1"/>
  <c r="S645" i="3" s="1"/>
  <c r="AD645" i="3"/>
  <c r="AA645" i="3"/>
  <c r="AC645" i="3"/>
  <c r="U644" i="3" l="1"/>
  <c r="Y643" i="3"/>
  <c r="T645" i="3"/>
  <c r="AG645" i="3" s="1"/>
  <c r="D645" i="3" l="1"/>
  <c r="AH645" i="3"/>
  <c r="E645" i="3"/>
  <c r="H645" i="3" s="1"/>
  <c r="F645" i="3" l="1"/>
  <c r="G645" i="3"/>
  <c r="K645" i="3"/>
  <c r="AE645" i="3" s="1"/>
  <c r="I645" i="3" l="1"/>
  <c r="J645" i="3"/>
  <c r="M645" i="3"/>
  <c r="N645" i="3" s="1"/>
  <c r="V645" i="3"/>
  <c r="A646" i="3"/>
  <c r="B646" i="3" s="1"/>
  <c r="W645" i="3" l="1"/>
  <c r="L645" i="3"/>
  <c r="AA646" i="3"/>
  <c r="Z646" i="3"/>
  <c r="AC646" i="3"/>
  <c r="AD646" i="3"/>
  <c r="P646" i="3"/>
  <c r="Q646" i="3" s="1"/>
  <c r="R646" i="3" s="1"/>
  <c r="S646" i="3" s="1"/>
  <c r="U645" i="3" l="1"/>
  <c r="Y644" i="3"/>
  <c r="T646" i="3"/>
  <c r="AG646" i="3" s="1"/>
  <c r="E646" i="3" l="1"/>
  <c r="H646" i="3" s="1"/>
  <c r="D646" i="3"/>
  <c r="AH646" i="3"/>
  <c r="F646" i="3" l="1"/>
  <c r="G646" i="3"/>
  <c r="K646" i="3"/>
  <c r="AE646" i="3" s="1"/>
  <c r="I646" i="3" l="1"/>
  <c r="J646" i="3"/>
  <c r="M646" i="3"/>
  <c r="N646" i="3" s="1"/>
  <c r="V646" i="3"/>
  <c r="A647" i="3"/>
  <c r="B647" i="3" s="1"/>
  <c r="L646" i="3" l="1"/>
  <c r="W646" i="3"/>
  <c r="P647" i="3"/>
  <c r="Q647" i="3" s="1"/>
  <c r="R647" i="3" s="1"/>
  <c r="S647" i="3" s="1"/>
  <c r="AC647" i="3"/>
  <c r="AA647" i="3"/>
  <c r="Z647" i="3"/>
  <c r="U646" i="3" l="1"/>
  <c r="Y645" i="3"/>
  <c r="T647" i="3"/>
  <c r="AG647" i="3" s="1"/>
  <c r="E647" i="3" l="1"/>
  <c r="H647" i="3" s="1"/>
  <c r="D647" i="3"/>
  <c r="AH647" i="3"/>
  <c r="F647" i="3" l="1"/>
  <c r="G647" i="3"/>
  <c r="K647" i="3"/>
  <c r="AE647" i="3" s="1"/>
  <c r="V647" i="3" l="1"/>
  <c r="A648" i="3"/>
  <c r="B648" i="3" s="1"/>
  <c r="I647" i="3"/>
  <c r="J647" i="3"/>
  <c r="AD647" i="3" s="1"/>
  <c r="M647" i="3"/>
  <c r="N647" i="3" s="1"/>
  <c r="W647" i="3" l="1"/>
  <c r="L647" i="3"/>
  <c r="AC648" i="3"/>
  <c r="AA648" i="3"/>
  <c r="P648" i="3"/>
  <c r="Q648" i="3" s="1"/>
  <c r="R648" i="3" s="1"/>
  <c r="S648" i="3" s="1"/>
  <c r="Z648" i="3"/>
  <c r="T648" i="3" l="1"/>
  <c r="AH648" i="3" s="1"/>
  <c r="U647" i="3"/>
  <c r="Y646" i="3"/>
  <c r="D648" i="3" l="1"/>
  <c r="AG648" i="3"/>
  <c r="E648" i="3"/>
  <c r="H648" i="3" s="1"/>
  <c r="F648" i="3" l="1"/>
  <c r="G648" i="3"/>
  <c r="K648" i="3"/>
  <c r="AE648" i="3" s="1"/>
  <c r="I648" i="3" l="1"/>
  <c r="J648" i="3"/>
  <c r="AD648" i="3" s="1"/>
  <c r="M648" i="3"/>
  <c r="N648" i="3" s="1"/>
  <c r="V648" i="3"/>
  <c r="A649" i="3"/>
  <c r="B649" i="3" s="1"/>
  <c r="W648" i="3" l="1"/>
  <c r="L648" i="3"/>
  <c r="AC649" i="3"/>
  <c r="AA649" i="3"/>
  <c r="AD649" i="3"/>
  <c r="P649" i="3"/>
  <c r="Q649" i="3" s="1"/>
  <c r="R649" i="3" s="1"/>
  <c r="S649" i="3" s="1"/>
  <c r="Z649" i="3"/>
  <c r="U648" i="3" l="1"/>
  <c r="Y647" i="3"/>
  <c r="T649" i="3"/>
  <c r="E649" i="3" l="1"/>
  <c r="H649" i="3" s="1"/>
  <c r="K649" i="3" s="1"/>
  <c r="AE649" i="3" s="1"/>
  <c r="D649" i="3"/>
  <c r="AH649" i="3"/>
  <c r="AG649" i="3"/>
  <c r="V649" i="3" l="1"/>
  <c r="A650" i="3"/>
  <c r="B650" i="3" s="1"/>
  <c r="F649" i="3"/>
  <c r="G649" i="3"/>
  <c r="I649" i="3" l="1"/>
  <c r="W649" i="3" s="1"/>
  <c r="J649" i="3"/>
  <c r="M649" i="3"/>
  <c r="N649" i="3" s="1"/>
  <c r="AA650" i="3"/>
  <c r="P650" i="3"/>
  <c r="Q650" i="3" s="1"/>
  <c r="R650" i="3" s="1"/>
  <c r="S650" i="3" s="1"/>
  <c r="Z650" i="3"/>
  <c r="AD650" i="3"/>
  <c r="AC650" i="3"/>
  <c r="L649" i="3" l="1"/>
  <c r="T650" i="3"/>
  <c r="U649" i="3" l="1"/>
  <c r="E650" i="3" s="1"/>
  <c r="H650" i="3" s="1"/>
  <c r="AG650" i="3"/>
  <c r="AH650" i="3"/>
  <c r="Y648" i="3"/>
  <c r="K650" i="3" l="1"/>
  <c r="AE650" i="3" s="1"/>
  <c r="D650" i="3"/>
  <c r="V650" i="3" l="1"/>
  <c r="A651" i="3"/>
  <c r="B651" i="3" s="1"/>
  <c r="F650" i="3"/>
  <c r="G650" i="3"/>
  <c r="I650" i="3" l="1"/>
  <c r="W650" i="3" s="1"/>
  <c r="J650" i="3"/>
  <c r="M650" i="3"/>
  <c r="N650" i="3" s="1"/>
  <c r="Z651" i="3"/>
  <c r="AC651" i="3"/>
  <c r="P651" i="3"/>
  <c r="Q651" i="3" s="1"/>
  <c r="R651" i="3" s="1"/>
  <c r="S651" i="3" s="1"/>
  <c r="AA651" i="3"/>
  <c r="AD651" i="3"/>
  <c r="T651" i="3" l="1"/>
  <c r="L650" i="3"/>
  <c r="AH651" i="3" l="1"/>
  <c r="U650" i="3"/>
  <c r="E651" i="3" s="1"/>
  <c r="H651" i="3" s="1"/>
  <c r="AG651" i="3"/>
  <c r="Y649" i="3"/>
  <c r="D651" i="3" l="1"/>
  <c r="G651" i="3" s="1"/>
  <c r="K651" i="3"/>
  <c r="AE651" i="3" s="1"/>
  <c r="F651" i="3" l="1"/>
  <c r="I651" i="3"/>
  <c r="J651" i="3"/>
  <c r="M651" i="3"/>
  <c r="N651" i="3" s="1"/>
  <c r="V651" i="3"/>
  <c r="A652" i="3"/>
  <c r="B652" i="3" s="1"/>
  <c r="W651" i="3" l="1"/>
  <c r="L651" i="3"/>
  <c r="P652" i="3"/>
  <c r="Q652" i="3" s="1"/>
  <c r="R652" i="3" s="1"/>
  <c r="S652" i="3" s="1"/>
  <c r="AC652" i="3"/>
  <c r="AA652" i="3"/>
  <c r="Z652" i="3"/>
  <c r="AD652" i="3"/>
  <c r="U651" i="3" l="1"/>
  <c r="Y650" i="3"/>
  <c r="T652" i="3"/>
  <c r="E652" i="3" l="1"/>
  <c r="H652" i="3" s="1"/>
  <c r="K652" i="3" s="1"/>
  <c r="AE652" i="3" s="1"/>
  <c r="AH652" i="3"/>
  <c r="AG652" i="3"/>
  <c r="D652" i="3"/>
  <c r="G652" i="3" s="1"/>
  <c r="F652" i="3" l="1"/>
  <c r="V652" i="3"/>
  <c r="A653" i="3"/>
  <c r="B653" i="3" s="1"/>
  <c r="I652" i="3"/>
  <c r="J652" i="3"/>
  <c r="M652" i="3"/>
  <c r="N652" i="3" s="1"/>
  <c r="W652" i="3" l="1"/>
  <c r="L652" i="3"/>
  <c r="Z653" i="3"/>
  <c r="AA653" i="3"/>
  <c r="P653" i="3"/>
  <c r="Q653" i="3" s="1"/>
  <c r="R653" i="3" s="1"/>
  <c r="S653" i="3" s="1"/>
  <c r="AD653" i="3"/>
  <c r="AC653" i="3"/>
  <c r="T653" i="3" l="1"/>
  <c r="AG653" i="3" s="1"/>
  <c r="U652" i="3"/>
  <c r="Y651" i="3"/>
  <c r="AH653" i="3" l="1"/>
  <c r="E653" i="3"/>
  <c r="H653" i="3" s="1"/>
  <c r="D653" i="3"/>
  <c r="K653" i="3" l="1"/>
  <c r="AE653" i="3" s="1"/>
  <c r="F653" i="3"/>
  <c r="G653" i="3"/>
  <c r="V653" i="3" l="1"/>
  <c r="A654" i="3"/>
  <c r="B654" i="3" s="1"/>
  <c r="I653" i="3"/>
  <c r="J653" i="3"/>
  <c r="M653" i="3"/>
  <c r="N653" i="3" s="1"/>
  <c r="W653" i="3" l="1"/>
  <c r="L653" i="3"/>
  <c r="Z654" i="3"/>
  <c r="P654" i="3"/>
  <c r="Q654" i="3" s="1"/>
  <c r="R654" i="3" s="1"/>
  <c r="S654" i="3" s="1"/>
  <c r="AC654" i="3"/>
  <c r="AA654" i="3"/>
  <c r="T654" i="3" l="1"/>
  <c r="AG654" i="3" s="1"/>
  <c r="U653" i="3"/>
  <c r="Y652" i="3"/>
  <c r="AH654" i="3" l="1"/>
  <c r="E654" i="3"/>
  <c r="H654" i="3" s="1"/>
  <c r="D654" i="3"/>
  <c r="K654" i="3" l="1"/>
  <c r="AE654" i="3" s="1"/>
  <c r="F654" i="3"/>
  <c r="G654" i="3"/>
  <c r="V654" i="3" l="1"/>
  <c r="A655" i="3"/>
  <c r="B655" i="3" s="1"/>
  <c r="I654" i="3"/>
  <c r="J654" i="3"/>
  <c r="AD654" i="3" s="1"/>
  <c r="M654" i="3"/>
  <c r="N654" i="3" s="1"/>
  <c r="L654" i="3" l="1"/>
  <c r="AD655" i="3"/>
  <c r="AC655" i="3"/>
  <c r="P655" i="3"/>
  <c r="Q655" i="3" s="1"/>
  <c r="R655" i="3" s="1"/>
  <c r="S655" i="3" s="1"/>
  <c r="Z655" i="3"/>
  <c r="AA655" i="3"/>
  <c r="W654" i="3"/>
  <c r="U654" i="3" l="1"/>
  <c r="Y653" i="3"/>
  <c r="T655" i="3"/>
  <c r="AH655" i="3" s="1"/>
  <c r="AG655" i="3" l="1"/>
  <c r="D655" i="3"/>
  <c r="E655" i="3"/>
  <c r="H655" i="3" s="1"/>
  <c r="K655" i="3" l="1"/>
  <c r="AE655" i="3" s="1"/>
  <c r="F655" i="3"/>
  <c r="G655" i="3"/>
  <c r="V655" i="3" l="1"/>
  <c r="A656" i="3"/>
  <c r="B656" i="3" s="1"/>
  <c r="I655" i="3"/>
  <c r="J655" i="3"/>
  <c r="M655" i="3"/>
  <c r="N655" i="3" s="1"/>
  <c r="W655" i="3" l="1"/>
  <c r="L655" i="3"/>
  <c r="Z656" i="3"/>
  <c r="AA656" i="3"/>
  <c r="AD656" i="3"/>
  <c r="AC656" i="3"/>
  <c r="P656" i="3"/>
  <c r="Q656" i="3" s="1"/>
  <c r="R656" i="3" s="1"/>
  <c r="S656" i="3" s="1"/>
  <c r="T656" i="3" l="1"/>
  <c r="U655" i="3"/>
  <c r="Y654" i="3"/>
  <c r="E656" i="3" l="1"/>
  <c r="H656" i="3" s="1"/>
  <c r="K656" i="3" s="1"/>
  <c r="AE656" i="3" s="1"/>
  <c r="AH656" i="3"/>
  <c r="D656" i="3"/>
  <c r="AG656" i="3"/>
  <c r="F656" i="3" l="1"/>
  <c r="G656" i="3"/>
  <c r="V656" i="3"/>
  <c r="A657" i="3"/>
  <c r="B657" i="3" s="1"/>
  <c r="I656" i="3" l="1"/>
  <c r="W656" i="3" s="1"/>
  <c r="J656" i="3"/>
  <c r="M656" i="3"/>
  <c r="N656" i="3" s="1"/>
  <c r="AC657" i="3"/>
  <c r="P657" i="3"/>
  <c r="Q657" i="3" s="1"/>
  <c r="R657" i="3" s="1"/>
  <c r="S657" i="3" s="1"/>
  <c r="AA657" i="3"/>
  <c r="Z657" i="3"/>
  <c r="L656" i="3" l="1"/>
  <c r="T657" i="3"/>
  <c r="AH657" i="3" l="1"/>
  <c r="U656" i="3"/>
  <c r="E657" i="3" s="1"/>
  <c r="H657" i="3" s="1"/>
  <c r="AG657" i="3"/>
  <c r="Y655" i="3"/>
  <c r="D657" i="3" l="1"/>
  <c r="G657" i="3" s="1"/>
  <c r="K657" i="3"/>
  <c r="AE657" i="3" s="1"/>
  <c r="F657" i="3" l="1"/>
  <c r="I657" i="3"/>
  <c r="J657" i="3"/>
  <c r="AD657" i="3" s="1"/>
  <c r="M657" i="3"/>
  <c r="N657" i="3" s="1"/>
  <c r="V657" i="3"/>
  <c r="A658" i="3"/>
  <c r="B658" i="3" s="1"/>
  <c r="W657" i="3" l="1"/>
  <c r="L657" i="3"/>
  <c r="AC658" i="3"/>
  <c r="Z658" i="3"/>
  <c r="AA658" i="3"/>
  <c r="P658" i="3"/>
  <c r="Q658" i="3" s="1"/>
  <c r="R658" i="3" s="1"/>
  <c r="S658" i="3" s="1"/>
  <c r="U657" i="3" l="1"/>
  <c r="Y656" i="3"/>
  <c r="T658" i="3"/>
  <c r="AG658" i="3" s="1"/>
  <c r="E658" i="3" l="1"/>
  <c r="H658" i="3" s="1"/>
  <c r="D658" i="3"/>
  <c r="AH658" i="3"/>
  <c r="K658" i="3" l="1"/>
  <c r="AE658" i="3" s="1"/>
  <c r="F658" i="3"/>
  <c r="G658" i="3"/>
  <c r="I658" i="3" l="1"/>
  <c r="J658" i="3"/>
  <c r="AD658" i="3" s="1"/>
  <c r="M658" i="3"/>
  <c r="N658" i="3" s="1"/>
  <c r="V658" i="3"/>
  <c r="A659" i="3"/>
  <c r="B659" i="3" s="1"/>
  <c r="W658" i="3" l="1"/>
  <c r="L658" i="3"/>
  <c r="AA659" i="3"/>
  <c r="P659" i="3"/>
  <c r="Q659" i="3" s="1"/>
  <c r="R659" i="3" s="1"/>
  <c r="S659" i="3" s="1"/>
  <c r="Z659" i="3"/>
  <c r="AD659" i="3"/>
  <c r="AC659" i="3"/>
  <c r="U658" i="3" l="1"/>
  <c r="Y657" i="3"/>
  <c r="T659" i="3"/>
  <c r="AH659" i="3" s="1"/>
  <c r="E659" i="3" l="1"/>
  <c r="H659" i="3" s="1"/>
  <c r="K659" i="3" s="1"/>
  <c r="AE659" i="3" s="1"/>
  <c r="AG659" i="3"/>
  <c r="D659" i="3"/>
  <c r="G659" i="3" s="1"/>
  <c r="F659" i="3" l="1"/>
  <c r="I659" i="3"/>
  <c r="J659" i="3"/>
  <c r="M659" i="3"/>
  <c r="N659" i="3" s="1"/>
  <c r="V659" i="3"/>
  <c r="A660" i="3"/>
  <c r="B660" i="3" s="1"/>
  <c r="W659" i="3" l="1"/>
  <c r="L659" i="3"/>
  <c r="AA660" i="3"/>
  <c r="P660" i="3"/>
  <c r="Q660" i="3" s="1"/>
  <c r="R660" i="3" s="1"/>
  <c r="S660" i="3" s="1"/>
  <c r="AC660" i="3"/>
  <c r="AD660" i="3"/>
  <c r="Z660" i="3"/>
  <c r="T660" i="3" l="1"/>
  <c r="AH660" i="3" s="1"/>
  <c r="U659" i="3"/>
  <c r="Y658" i="3"/>
  <c r="AG660" i="3" l="1"/>
  <c r="D660" i="3"/>
  <c r="E660" i="3"/>
  <c r="H660" i="3" s="1"/>
  <c r="K660" i="3" l="1"/>
  <c r="AE660" i="3" s="1"/>
  <c r="F660" i="3"/>
  <c r="G660" i="3"/>
  <c r="I660" i="3" l="1"/>
  <c r="J660" i="3"/>
  <c r="M660" i="3"/>
  <c r="N660" i="3" s="1"/>
  <c r="V660" i="3"/>
  <c r="A661" i="3"/>
  <c r="B661" i="3" s="1"/>
  <c r="L660" i="3" l="1"/>
  <c r="W660" i="3"/>
  <c r="Z661" i="3"/>
  <c r="P661" i="3"/>
  <c r="Q661" i="3" s="1"/>
  <c r="R661" i="3" s="1"/>
  <c r="S661" i="3" s="1"/>
  <c r="AA661" i="3"/>
  <c r="AD661" i="3"/>
  <c r="AC661" i="3"/>
  <c r="T661" i="3" l="1"/>
  <c r="U660" i="3"/>
  <c r="Y659" i="3"/>
  <c r="E661" i="3" l="1"/>
  <c r="H661" i="3" s="1"/>
  <c r="K661" i="3" s="1"/>
  <c r="AE661" i="3" s="1"/>
  <c r="D661" i="3"/>
  <c r="AH661" i="3"/>
  <c r="AG661" i="3"/>
  <c r="V661" i="3" l="1"/>
  <c r="A662" i="3"/>
  <c r="B662" i="3" s="1"/>
  <c r="F661" i="3"/>
  <c r="G661" i="3"/>
  <c r="I661" i="3" l="1"/>
  <c r="W661" i="3" s="1"/>
  <c r="J661" i="3"/>
  <c r="M661" i="3"/>
  <c r="N661" i="3" s="1"/>
  <c r="P662" i="3"/>
  <c r="Q662" i="3" s="1"/>
  <c r="R662" i="3" s="1"/>
  <c r="S662" i="3" s="1"/>
  <c r="Z662" i="3"/>
  <c r="AD662" i="3"/>
  <c r="AA662" i="3"/>
  <c r="AC662" i="3"/>
  <c r="T662" i="3" l="1"/>
  <c r="L661" i="3"/>
  <c r="AH662" i="3" l="1"/>
  <c r="AG662" i="3"/>
  <c r="U661" i="3"/>
  <c r="E662" i="3" s="1"/>
  <c r="H662" i="3" s="1"/>
  <c r="Y660" i="3"/>
  <c r="D662" i="3" l="1"/>
  <c r="F662" i="3" s="1"/>
  <c r="K662" i="3"/>
  <c r="AE662" i="3" s="1"/>
  <c r="G662" i="3" l="1"/>
  <c r="I662" i="3" s="1"/>
  <c r="V662" i="3"/>
  <c r="A663" i="3"/>
  <c r="B663" i="3" s="1"/>
  <c r="J662" i="3" l="1"/>
  <c r="L662" i="3" s="1"/>
  <c r="M662" i="3"/>
  <c r="N662" i="3" s="1"/>
  <c r="W662" i="3"/>
  <c r="AA663" i="3"/>
  <c r="Z663" i="3"/>
  <c r="P663" i="3"/>
  <c r="Q663" i="3" s="1"/>
  <c r="R663" i="3" s="1"/>
  <c r="S663" i="3" s="1"/>
  <c r="AC663" i="3"/>
  <c r="AD663" i="3"/>
  <c r="U662" i="3" l="1"/>
  <c r="Y661" i="3"/>
  <c r="T663" i="3"/>
  <c r="E663" i="3" l="1"/>
  <c r="H663" i="3" s="1"/>
  <c r="K663" i="3" s="1"/>
  <c r="AE663" i="3" s="1"/>
  <c r="AG663" i="3"/>
  <c r="AH663" i="3"/>
  <c r="D663" i="3"/>
  <c r="F663" i="3" l="1"/>
  <c r="G663" i="3"/>
  <c r="V663" i="3"/>
  <c r="A664" i="3"/>
  <c r="B664" i="3" s="1"/>
  <c r="P664" i="3" l="1"/>
  <c r="Q664" i="3" s="1"/>
  <c r="R664" i="3" s="1"/>
  <c r="S664" i="3" s="1"/>
  <c r="AA664" i="3"/>
  <c r="AC664" i="3"/>
  <c r="Z664" i="3"/>
  <c r="I663" i="3"/>
  <c r="W663" i="3" s="1"/>
  <c r="J663" i="3"/>
  <c r="M663" i="3"/>
  <c r="N663" i="3" s="1"/>
  <c r="T664" i="3" l="1"/>
  <c r="L663" i="3"/>
  <c r="AH664" i="3" l="1"/>
  <c r="U663" i="3"/>
  <c r="E664" i="3" s="1"/>
  <c r="H664" i="3" s="1"/>
  <c r="AG664" i="3"/>
  <c r="Y662" i="3"/>
  <c r="D664" i="3" l="1"/>
  <c r="G664" i="3" s="1"/>
  <c r="K664" i="3"/>
  <c r="AE664" i="3" s="1"/>
  <c r="F664" i="3" l="1"/>
  <c r="I664" i="3"/>
  <c r="J664" i="3"/>
  <c r="AD664" i="3" s="1"/>
  <c r="M664" i="3"/>
  <c r="N664" i="3" s="1"/>
  <c r="V664" i="3"/>
  <c r="A665" i="3"/>
  <c r="B665" i="3" s="1"/>
  <c r="W664" i="3" l="1"/>
  <c r="L664" i="3"/>
  <c r="AC665" i="3"/>
  <c r="P665" i="3"/>
  <c r="Q665" i="3" s="1"/>
  <c r="R665" i="3" s="1"/>
  <c r="S665" i="3" s="1"/>
  <c r="AA665" i="3"/>
  <c r="Z665" i="3"/>
  <c r="AD665" i="3"/>
  <c r="U664" i="3" l="1"/>
  <c r="Y663" i="3"/>
  <c r="T665" i="3"/>
  <c r="D665" i="3" l="1"/>
  <c r="G665" i="3" s="1"/>
  <c r="AG665" i="3"/>
  <c r="E665" i="3"/>
  <c r="H665" i="3" s="1"/>
  <c r="AH665" i="3"/>
  <c r="F665" i="3" l="1"/>
  <c r="I665" i="3"/>
  <c r="J665" i="3"/>
  <c r="M665" i="3"/>
  <c r="N665" i="3" s="1"/>
  <c r="K665" i="3"/>
  <c r="AE665" i="3" s="1"/>
  <c r="L665" i="3" l="1"/>
  <c r="V665" i="3"/>
  <c r="W665" i="3" s="1"/>
  <c r="A666" i="3"/>
  <c r="B666" i="3" s="1"/>
  <c r="U665" i="3" l="1"/>
  <c r="Y664" i="3"/>
  <c r="AA666" i="3"/>
  <c r="AD666" i="3"/>
  <c r="P666" i="3"/>
  <c r="Q666" i="3" s="1"/>
  <c r="R666" i="3" s="1"/>
  <c r="S666" i="3" s="1"/>
  <c r="Z666" i="3"/>
  <c r="AC666" i="3"/>
  <c r="T666" i="3" l="1"/>
  <c r="D666" i="3" s="1"/>
  <c r="AG666" i="3" l="1"/>
  <c r="E666" i="3"/>
  <c r="H666" i="3" s="1"/>
  <c r="K666" i="3" s="1"/>
  <c r="AE666" i="3" s="1"/>
  <c r="AH666" i="3"/>
  <c r="G666" i="3"/>
  <c r="F666" i="3" l="1"/>
  <c r="I666" i="3"/>
  <c r="J666" i="3"/>
  <c r="M666" i="3"/>
  <c r="N666" i="3" s="1"/>
  <c r="V666" i="3"/>
  <c r="A667" i="3"/>
  <c r="B667" i="3" s="1"/>
  <c r="L666" i="3" l="1"/>
  <c r="W666" i="3"/>
  <c r="AC667" i="3"/>
  <c r="Z667" i="3"/>
  <c r="P667" i="3"/>
  <c r="Q667" i="3" s="1"/>
  <c r="R667" i="3" s="1"/>
  <c r="S667" i="3" s="1"/>
  <c r="AA667" i="3"/>
  <c r="U666" i="3" l="1"/>
  <c r="Y665" i="3"/>
  <c r="T667" i="3"/>
  <c r="AG667" i="3" s="1"/>
  <c r="D667" i="3" l="1"/>
  <c r="E667" i="3"/>
  <c r="H667" i="3" s="1"/>
  <c r="AH667" i="3"/>
  <c r="F667" i="3" l="1"/>
  <c r="G667" i="3"/>
  <c r="K667" i="3"/>
  <c r="AE667" i="3" s="1"/>
  <c r="I667" i="3" l="1"/>
  <c r="J667" i="3"/>
  <c r="AD667" i="3" s="1"/>
  <c r="M667" i="3"/>
  <c r="N667" i="3" s="1"/>
  <c r="V667" i="3"/>
  <c r="A668" i="3"/>
  <c r="B668" i="3" s="1"/>
  <c r="W667" i="3" l="1"/>
  <c r="L667" i="3"/>
  <c r="Z668" i="3"/>
  <c r="P668" i="3"/>
  <c r="Q668" i="3" s="1"/>
  <c r="R668" i="3" s="1"/>
  <c r="S668" i="3" s="1"/>
  <c r="AC668" i="3"/>
  <c r="AA668" i="3"/>
  <c r="T668" i="3" l="1"/>
  <c r="AH668" i="3" s="1"/>
  <c r="U667" i="3"/>
  <c r="Y666" i="3"/>
  <c r="D668" i="3" l="1"/>
  <c r="G668" i="3" s="1"/>
  <c r="AG668" i="3"/>
  <c r="E668" i="3"/>
  <c r="H668" i="3" s="1"/>
  <c r="F668" i="3" l="1"/>
  <c r="I668" i="3"/>
  <c r="J668" i="3"/>
  <c r="AD668" i="3" s="1"/>
  <c r="M668" i="3"/>
  <c r="N668" i="3" s="1"/>
  <c r="K668" i="3"/>
  <c r="AE668" i="3" s="1"/>
  <c r="L668" i="3" l="1"/>
  <c r="V668" i="3"/>
  <c r="W668" i="3" s="1"/>
  <c r="A669" i="3"/>
  <c r="B669" i="3" s="1"/>
  <c r="AA669" i="3" l="1"/>
  <c r="P669" i="3"/>
  <c r="Q669" i="3" s="1"/>
  <c r="R669" i="3" s="1"/>
  <c r="S669" i="3" s="1"/>
  <c r="AD669" i="3"/>
  <c r="AC669" i="3"/>
  <c r="Z669" i="3"/>
  <c r="U668" i="3"/>
  <c r="Y667" i="3"/>
  <c r="T669" i="3" l="1"/>
  <c r="AH669" i="3" l="1"/>
  <c r="AG669" i="3"/>
  <c r="D669" i="3"/>
  <c r="E669" i="3"/>
  <c r="H669" i="3" s="1"/>
  <c r="F669" i="3" l="1"/>
  <c r="G669" i="3"/>
  <c r="K669" i="3"/>
  <c r="AE669" i="3" s="1"/>
  <c r="V669" i="3" l="1"/>
  <c r="A670" i="3"/>
  <c r="B670" i="3" s="1"/>
  <c r="I669" i="3"/>
  <c r="J669" i="3"/>
  <c r="M669" i="3"/>
  <c r="N669" i="3" s="1"/>
  <c r="L669" i="3" l="1"/>
  <c r="W669" i="3"/>
  <c r="AD670" i="3"/>
  <c r="P670" i="3"/>
  <c r="Q670" i="3" s="1"/>
  <c r="R670" i="3" s="1"/>
  <c r="S670" i="3" s="1"/>
  <c r="AA670" i="3"/>
  <c r="Z670" i="3"/>
  <c r="AC670" i="3"/>
  <c r="T670" i="3" l="1"/>
  <c r="U669" i="3"/>
  <c r="Y668" i="3"/>
  <c r="E670" i="3" l="1"/>
  <c r="H670" i="3" s="1"/>
  <c r="K670" i="3" s="1"/>
  <c r="AE670" i="3" s="1"/>
  <c r="AH670" i="3"/>
  <c r="AG670" i="3"/>
  <c r="D670" i="3"/>
  <c r="V670" i="3" l="1"/>
  <c r="A671" i="3"/>
  <c r="B671" i="3" s="1"/>
  <c r="F670" i="3"/>
  <c r="G670" i="3"/>
  <c r="I670" i="3" l="1"/>
  <c r="W670" i="3" s="1"/>
  <c r="J670" i="3"/>
  <c r="M670" i="3"/>
  <c r="N670" i="3" s="1"/>
  <c r="AC671" i="3"/>
  <c r="Z671" i="3"/>
  <c r="AD671" i="3"/>
  <c r="AA671" i="3"/>
  <c r="P671" i="3"/>
  <c r="Q671" i="3" s="1"/>
  <c r="R671" i="3" s="1"/>
  <c r="S671" i="3" s="1"/>
  <c r="T671" i="3" l="1"/>
  <c r="L670" i="3"/>
  <c r="U670" i="3" l="1"/>
  <c r="E671" i="3" s="1"/>
  <c r="H671" i="3" s="1"/>
  <c r="AG671" i="3"/>
  <c r="AH671" i="3"/>
  <c r="Y669" i="3"/>
  <c r="D671" i="3" l="1"/>
  <c r="G671" i="3" s="1"/>
  <c r="K671" i="3"/>
  <c r="AE671" i="3" s="1"/>
  <c r="F671" i="3" l="1"/>
  <c r="V671" i="3"/>
  <c r="A672" i="3"/>
  <c r="B672" i="3" s="1"/>
  <c r="I671" i="3"/>
  <c r="J671" i="3"/>
  <c r="M671" i="3"/>
  <c r="N671" i="3" s="1"/>
  <c r="W671" i="3" l="1"/>
  <c r="L671" i="3"/>
  <c r="AD672" i="3"/>
  <c r="P672" i="3"/>
  <c r="Q672" i="3" s="1"/>
  <c r="R672" i="3" s="1"/>
  <c r="S672" i="3" s="1"/>
  <c r="AC672" i="3"/>
  <c r="Z672" i="3"/>
  <c r="AA672" i="3"/>
  <c r="T672" i="3" l="1"/>
  <c r="AG672" i="3" s="1"/>
  <c r="U671" i="3"/>
  <c r="Y670" i="3"/>
  <c r="E672" i="3" l="1"/>
  <c r="H672" i="3" s="1"/>
  <c r="K672" i="3" s="1"/>
  <c r="AE672" i="3" s="1"/>
  <c r="D672" i="3"/>
  <c r="AH672" i="3"/>
  <c r="F672" i="3" l="1"/>
  <c r="G672" i="3"/>
  <c r="V672" i="3"/>
  <c r="A673" i="3"/>
  <c r="B673" i="3" s="1"/>
  <c r="AC673" i="3" l="1"/>
  <c r="AA673" i="3"/>
  <c r="P673" i="3"/>
  <c r="Q673" i="3" s="1"/>
  <c r="R673" i="3" s="1"/>
  <c r="S673" i="3" s="1"/>
  <c r="AD673" i="3"/>
  <c r="Z673" i="3"/>
  <c r="I672" i="3"/>
  <c r="W672" i="3" s="1"/>
  <c r="J672" i="3"/>
  <c r="M672" i="3"/>
  <c r="N672" i="3" s="1"/>
  <c r="L672" i="3" l="1"/>
  <c r="T673" i="3"/>
  <c r="AH673" i="3" l="1"/>
  <c r="AG673" i="3"/>
  <c r="U672" i="3"/>
  <c r="E673" i="3" s="1"/>
  <c r="H673" i="3" s="1"/>
  <c r="Y671" i="3"/>
  <c r="K673" i="3" l="1"/>
  <c r="AE673" i="3" s="1"/>
  <c r="D673" i="3"/>
  <c r="V673" i="3" l="1"/>
  <c r="A674" i="3"/>
  <c r="B674" i="3" s="1"/>
  <c r="F673" i="3"/>
  <c r="G673" i="3"/>
  <c r="I673" i="3" l="1"/>
  <c r="W673" i="3" s="1"/>
  <c r="J673" i="3"/>
  <c r="M673" i="3"/>
  <c r="N673" i="3" s="1"/>
  <c r="P674" i="3"/>
  <c r="Q674" i="3" s="1"/>
  <c r="R674" i="3" s="1"/>
  <c r="S674" i="3" s="1"/>
  <c r="AA674" i="3"/>
  <c r="Z674" i="3"/>
  <c r="AC674" i="3"/>
  <c r="T674" i="3" l="1"/>
  <c r="L673" i="3"/>
  <c r="AH674" i="3" l="1"/>
  <c r="U673" i="3"/>
  <c r="E674" i="3" s="1"/>
  <c r="H674" i="3" s="1"/>
  <c r="AG674" i="3"/>
  <c r="Y672" i="3"/>
  <c r="D674" i="3" l="1"/>
  <c r="G674" i="3" s="1"/>
  <c r="K674" i="3"/>
  <c r="AE674" i="3" s="1"/>
  <c r="F674" i="3" l="1"/>
  <c r="I674" i="3"/>
  <c r="J674" i="3"/>
  <c r="AD674" i="3" s="1"/>
  <c r="M674" i="3"/>
  <c r="N674" i="3" s="1"/>
  <c r="V674" i="3"/>
  <c r="A675" i="3"/>
  <c r="B675" i="3" s="1"/>
  <c r="W674" i="3" l="1"/>
  <c r="L674" i="3"/>
  <c r="P675" i="3"/>
  <c r="Q675" i="3" s="1"/>
  <c r="R675" i="3" s="1"/>
  <c r="S675" i="3" s="1"/>
  <c r="AA675" i="3"/>
  <c r="AC675" i="3"/>
  <c r="Z675" i="3"/>
  <c r="U674" i="3" l="1"/>
  <c r="Y673" i="3"/>
  <c r="T675" i="3"/>
  <c r="AH675" i="3" s="1"/>
  <c r="AG675" i="3" l="1"/>
  <c r="D675" i="3"/>
  <c r="E675" i="3"/>
  <c r="H675" i="3" s="1"/>
  <c r="F675" i="3" l="1"/>
  <c r="G675" i="3"/>
  <c r="K675" i="3"/>
  <c r="AE675" i="3" s="1"/>
  <c r="I675" i="3" l="1"/>
  <c r="J675" i="3"/>
  <c r="AD675" i="3" s="1"/>
  <c r="M675" i="3"/>
  <c r="N675" i="3" s="1"/>
  <c r="V675" i="3"/>
  <c r="A676" i="3"/>
  <c r="B676" i="3" s="1"/>
  <c r="W675" i="3" l="1"/>
  <c r="L675" i="3"/>
  <c r="AC676" i="3"/>
  <c r="P676" i="3"/>
  <c r="Q676" i="3" s="1"/>
  <c r="R676" i="3" s="1"/>
  <c r="S676" i="3" s="1"/>
  <c r="Z676" i="3"/>
  <c r="AA676" i="3"/>
  <c r="T676" i="3" l="1"/>
  <c r="U675" i="3"/>
  <c r="Y674" i="3"/>
  <c r="E676" i="3" l="1"/>
  <c r="H676" i="3" s="1"/>
  <c r="K676" i="3" s="1"/>
  <c r="AE676" i="3" s="1"/>
  <c r="AH676" i="3"/>
  <c r="D676" i="3"/>
  <c r="G676" i="3" s="1"/>
  <c r="AG676" i="3"/>
  <c r="F676" i="3" l="1"/>
  <c r="I676" i="3"/>
  <c r="J676" i="3"/>
  <c r="AD676" i="3" s="1"/>
  <c r="M676" i="3"/>
  <c r="N676" i="3" s="1"/>
  <c r="V676" i="3"/>
  <c r="A677" i="3"/>
  <c r="B677" i="3" s="1"/>
  <c r="W676" i="3" l="1"/>
  <c r="L676" i="3"/>
  <c r="AA677" i="3"/>
  <c r="AC677" i="3"/>
  <c r="Z677" i="3"/>
  <c r="P677" i="3"/>
  <c r="Q677" i="3" s="1"/>
  <c r="R677" i="3" s="1"/>
  <c r="S677" i="3" s="1"/>
  <c r="U676" i="3" l="1"/>
  <c r="Y675" i="3"/>
  <c r="T677" i="3"/>
  <c r="AG677" i="3" s="1"/>
  <c r="D677" i="3" l="1"/>
  <c r="G677" i="3" s="1"/>
  <c r="AH677" i="3"/>
  <c r="E677" i="3"/>
  <c r="H677" i="3" s="1"/>
  <c r="F677" i="3" l="1"/>
  <c r="I677" i="3"/>
  <c r="J677" i="3"/>
  <c r="AD677" i="3" s="1"/>
  <c r="M677" i="3"/>
  <c r="N677" i="3" s="1"/>
  <c r="K677" i="3"/>
  <c r="AE677" i="3" s="1"/>
  <c r="V677" i="3" l="1"/>
  <c r="W677" i="3" s="1"/>
  <c r="A678" i="3"/>
  <c r="B678" i="3" s="1"/>
  <c r="L677" i="3"/>
  <c r="U677" i="3" l="1"/>
  <c r="Y676" i="3"/>
  <c r="P678" i="3"/>
  <c r="Q678" i="3" s="1"/>
  <c r="R678" i="3" s="1"/>
  <c r="S678" i="3" s="1"/>
  <c r="Z678" i="3"/>
  <c r="AC678" i="3"/>
  <c r="AA678" i="3"/>
  <c r="T678" i="3" l="1"/>
  <c r="AH678" i="3" s="1"/>
  <c r="E678" i="3" l="1"/>
  <c r="H678" i="3" s="1"/>
  <c r="K678" i="3" s="1"/>
  <c r="AE678" i="3" s="1"/>
  <c r="D678" i="3"/>
  <c r="AG678" i="3"/>
  <c r="F678" i="3" l="1"/>
  <c r="G678" i="3"/>
  <c r="J678" i="3" s="1"/>
  <c r="AD678" i="3" s="1"/>
  <c r="V678" i="3"/>
  <c r="A679" i="3"/>
  <c r="B679" i="3" s="1"/>
  <c r="M678" i="3" l="1"/>
  <c r="N678" i="3" s="1"/>
  <c r="I678" i="3"/>
  <c r="W678" i="3" s="1"/>
  <c r="L678" i="3"/>
  <c r="P679" i="3"/>
  <c r="Q679" i="3" s="1"/>
  <c r="R679" i="3" s="1"/>
  <c r="S679" i="3" s="1"/>
  <c r="AA679" i="3"/>
  <c r="Z679" i="3"/>
  <c r="AC679" i="3"/>
  <c r="T679" i="3" l="1"/>
  <c r="U678" i="3"/>
  <c r="Y677" i="3"/>
  <c r="E679" i="3" l="1"/>
  <c r="H679" i="3" s="1"/>
  <c r="K679" i="3" s="1"/>
  <c r="AE679" i="3" s="1"/>
  <c r="AH679" i="3"/>
  <c r="AG679" i="3"/>
  <c r="D679" i="3"/>
  <c r="F679" i="3" l="1"/>
  <c r="G679" i="3"/>
  <c r="V679" i="3"/>
  <c r="A680" i="3"/>
  <c r="B680" i="3" s="1"/>
  <c r="AC680" i="3" l="1"/>
  <c r="P680" i="3"/>
  <c r="Q680" i="3" s="1"/>
  <c r="R680" i="3" s="1"/>
  <c r="S680" i="3" s="1"/>
  <c r="AA680" i="3"/>
  <c r="Z680" i="3"/>
  <c r="I679" i="3"/>
  <c r="W679" i="3" s="1"/>
  <c r="J679" i="3"/>
  <c r="AD679" i="3" s="1"/>
  <c r="M679" i="3"/>
  <c r="N679" i="3" s="1"/>
  <c r="L679" i="3" l="1"/>
  <c r="T680" i="3"/>
  <c r="AH680" i="3" l="1"/>
  <c r="U679" i="3"/>
  <c r="E680" i="3" s="1"/>
  <c r="H680" i="3" s="1"/>
  <c r="AG680" i="3"/>
  <c r="Y678" i="3"/>
  <c r="D680" i="3" l="1"/>
  <c r="G680" i="3" s="1"/>
  <c r="K680" i="3"/>
  <c r="AE680" i="3" s="1"/>
  <c r="F680" i="3" l="1"/>
  <c r="I680" i="3"/>
  <c r="J680" i="3"/>
  <c r="AD680" i="3" s="1"/>
  <c r="M680" i="3"/>
  <c r="N680" i="3" s="1"/>
  <c r="V680" i="3"/>
  <c r="A681" i="3"/>
  <c r="B681" i="3" s="1"/>
  <c r="W680" i="3" l="1"/>
  <c r="L680" i="3"/>
  <c r="AA681" i="3"/>
  <c r="P681" i="3"/>
  <c r="Q681" i="3" s="1"/>
  <c r="R681" i="3" s="1"/>
  <c r="S681" i="3" s="1"/>
  <c r="Z681" i="3"/>
  <c r="AC681" i="3"/>
  <c r="U680" i="3" l="1"/>
  <c r="Y679" i="3"/>
  <c r="T681" i="3"/>
  <c r="E681" i="3" l="1"/>
  <c r="H681" i="3" s="1"/>
  <c r="K681" i="3" s="1"/>
  <c r="AE681" i="3" s="1"/>
  <c r="AG681" i="3"/>
  <c r="AH681" i="3"/>
  <c r="D681" i="3"/>
  <c r="F681" i="3" l="1"/>
  <c r="G681" i="3"/>
  <c r="V681" i="3"/>
  <c r="A682" i="3"/>
  <c r="B682" i="3" s="1"/>
  <c r="Z682" i="3" l="1"/>
  <c r="P682" i="3"/>
  <c r="Q682" i="3" s="1"/>
  <c r="R682" i="3" s="1"/>
  <c r="S682" i="3" s="1"/>
  <c r="AC682" i="3"/>
  <c r="AA682" i="3"/>
  <c r="I681" i="3"/>
  <c r="W681" i="3" s="1"/>
  <c r="J681" i="3"/>
  <c r="AD681" i="3" s="1"/>
  <c r="M681" i="3"/>
  <c r="N681" i="3" s="1"/>
  <c r="L681" i="3" l="1"/>
  <c r="T682" i="3"/>
  <c r="U681" i="3" l="1"/>
  <c r="E682" i="3" s="1"/>
  <c r="H682" i="3" s="1"/>
  <c r="AG682" i="3"/>
  <c r="AH682" i="3"/>
  <c r="Y680" i="3"/>
  <c r="D682" i="3" l="1"/>
  <c r="G682" i="3" s="1"/>
  <c r="K682" i="3"/>
  <c r="AE682" i="3" s="1"/>
  <c r="F682" i="3" l="1"/>
  <c r="V682" i="3"/>
  <c r="A683" i="3"/>
  <c r="B683" i="3" s="1"/>
  <c r="I682" i="3"/>
  <c r="J682" i="3"/>
  <c r="AD682" i="3" s="1"/>
  <c r="M682" i="3"/>
  <c r="N682" i="3" s="1"/>
  <c r="W682" i="3" l="1"/>
  <c r="L682" i="3"/>
  <c r="P683" i="3"/>
  <c r="Q683" i="3" s="1"/>
  <c r="R683" i="3" s="1"/>
  <c r="S683" i="3" s="1"/>
  <c r="AC683" i="3"/>
  <c r="AA683" i="3"/>
  <c r="Z683" i="3"/>
  <c r="U682" i="3" l="1"/>
  <c r="Y681" i="3"/>
  <c r="T683" i="3"/>
  <c r="E683" i="3" l="1"/>
  <c r="H683" i="3" s="1"/>
  <c r="K683" i="3" s="1"/>
  <c r="AE683" i="3" s="1"/>
  <c r="AH683" i="3"/>
  <c r="AG683" i="3"/>
  <c r="D683" i="3"/>
  <c r="F683" i="3" l="1"/>
  <c r="G683" i="3"/>
  <c r="V683" i="3"/>
  <c r="A684" i="3"/>
  <c r="B684" i="3" s="1"/>
  <c r="Z684" i="3" l="1"/>
  <c r="AA684" i="3"/>
  <c r="AC684" i="3"/>
  <c r="P684" i="3"/>
  <c r="Q684" i="3" s="1"/>
  <c r="R684" i="3" s="1"/>
  <c r="S684" i="3" s="1"/>
  <c r="I683" i="3"/>
  <c r="W683" i="3" s="1"/>
  <c r="J683" i="3"/>
  <c r="AD683" i="3" s="1"/>
  <c r="M683" i="3"/>
  <c r="N683" i="3" s="1"/>
  <c r="T684" i="3" l="1"/>
  <c r="L683" i="3"/>
  <c r="AH684" i="3" l="1"/>
  <c r="AG684" i="3"/>
  <c r="U683" i="3"/>
  <c r="D684" i="3" s="1"/>
  <c r="Y682" i="3"/>
  <c r="E684" i="3" l="1"/>
  <c r="H684" i="3" s="1"/>
  <c r="K684" i="3" s="1"/>
  <c r="AE684" i="3" s="1"/>
  <c r="G684" i="3"/>
  <c r="F684" i="3" l="1"/>
  <c r="V684" i="3"/>
  <c r="A685" i="3"/>
  <c r="B685" i="3" s="1"/>
  <c r="I684" i="3"/>
  <c r="J684" i="3"/>
  <c r="AD684" i="3" s="1"/>
  <c r="M684" i="3"/>
  <c r="N684" i="3" s="1"/>
  <c r="W684" i="3" l="1"/>
  <c r="L684" i="3"/>
  <c r="P685" i="3"/>
  <c r="Q685" i="3" s="1"/>
  <c r="R685" i="3" s="1"/>
  <c r="S685" i="3" s="1"/>
  <c r="Z685" i="3"/>
  <c r="AC685" i="3"/>
  <c r="AD685" i="3"/>
  <c r="AA685" i="3"/>
  <c r="U684" i="3" l="1"/>
  <c r="Y683" i="3"/>
  <c r="T685" i="3"/>
  <c r="AG685" i="3" s="1"/>
  <c r="D685" i="3" l="1"/>
  <c r="G685" i="3" s="1"/>
  <c r="E685" i="3"/>
  <c r="H685" i="3" s="1"/>
  <c r="AH685" i="3"/>
  <c r="F685" i="3" l="1"/>
  <c r="I685" i="3"/>
  <c r="J685" i="3"/>
  <c r="M685" i="3"/>
  <c r="N685" i="3" s="1"/>
  <c r="K685" i="3"/>
  <c r="AE685" i="3" s="1"/>
  <c r="V685" i="3" l="1"/>
  <c r="W685" i="3" s="1"/>
  <c r="A686" i="3"/>
  <c r="B686" i="3" s="1"/>
  <c r="L685" i="3"/>
  <c r="U685" i="3" l="1"/>
  <c r="Y684" i="3"/>
  <c r="AA686" i="3"/>
  <c r="AC686" i="3"/>
  <c r="AD686" i="3"/>
  <c r="P686" i="3"/>
  <c r="Q686" i="3" s="1"/>
  <c r="R686" i="3" s="1"/>
  <c r="S686" i="3" s="1"/>
  <c r="Z686" i="3"/>
  <c r="T686" i="3" l="1"/>
  <c r="D686" i="3" s="1"/>
  <c r="E686" i="3" l="1"/>
  <c r="H686" i="3" s="1"/>
  <c r="K686" i="3" s="1"/>
  <c r="AE686" i="3" s="1"/>
  <c r="AG686" i="3"/>
  <c r="AH686" i="3"/>
  <c r="G686" i="3"/>
  <c r="F686" i="3" l="1"/>
  <c r="V686" i="3"/>
  <c r="A687" i="3"/>
  <c r="B687" i="3" s="1"/>
  <c r="I686" i="3"/>
  <c r="J686" i="3"/>
  <c r="M686" i="3"/>
  <c r="N686" i="3" s="1"/>
  <c r="L686" i="3" l="1"/>
  <c r="W686" i="3"/>
  <c r="Z687" i="3"/>
  <c r="P687" i="3"/>
  <c r="Q687" i="3" s="1"/>
  <c r="R687" i="3" s="1"/>
  <c r="S687" i="3" s="1"/>
  <c r="AA687" i="3"/>
  <c r="AC687" i="3"/>
  <c r="U686" i="3" l="1"/>
  <c r="Y685" i="3"/>
  <c r="T687" i="3"/>
  <c r="AG687" i="3" s="1"/>
  <c r="AH687" i="3" l="1"/>
  <c r="D687" i="3"/>
  <c r="G687" i="3" s="1"/>
  <c r="E687" i="3"/>
  <c r="H687" i="3" s="1"/>
  <c r="K687" i="3" s="1"/>
  <c r="AE687" i="3" s="1"/>
  <c r="F687" i="3" l="1"/>
  <c r="I687" i="3"/>
  <c r="J687" i="3"/>
  <c r="AD687" i="3" s="1"/>
  <c r="M687" i="3"/>
  <c r="N687" i="3" s="1"/>
  <c r="V687" i="3"/>
  <c r="A688" i="3"/>
  <c r="B688" i="3" s="1"/>
  <c r="W687" i="3" l="1"/>
  <c r="L687" i="3"/>
  <c r="AC688" i="3"/>
  <c r="AA688" i="3"/>
  <c r="P688" i="3"/>
  <c r="Q688" i="3" s="1"/>
  <c r="R688" i="3" s="1"/>
  <c r="S688" i="3" s="1"/>
  <c r="Z688" i="3"/>
  <c r="U687" i="3" l="1"/>
  <c r="Y686" i="3"/>
  <c r="T688" i="3"/>
  <c r="AG688" i="3" s="1"/>
  <c r="E688" i="3" l="1"/>
  <c r="H688" i="3" s="1"/>
  <c r="K688" i="3" s="1"/>
  <c r="AE688" i="3" s="1"/>
  <c r="AH688" i="3"/>
  <c r="D688" i="3"/>
  <c r="F688" i="3" l="1"/>
  <c r="G688" i="3"/>
  <c r="V688" i="3"/>
  <c r="A689" i="3"/>
  <c r="B689" i="3" s="1"/>
  <c r="AA689" i="3" l="1"/>
  <c r="P689" i="3"/>
  <c r="Q689" i="3" s="1"/>
  <c r="R689" i="3" s="1"/>
  <c r="S689" i="3" s="1"/>
  <c r="Z689" i="3"/>
  <c r="AD689" i="3"/>
  <c r="AC689" i="3"/>
  <c r="I688" i="3"/>
  <c r="W688" i="3" s="1"/>
  <c r="J688" i="3"/>
  <c r="AD688" i="3" s="1"/>
  <c r="M688" i="3"/>
  <c r="N688" i="3" s="1"/>
  <c r="T689" i="3" l="1"/>
  <c r="L688" i="3"/>
  <c r="U688" i="3" l="1"/>
  <c r="D689" i="3" s="1"/>
  <c r="AG689" i="3"/>
  <c r="AH689" i="3"/>
  <c r="Y687" i="3"/>
  <c r="E689" i="3" l="1"/>
  <c r="H689" i="3" s="1"/>
  <c r="K689" i="3" s="1"/>
  <c r="AE689" i="3" s="1"/>
  <c r="G689" i="3"/>
  <c r="F689" i="3" l="1"/>
  <c r="I689" i="3"/>
  <c r="J689" i="3"/>
  <c r="M689" i="3"/>
  <c r="N689" i="3" s="1"/>
  <c r="V689" i="3"/>
  <c r="A690" i="3"/>
  <c r="B690" i="3" s="1"/>
  <c r="W689" i="3" l="1"/>
  <c r="L689" i="3"/>
  <c r="AA690" i="3"/>
  <c r="AC690" i="3"/>
  <c r="P690" i="3"/>
  <c r="Q690" i="3" s="1"/>
  <c r="R690" i="3" s="1"/>
  <c r="S690" i="3" s="1"/>
  <c r="AD690" i="3"/>
  <c r="Z690" i="3"/>
  <c r="U689" i="3" l="1"/>
  <c r="Y688" i="3"/>
  <c r="T690" i="3"/>
  <c r="AH690" i="3" s="1"/>
  <c r="D690" i="3" l="1"/>
  <c r="G690" i="3" s="1"/>
  <c r="E690" i="3"/>
  <c r="H690" i="3" s="1"/>
  <c r="K690" i="3" s="1"/>
  <c r="AE690" i="3" s="1"/>
  <c r="AG690" i="3"/>
  <c r="F690" i="3" l="1"/>
  <c r="I690" i="3"/>
  <c r="J690" i="3"/>
  <c r="M690" i="3"/>
  <c r="N690" i="3" s="1"/>
  <c r="V690" i="3"/>
  <c r="A691" i="3"/>
  <c r="B691" i="3" s="1"/>
  <c r="W690" i="3" l="1"/>
  <c r="L690" i="3"/>
  <c r="AA691" i="3"/>
  <c r="Z691" i="3"/>
  <c r="P691" i="3"/>
  <c r="Q691" i="3" s="1"/>
  <c r="R691" i="3" s="1"/>
  <c r="S691" i="3" s="1"/>
  <c r="AD691" i="3"/>
  <c r="AC691" i="3"/>
  <c r="T691" i="3" l="1"/>
  <c r="U690" i="3"/>
  <c r="Y689" i="3"/>
  <c r="D691" i="3" l="1"/>
  <c r="G691" i="3" s="1"/>
  <c r="AH691" i="3"/>
  <c r="E691" i="3"/>
  <c r="H691" i="3" s="1"/>
  <c r="AG691" i="3"/>
  <c r="F691" i="3" l="1"/>
  <c r="I691" i="3"/>
  <c r="J691" i="3"/>
  <c r="M691" i="3"/>
  <c r="N691" i="3" s="1"/>
  <c r="K691" i="3"/>
  <c r="AE691" i="3" s="1"/>
  <c r="V691" i="3" l="1"/>
  <c r="W691" i="3" s="1"/>
  <c r="A692" i="3"/>
  <c r="B692" i="3" s="1"/>
  <c r="L691" i="3"/>
  <c r="U691" i="3" l="1"/>
  <c r="Y690" i="3"/>
  <c r="AC692" i="3"/>
  <c r="AD692" i="3"/>
  <c r="AA692" i="3"/>
  <c r="Z692" i="3"/>
  <c r="P692" i="3"/>
  <c r="Q692" i="3" s="1"/>
  <c r="R692" i="3" s="1"/>
  <c r="S692" i="3" s="1"/>
  <c r="T692" i="3" l="1"/>
  <c r="E692" i="3" s="1"/>
  <c r="H692" i="3" s="1"/>
  <c r="D692" i="3" l="1"/>
  <c r="G692" i="3" s="1"/>
  <c r="AH692" i="3"/>
  <c r="K692" i="3"/>
  <c r="AE692" i="3" s="1"/>
  <c r="AG692" i="3"/>
  <c r="F692" i="3" l="1"/>
  <c r="I692" i="3"/>
  <c r="J692" i="3"/>
  <c r="M692" i="3"/>
  <c r="N692" i="3" s="1"/>
  <c r="V692" i="3"/>
  <c r="A693" i="3"/>
  <c r="B693" i="3" s="1"/>
  <c r="W692" i="3" l="1"/>
  <c r="L692" i="3"/>
  <c r="AC693" i="3"/>
  <c r="AA693" i="3"/>
  <c r="AD693" i="3"/>
  <c r="P693" i="3"/>
  <c r="Q693" i="3" s="1"/>
  <c r="R693" i="3" s="1"/>
  <c r="S693" i="3" s="1"/>
  <c r="Z693" i="3"/>
  <c r="U692" i="3" l="1"/>
  <c r="Y691" i="3"/>
  <c r="T693" i="3"/>
  <c r="AG693" i="3" s="1"/>
  <c r="D693" i="3" l="1"/>
  <c r="G693" i="3" s="1"/>
  <c r="E693" i="3"/>
  <c r="H693" i="3" s="1"/>
  <c r="K693" i="3" s="1"/>
  <c r="AE693" i="3" s="1"/>
  <c r="AH693" i="3"/>
  <c r="F693" i="3" l="1"/>
  <c r="V693" i="3"/>
  <c r="A694" i="3"/>
  <c r="B694" i="3" s="1"/>
  <c r="I693" i="3"/>
  <c r="J693" i="3"/>
  <c r="M693" i="3"/>
  <c r="N693" i="3" s="1"/>
  <c r="W693" i="3" l="1"/>
  <c r="L693" i="3"/>
  <c r="AA694" i="3"/>
  <c r="AC694" i="3"/>
  <c r="P694" i="3"/>
  <c r="Q694" i="3" s="1"/>
  <c r="R694" i="3" s="1"/>
  <c r="S694" i="3" s="1"/>
  <c r="Z694" i="3"/>
  <c r="U693" i="3" l="1"/>
  <c r="Y692" i="3"/>
  <c r="T694" i="3"/>
  <c r="AG694" i="3" s="1"/>
  <c r="E694" i="3" l="1"/>
  <c r="H694" i="3" s="1"/>
  <c r="K694" i="3" s="1"/>
  <c r="AE694" i="3" s="1"/>
  <c r="AH694" i="3"/>
  <c r="D694" i="3"/>
  <c r="G694" i="3" s="1"/>
  <c r="F694" i="3" l="1"/>
  <c r="I694" i="3"/>
  <c r="J694" i="3"/>
  <c r="AD694" i="3" s="1"/>
  <c r="M694" i="3"/>
  <c r="N694" i="3" s="1"/>
  <c r="V694" i="3"/>
  <c r="A695" i="3"/>
  <c r="B695" i="3" s="1"/>
  <c r="W694" i="3" l="1"/>
  <c r="L694" i="3"/>
  <c r="Z695" i="3"/>
  <c r="P695" i="3"/>
  <c r="Q695" i="3" s="1"/>
  <c r="R695" i="3" s="1"/>
  <c r="S695" i="3" s="1"/>
  <c r="AC695" i="3"/>
  <c r="AA695" i="3"/>
  <c r="U694" i="3" l="1"/>
  <c r="Y693" i="3"/>
  <c r="T695" i="3"/>
  <c r="E695" i="3" l="1"/>
  <c r="H695" i="3" s="1"/>
  <c r="K695" i="3" s="1"/>
  <c r="AE695" i="3" s="1"/>
  <c r="D695" i="3"/>
  <c r="AG695" i="3"/>
  <c r="AH695" i="3"/>
  <c r="V695" i="3" l="1"/>
  <c r="A696" i="3"/>
  <c r="B696" i="3" s="1"/>
  <c r="F695" i="3"/>
  <c r="G695" i="3"/>
  <c r="I695" i="3" l="1"/>
  <c r="W695" i="3" s="1"/>
  <c r="J695" i="3"/>
  <c r="AD695" i="3" s="1"/>
  <c r="M695" i="3"/>
  <c r="N695" i="3" s="1"/>
  <c r="AA696" i="3"/>
  <c r="Z696" i="3"/>
  <c r="P696" i="3"/>
  <c r="Q696" i="3" s="1"/>
  <c r="R696" i="3" s="1"/>
  <c r="S696" i="3" s="1"/>
  <c r="AC696" i="3"/>
  <c r="T696" i="3" l="1"/>
  <c r="L695" i="3"/>
  <c r="AH696" i="3" l="1"/>
  <c r="U695" i="3"/>
  <c r="D696" i="3" s="1"/>
  <c r="AG696" i="3"/>
  <c r="Y694" i="3"/>
  <c r="E696" i="3" l="1"/>
  <c r="H696" i="3" s="1"/>
  <c r="K696" i="3" s="1"/>
  <c r="AE696" i="3" s="1"/>
  <c r="G696" i="3"/>
  <c r="F696" i="3" l="1"/>
  <c r="V696" i="3"/>
  <c r="A697" i="3"/>
  <c r="B697" i="3" s="1"/>
  <c r="I696" i="3"/>
  <c r="J696" i="3"/>
  <c r="AD696" i="3" s="1"/>
  <c r="M696" i="3"/>
  <c r="N696" i="3" s="1"/>
  <c r="W696" i="3" l="1"/>
  <c r="P697" i="3"/>
  <c r="Q697" i="3" s="1"/>
  <c r="R697" i="3" s="1"/>
  <c r="S697" i="3" s="1"/>
  <c r="Z697" i="3"/>
  <c r="AA697" i="3"/>
  <c r="AC697" i="3"/>
  <c r="L696" i="3"/>
  <c r="U696" i="3" l="1"/>
  <c r="Y695" i="3"/>
  <c r="T697" i="3"/>
  <c r="E697" i="3" l="1"/>
  <c r="H697" i="3" s="1"/>
  <c r="K697" i="3" s="1"/>
  <c r="AE697" i="3" s="1"/>
  <c r="D697" i="3"/>
  <c r="AH697" i="3"/>
  <c r="AG697" i="3"/>
  <c r="F697" i="3" l="1"/>
  <c r="G697" i="3"/>
  <c r="M697" i="3" s="1"/>
  <c r="N697" i="3" s="1"/>
  <c r="V697" i="3"/>
  <c r="A698" i="3"/>
  <c r="B698" i="3" s="1"/>
  <c r="I697" i="3" l="1"/>
  <c r="W697" i="3" s="1"/>
  <c r="J697" i="3"/>
  <c r="AA698" i="3"/>
  <c r="Z698" i="3"/>
  <c r="AC698" i="3"/>
  <c r="P698" i="3"/>
  <c r="Q698" i="3" s="1"/>
  <c r="R698" i="3" s="1"/>
  <c r="S698" i="3" s="1"/>
  <c r="L697" i="3" l="1"/>
  <c r="U697" i="3" s="1"/>
  <c r="AD697" i="3"/>
  <c r="T698" i="3"/>
  <c r="Y696" i="3" l="1"/>
  <c r="AG698" i="3"/>
  <c r="E698" i="3"/>
  <c r="H698" i="3" s="1"/>
  <c r="K698" i="3" s="1"/>
  <c r="AE698" i="3" s="1"/>
  <c r="AH698" i="3"/>
  <c r="D698" i="3"/>
  <c r="F698" i="3" l="1"/>
  <c r="G698" i="3"/>
  <c r="J698" i="3" s="1"/>
  <c r="AD698" i="3" s="1"/>
  <c r="V698" i="3"/>
  <c r="A699" i="3"/>
  <c r="B699" i="3" s="1"/>
  <c r="M698" i="3" l="1"/>
  <c r="N698" i="3" s="1"/>
  <c r="I698" i="3"/>
  <c r="W698" i="3" s="1"/>
  <c r="L698" i="3"/>
  <c r="Z699" i="3"/>
  <c r="P699" i="3"/>
  <c r="Q699" i="3" s="1"/>
  <c r="R699" i="3" s="1"/>
  <c r="S699" i="3" s="1"/>
  <c r="AA699" i="3"/>
  <c r="AC699" i="3"/>
  <c r="T699" i="3" l="1"/>
  <c r="U698" i="3"/>
  <c r="Y697" i="3"/>
  <c r="D699" i="3" l="1"/>
  <c r="G699" i="3" s="1"/>
  <c r="AG699" i="3"/>
  <c r="AH699" i="3"/>
  <c r="E699" i="3"/>
  <c r="H699" i="3" s="1"/>
  <c r="K699" i="3" l="1"/>
  <c r="AE699" i="3" s="1"/>
  <c r="I699" i="3"/>
  <c r="J699" i="3"/>
  <c r="AD699" i="3" s="1"/>
  <c r="M699" i="3"/>
  <c r="N699" i="3" s="1"/>
  <c r="F699" i="3"/>
  <c r="L699" i="3" l="1"/>
  <c r="V699" i="3"/>
  <c r="W699" i="3" s="1"/>
  <c r="A700" i="3"/>
  <c r="B700" i="3" s="1"/>
  <c r="U699" i="3" l="1"/>
  <c r="Y698" i="3"/>
  <c r="Z700" i="3"/>
  <c r="P700" i="3"/>
  <c r="Q700" i="3" s="1"/>
  <c r="R700" i="3" s="1"/>
  <c r="S700" i="3" s="1"/>
  <c r="AC700" i="3"/>
  <c r="AA700" i="3"/>
  <c r="T700" i="3" l="1"/>
  <c r="D700" i="3" s="1"/>
  <c r="AH700" i="3" l="1"/>
  <c r="AG700" i="3"/>
  <c r="E700" i="3"/>
  <c r="H700" i="3" s="1"/>
  <c r="K700" i="3" s="1"/>
  <c r="AE700" i="3" s="1"/>
  <c r="G700" i="3"/>
  <c r="F700" i="3" l="1"/>
  <c r="I700" i="3"/>
  <c r="J700" i="3"/>
  <c r="AD700" i="3" s="1"/>
  <c r="M700" i="3"/>
  <c r="N700" i="3" s="1"/>
  <c r="V700" i="3"/>
  <c r="A701" i="3"/>
  <c r="B701" i="3" s="1"/>
  <c r="W700" i="3" l="1"/>
  <c r="L700" i="3"/>
  <c r="AC701" i="3"/>
  <c r="AA701" i="3"/>
  <c r="Z701" i="3"/>
  <c r="P701" i="3"/>
  <c r="Q701" i="3" s="1"/>
  <c r="R701" i="3" s="1"/>
  <c r="S701" i="3" s="1"/>
  <c r="U700" i="3" l="1"/>
  <c r="Y699" i="3"/>
  <c r="T701" i="3"/>
  <c r="AG701" i="3" s="1"/>
  <c r="AH701" i="3" l="1"/>
  <c r="E701" i="3"/>
  <c r="H701" i="3" s="1"/>
  <c r="D701" i="3"/>
  <c r="F701" i="3" l="1"/>
  <c r="G701" i="3"/>
  <c r="K701" i="3"/>
  <c r="AE701" i="3" s="1"/>
  <c r="I701" i="3" l="1"/>
  <c r="J701" i="3"/>
  <c r="AD701" i="3" s="1"/>
  <c r="M701" i="3"/>
  <c r="N701" i="3" s="1"/>
  <c r="V701" i="3"/>
  <c r="A702" i="3"/>
  <c r="B702" i="3" s="1"/>
  <c r="W701" i="3" l="1"/>
  <c r="L701" i="3"/>
  <c r="AC702" i="3"/>
  <c r="P702" i="3"/>
  <c r="Q702" i="3" s="1"/>
  <c r="R702" i="3" s="1"/>
  <c r="S702" i="3" s="1"/>
  <c r="Z702" i="3"/>
  <c r="AA702" i="3"/>
  <c r="U701" i="3" l="1"/>
  <c r="Y700" i="3"/>
  <c r="T702" i="3"/>
  <c r="AH702" i="3" s="1"/>
  <c r="D702" i="3" l="1"/>
  <c r="G702" i="3" s="1"/>
  <c r="E702" i="3"/>
  <c r="H702" i="3" s="1"/>
  <c r="K702" i="3" s="1"/>
  <c r="AE702" i="3" s="1"/>
  <c r="AG702" i="3"/>
  <c r="F702" i="3" l="1"/>
  <c r="V702" i="3"/>
  <c r="A703" i="3"/>
  <c r="B703" i="3" s="1"/>
  <c r="I702" i="3"/>
  <c r="J702" i="3"/>
  <c r="AD702" i="3" s="1"/>
  <c r="M702" i="3"/>
  <c r="N702" i="3" s="1"/>
  <c r="W702" i="3" l="1"/>
  <c r="L702" i="3"/>
  <c r="AC703" i="3"/>
  <c r="P703" i="3"/>
  <c r="Q703" i="3" s="1"/>
  <c r="R703" i="3" s="1"/>
  <c r="S703" i="3" s="1"/>
  <c r="AA703" i="3"/>
  <c r="Z703" i="3"/>
  <c r="T703" i="3" l="1"/>
  <c r="AH703" i="3" s="1"/>
  <c r="U702" i="3"/>
  <c r="Y701" i="3"/>
  <c r="E703" i="3" l="1"/>
  <c r="H703" i="3" s="1"/>
  <c r="K703" i="3" s="1"/>
  <c r="AE703" i="3" s="1"/>
  <c r="AG703" i="3"/>
  <c r="D703" i="3"/>
  <c r="F703" i="3" l="1"/>
  <c r="G703" i="3"/>
  <c r="V703" i="3"/>
  <c r="A704" i="3"/>
  <c r="B704" i="3" s="1"/>
  <c r="P704" i="3" l="1"/>
  <c r="Q704" i="3" s="1"/>
  <c r="R704" i="3" s="1"/>
  <c r="S704" i="3" s="1"/>
  <c r="AC704" i="3"/>
  <c r="Z704" i="3"/>
  <c r="AA704" i="3"/>
  <c r="I703" i="3"/>
  <c r="W703" i="3" s="1"/>
  <c r="J703" i="3"/>
  <c r="AD703" i="3" s="1"/>
  <c r="M703" i="3"/>
  <c r="N703" i="3" s="1"/>
  <c r="T704" i="3" l="1"/>
  <c r="L703" i="3"/>
  <c r="U703" i="3" l="1"/>
  <c r="D704" i="3" s="1"/>
  <c r="AG704" i="3"/>
  <c r="AH704" i="3"/>
  <c r="Y702" i="3"/>
  <c r="G704" i="3" l="1"/>
  <c r="E704" i="3"/>
  <c r="H704" i="3" s="1"/>
  <c r="F704" i="3" l="1"/>
  <c r="I704" i="3"/>
  <c r="J704" i="3"/>
  <c r="AD704" i="3" s="1"/>
  <c r="M704" i="3"/>
  <c r="N704" i="3" s="1"/>
  <c r="K704" i="3"/>
  <c r="AE704" i="3" s="1"/>
  <c r="V704" i="3" l="1"/>
  <c r="W704" i="3" s="1"/>
  <c r="A705" i="3"/>
  <c r="B705" i="3" s="1"/>
  <c r="L704" i="3"/>
  <c r="U704" i="3" l="1"/>
  <c r="Y703" i="3"/>
  <c r="Z705" i="3"/>
  <c r="P705" i="3"/>
  <c r="Q705" i="3" s="1"/>
  <c r="R705" i="3" s="1"/>
  <c r="S705" i="3" s="1"/>
  <c r="AC705" i="3"/>
  <c r="AA705" i="3"/>
  <c r="AD705" i="3"/>
  <c r="T705" i="3" l="1"/>
  <c r="AH705" i="3" s="1"/>
  <c r="AG705" i="3" l="1"/>
  <c r="D705" i="3"/>
  <c r="E705" i="3"/>
  <c r="H705" i="3" s="1"/>
  <c r="F705" i="3" l="1"/>
  <c r="G705" i="3"/>
  <c r="K705" i="3"/>
  <c r="AE705" i="3" s="1"/>
  <c r="I705" i="3" l="1"/>
  <c r="J705" i="3"/>
  <c r="M705" i="3"/>
  <c r="N705" i="3" s="1"/>
  <c r="V705" i="3"/>
  <c r="A706" i="3"/>
  <c r="B706" i="3" s="1"/>
  <c r="W705" i="3" l="1"/>
  <c r="L705" i="3"/>
  <c r="P706" i="3"/>
  <c r="Q706" i="3" s="1"/>
  <c r="R706" i="3" s="1"/>
  <c r="S706" i="3" s="1"/>
  <c r="AA706" i="3"/>
  <c r="AC706" i="3"/>
  <c r="Z706" i="3"/>
  <c r="AD706" i="3"/>
  <c r="U705" i="3" l="1"/>
  <c r="Y704" i="3"/>
  <c r="T706" i="3"/>
  <c r="AH706" i="3" s="1"/>
  <c r="E706" i="3" l="1"/>
  <c r="H706" i="3" s="1"/>
  <c r="D706" i="3"/>
  <c r="AG706" i="3"/>
  <c r="K706" i="3" l="1"/>
  <c r="AE706" i="3" s="1"/>
  <c r="F706" i="3"/>
  <c r="G706" i="3"/>
  <c r="I706" i="3" l="1"/>
  <c r="J706" i="3"/>
  <c r="M706" i="3"/>
  <c r="N706" i="3" s="1"/>
  <c r="V706" i="3"/>
  <c r="A707" i="3"/>
  <c r="B707" i="3" s="1"/>
  <c r="W706" i="3" l="1"/>
  <c r="P707" i="3"/>
  <c r="Q707" i="3" s="1"/>
  <c r="R707" i="3" s="1"/>
  <c r="S707" i="3" s="1"/>
  <c r="Z707" i="3"/>
  <c r="AC707" i="3"/>
  <c r="AA707" i="3"/>
  <c r="L706" i="3"/>
  <c r="T707" i="3" l="1"/>
  <c r="AG707" i="3" s="1"/>
  <c r="U706" i="3"/>
  <c r="Y705" i="3"/>
  <c r="E707" i="3" l="1"/>
  <c r="H707" i="3" s="1"/>
  <c r="K707" i="3" s="1"/>
  <c r="AE707" i="3" s="1"/>
  <c r="D707" i="3"/>
  <c r="AH707" i="3"/>
  <c r="V707" i="3" l="1"/>
  <c r="A708" i="3"/>
  <c r="B708" i="3" s="1"/>
  <c r="F707" i="3"/>
  <c r="G707" i="3"/>
  <c r="I707" i="3" l="1"/>
  <c r="W707" i="3" s="1"/>
  <c r="J707" i="3"/>
  <c r="AD707" i="3" s="1"/>
  <c r="M707" i="3"/>
  <c r="N707" i="3" s="1"/>
  <c r="P708" i="3"/>
  <c r="Q708" i="3" s="1"/>
  <c r="R708" i="3" s="1"/>
  <c r="S708" i="3" s="1"/>
  <c r="AC708" i="3"/>
  <c r="Z708" i="3"/>
  <c r="AA708" i="3"/>
  <c r="T708" i="3" l="1"/>
  <c r="L707" i="3"/>
  <c r="U707" i="3" l="1"/>
  <c r="D708" i="3" s="1"/>
  <c r="AG708" i="3"/>
  <c r="AH708" i="3"/>
  <c r="Y706" i="3"/>
  <c r="E708" i="3" l="1"/>
  <c r="H708" i="3" s="1"/>
  <c r="K708" i="3" s="1"/>
  <c r="AE708" i="3" s="1"/>
  <c r="G708" i="3"/>
  <c r="F708" i="3" l="1"/>
  <c r="I708" i="3"/>
  <c r="J708" i="3"/>
  <c r="AD708" i="3" s="1"/>
  <c r="M708" i="3"/>
  <c r="N708" i="3" s="1"/>
  <c r="V708" i="3"/>
  <c r="A709" i="3"/>
  <c r="B709" i="3" s="1"/>
  <c r="W708" i="3" l="1"/>
  <c r="L708" i="3"/>
  <c r="Z709" i="3"/>
  <c r="AA709" i="3"/>
  <c r="AD709" i="3"/>
  <c r="P709" i="3"/>
  <c r="Q709" i="3" s="1"/>
  <c r="R709" i="3" s="1"/>
  <c r="S709" i="3" s="1"/>
  <c r="AC709" i="3"/>
  <c r="U708" i="3" l="1"/>
  <c r="Y707" i="3"/>
  <c r="T709" i="3"/>
  <c r="AG709" i="3" s="1"/>
  <c r="AH709" i="3" l="1"/>
  <c r="E709" i="3"/>
  <c r="H709" i="3" s="1"/>
  <c r="D709" i="3"/>
  <c r="F709" i="3" l="1"/>
  <c r="G709" i="3"/>
  <c r="K709" i="3"/>
  <c r="AE709" i="3" s="1"/>
  <c r="V709" i="3" l="1"/>
  <c r="A710" i="3"/>
  <c r="B710" i="3" s="1"/>
  <c r="I709" i="3"/>
  <c r="J709" i="3"/>
  <c r="M709" i="3"/>
  <c r="N709" i="3" s="1"/>
  <c r="W709" i="3" l="1"/>
  <c r="L709" i="3"/>
  <c r="AD710" i="3"/>
  <c r="AC710" i="3"/>
  <c r="Z710" i="3"/>
  <c r="AA710" i="3"/>
  <c r="P710" i="3"/>
  <c r="Q710" i="3" s="1"/>
  <c r="R710" i="3" s="1"/>
  <c r="S710" i="3" s="1"/>
  <c r="U709" i="3" l="1"/>
  <c r="Y708" i="3"/>
  <c r="T710" i="3"/>
  <c r="AH710" i="3" s="1"/>
  <c r="D710" i="3" l="1"/>
  <c r="E710" i="3"/>
  <c r="H710" i="3" s="1"/>
  <c r="AG710" i="3"/>
  <c r="F710" i="3" l="1"/>
  <c r="G710" i="3"/>
  <c r="K710" i="3"/>
  <c r="AE710" i="3" s="1"/>
  <c r="I710" i="3" l="1"/>
  <c r="J710" i="3"/>
  <c r="M710" i="3"/>
  <c r="N710" i="3" s="1"/>
  <c r="V710" i="3"/>
  <c r="A711" i="3"/>
  <c r="B711" i="3" s="1"/>
  <c r="W710" i="3" l="1"/>
  <c r="L710" i="3"/>
  <c r="AA711" i="3"/>
  <c r="AC711" i="3"/>
  <c r="Z711" i="3"/>
  <c r="AD711" i="3"/>
  <c r="P711" i="3"/>
  <c r="Q711" i="3" s="1"/>
  <c r="R711" i="3" s="1"/>
  <c r="S711" i="3" s="1"/>
  <c r="T711" i="3" l="1"/>
  <c r="U710" i="3"/>
  <c r="Y709" i="3"/>
  <c r="D711" i="3" l="1"/>
  <c r="G711" i="3" s="1"/>
  <c r="E711" i="3"/>
  <c r="H711" i="3" s="1"/>
  <c r="AH711" i="3"/>
  <c r="AG711" i="3"/>
  <c r="F711" i="3" l="1"/>
  <c r="K711" i="3"/>
  <c r="AE711" i="3" s="1"/>
  <c r="I711" i="3"/>
  <c r="J711" i="3"/>
  <c r="M711" i="3"/>
  <c r="N711" i="3" s="1"/>
  <c r="L711" i="3" l="1"/>
  <c r="V711" i="3"/>
  <c r="W711" i="3" s="1"/>
  <c r="A712" i="3"/>
  <c r="B712" i="3" s="1"/>
  <c r="AC712" i="3" l="1"/>
  <c r="AD712" i="3"/>
  <c r="P712" i="3"/>
  <c r="Q712" i="3" s="1"/>
  <c r="R712" i="3" s="1"/>
  <c r="S712" i="3" s="1"/>
  <c r="AA712" i="3"/>
  <c r="Z712" i="3"/>
  <c r="U711" i="3"/>
  <c r="Y710" i="3"/>
  <c r="T712" i="3" l="1"/>
  <c r="AG712" i="3" l="1"/>
  <c r="D712" i="3"/>
  <c r="E712" i="3"/>
  <c r="H712" i="3" s="1"/>
  <c r="AH712" i="3"/>
  <c r="K712" i="3" l="1"/>
  <c r="AE712" i="3" s="1"/>
  <c r="F712" i="3"/>
  <c r="G712" i="3"/>
  <c r="V712" i="3" l="1"/>
  <c r="A713" i="3"/>
  <c r="B713" i="3" s="1"/>
  <c r="I712" i="3"/>
  <c r="J712" i="3"/>
  <c r="M712" i="3"/>
  <c r="N712" i="3" s="1"/>
  <c r="W712" i="3" l="1"/>
  <c r="L712" i="3"/>
  <c r="Z713" i="3"/>
  <c r="P713" i="3"/>
  <c r="Q713" i="3" s="1"/>
  <c r="R713" i="3" s="1"/>
  <c r="S713" i="3" s="1"/>
  <c r="AC713" i="3"/>
  <c r="AD713" i="3"/>
  <c r="AA713" i="3"/>
  <c r="T713" i="3" l="1"/>
  <c r="AH713" i="3" s="1"/>
  <c r="U712" i="3"/>
  <c r="Y711" i="3"/>
  <c r="D713" i="3" l="1"/>
  <c r="AG713" i="3"/>
  <c r="E713" i="3"/>
  <c r="H713" i="3" s="1"/>
  <c r="F713" i="3" l="1"/>
  <c r="G713" i="3"/>
  <c r="M713" i="3" s="1"/>
  <c r="N713" i="3" s="1"/>
  <c r="K713" i="3"/>
  <c r="AE713" i="3" s="1"/>
  <c r="I713" i="3" l="1"/>
  <c r="J713" i="3"/>
  <c r="L713" i="3" s="1"/>
  <c r="V713" i="3"/>
  <c r="A714" i="3"/>
  <c r="B714" i="3" s="1"/>
  <c r="W713" i="3" l="1"/>
  <c r="U713" i="3"/>
  <c r="Y712" i="3"/>
  <c r="AA714" i="3"/>
  <c r="P714" i="3"/>
  <c r="Q714" i="3" s="1"/>
  <c r="R714" i="3" s="1"/>
  <c r="S714" i="3" s="1"/>
  <c r="Z714" i="3"/>
  <c r="AC714" i="3"/>
  <c r="T714" i="3" l="1"/>
  <c r="AH714" i="3" s="1"/>
  <c r="D714" i="3" l="1"/>
  <c r="G714" i="3" s="1"/>
  <c r="E714" i="3"/>
  <c r="H714" i="3" s="1"/>
  <c r="K714" i="3" s="1"/>
  <c r="AE714" i="3" s="1"/>
  <c r="AG714" i="3"/>
  <c r="F714" i="3" l="1"/>
  <c r="V714" i="3"/>
  <c r="A715" i="3"/>
  <c r="B715" i="3" s="1"/>
  <c r="I714" i="3"/>
  <c r="J714" i="3"/>
  <c r="AD714" i="3" s="1"/>
  <c r="M714" i="3"/>
  <c r="N714" i="3" s="1"/>
  <c r="L714" i="3" l="1"/>
  <c r="W714" i="3"/>
  <c r="AC715" i="3"/>
  <c r="P715" i="3"/>
  <c r="Q715" i="3" s="1"/>
  <c r="R715" i="3" s="1"/>
  <c r="S715" i="3" s="1"/>
  <c r="Z715" i="3"/>
  <c r="AA715" i="3"/>
  <c r="AD715" i="3"/>
  <c r="U714" i="3" l="1"/>
  <c r="Y713" i="3"/>
  <c r="T715" i="3"/>
  <c r="AG715" i="3" s="1"/>
  <c r="AH715" i="3" l="1"/>
  <c r="D715" i="3"/>
  <c r="G715" i="3" s="1"/>
  <c r="E715" i="3"/>
  <c r="H715" i="3" s="1"/>
  <c r="F715" i="3" l="1"/>
  <c r="I715" i="3"/>
  <c r="J715" i="3"/>
  <c r="M715" i="3"/>
  <c r="N715" i="3" s="1"/>
  <c r="K715" i="3"/>
  <c r="AE715" i="3" s="1"/>
  <c r="V715" i="3" l="1"/>
  <c r="W715" i="3" s="1"/>
  <c r="A716" i="3"/>
  <c r="B716" i="3" s="1"/>
  <c r="L715" i="3"/>
  <c r="U715" i="3" l="1"/>
  <c r="Y714" i="3"/>
  <c r="AC716" i="3"/>
  <c r="Z716" i="3"/>
  <c r="P716" i="3"/>
  <c r="Q716" i="3" s="1"/>
  <c r="R716" i="3" s="1"/>
  <c r="S716" i="3" s="1"/>
  <c r="AA716" i="3"/>
  <c r="AD716" i="3"/>
  <c r="T716" i="3" l="1"/>
  <c r="D716" i="3" s="1"/>
  <c r="E716" i="3" l="1"/>
  <c r="H716" i="3" s="1"/>
  <c r="K716" i="3" s="1"/>
  <c r="AE716" i="3" s="1"/>
  <c r="AH716" i="3"/>
  <c r="AG716" i="3"/>
  <c r="G716" i="3"/>
  <c r="F716" i="3" l="1"/>
  <c r="I716" i="3"/>
  <c r="J716" i="3"/>
  <c r="M716" i="3"/>
  <c r="N716" i="3" s="1"/>
  <c r="V716" i="3"/>
  <c r="A717" i="3"/>
  <c r="B717" i="3" s="1"/>
  <c r="W716" i="3" l="1"/>
  <c r="L716" i="3"/>
  <c r="AC717" i="3"/>
  <c r="P717" i="3"/>
  <c r="Q717" i="3" s="1"/>
  <c r="R717" i="3" s="1"/>
  <c r="S717" i="3" s="1"/>
  <c r="Z717" i="3"/>
  <c r="AA717" i="3"/>
  <c r="U716" i="3" l="1"/>
  <c r="Y715" i="3"/>
  <c r="T717" i="3"/>
  <c r="AG717" i="3" s="1"/>
  <c r="E717" i="3" l="1"/>
  <c r="H717" i="3" s="1"/>
  <c r="K717" i="3" s="1"/>
  <c r="AE717" i="3" s="1"/>
  <c r="AH717" i="3"/>
  <c r="D717" i="3"/>
  <c r="V717" i="3" l="1"/>
  <c r="A718" i="3"/>
  <c r="B718" i="3" s="1"/>
  <c r="F717" i="3"/>
  <c r="G717" i="3"/>
  <c r="I717" i="3" l="1"/>
  <c r="W717" i="3" s="1"/>
  <c r="J717" i="3"/>
  <c r="AD717" i="3" s="1"/>
  <c r="M717" i="3"/>
  <c r="N717" i="3" s="1"/>
  <c r="P718" i="3"/>
  <c r="Q718" i="3" s="1"/>
  <c r="R718" i="3" s="1"/>
  <c r="S718" i="3" s="1"/>
  <c r="AC718" i="3"/>
  <c r="Z718" i="3"/>
  <c r="AA718" i="3"/>
  <c r="L717" i="3" l="1"/>
  <c r="T718" i="3"/>
  <c r="U717" i="3" l="1"/>
  <c r="E718" i="3" s="1"/>
  <c r="H718" i="3" s="1"/>
  <c r="AH718" i="3"/>
  <c r="AG718" i="3"/>
  <c r="Y716" i="3"/>
  <c r="K718" i="3" l="1"/>
  <c r="AE718" i="3" s="1"/>
  <c r="D718" i="3"/>
  <c r="V718" i="3" l="1"/>
  <c r="A719" i="3"/>
  <c r="B719" i="3" s="1"/>
  <c r="F718" i="3"/>
  <c r="G718" i="3"/>
  <c r="I718" i="3" l="1"/>
  <c r="W718" i="3" s="1"/>
  <c r="J718" i="3"/>
  <c r="AD718" i="3" s="1"/>
  <c r="M718" i="3"/>
  <c r="N718" i="3" s="1"/>
  <c r="Z719" i="3"/>
  <c r="P719" i="3"/>
  <c r="Q719" i="3" s="1"/>
  <c r="R719" i="3" s="1"/>
  <c r="S719" i="3" s="1"/>
  <c r="AA719" i="3"/>
  <c r="AC719" i="3"/>
  <c r="T719" i="3" l="1"/>
  <c r="L718" i="3"/>
  <c r="AG719" i="3" l="1"/>
  <c r="AH719" i="3"/>
  <c r="U718" i="3"/>
  <c r="E719" i="3" s="1"/>
  <c r="H719" i="3" s="1"/>
  <c r="Y717" i="3"/>
  <c r="D719" i="3" l="1"/>
  <c r="G719" i="3" s="1"/>
  <c r="K719" i="3"/>
  <c r="AE719" i="3" s="1"/>
  <c r="F719" i="3" l="1"/>
  <c r="I719" i="3"/>
  <c r="J719" i="3"/>
  <c r="AD719" i="3" s="1"/>
  <c r="M719" i="3"/>
  <c r="N719" i="3" s="1"/>
  <c r="V719" i="3"/>
  <c r="A720" i="3"/>
  <c r="B720" i="3" s="1"/>
  <c r="W719" i="3" l="1"/>
  <c r="L719" i="3"/>
  <c r="P720" i="3"/>
  <c r="Q720" i="3" s="1"/>
  <c r="R720" i="3" s="1"/>
  <c r="S720" i="3" s="1"/>
  <c r="AA720" i="3"/>
  <c r="AC720" i="3"/>
  <c r="Z720" i="3"/>
  <c r="U719" i="3" l="1"/>
  <c r="Y718" i="3"/>
  <c r="T720" i="3"/>
  <c r="AG720" i="3" s="1"/>
  <c r="E720" i="3" l="1"/>
  <c r="H720" i="3" s="1"/>
  <c r="K720" i="3" s="1"/>
  <c r="AE720" i="3" s="1"/>
  <c r="D720" i="3"/>
  <c r="AH720" i="3"/>
  <c r="V720" i="3" l="1"/>
  <c r="A721" i="3"/>
  <c r="B721" i="3" s="1"/>
  <c r="F720" i="3"/>
  <c r="G720" i="3"/>
  <c r="I720" i="3" l="1"/>
  <c r="W720" i="3" s="1"/>
  <c r="J720" i="3"/>
  <c r="AD720" i="3" s="1"/>
  <c r="M720" i="3"/>
  <c r="N720" i="3" s="1"/>
  <c r="AA721" i="3"/>
  <c r="Z721" i="3"/>
  <c r="AC721" i="3"/>
  <c r="P721" i="3"/>
  <c r="Q721" i="3" s="1"/>
  <c r="R721" i="3" s="1"/>
  <c r="S721" i="3" s="1"/>
  <c r="T721" i="3" l="1"/>
  <c r="L720" i="3"/>
  <c r="AG721" i="3" l="1"/>
  <c r="U720" i="3"/>
  <c r="D721" i="3" s="1"/>
  <c r="AH721" i="3"/>
  <c r="Y719" i="3"/>
  <c r="G721" i="3" l="1"/>
  <c r="E721" i="3"/>
  <c r="H721" i="3" s="1"/>
  <c r="F721" i="3" l="1"/>
  <c r="I721" i="3"/>
  <c r="J721" i="3"/>
  <c r="AD721" i="3" s="1"/>
  <c r="M721" i="3"/>
  <c r="N721" i="3" s="1"/>
  <c r="K721" i="3"/>
  <c r="AE721" i="3" s="1"/>
  <c r="V721" i="3" l="1"/>
  <c r="W721" i="3" s="1"/>
  <c r="A722" i="3"/>
  <c r="B722" i="3" s="1"/>
  <c r="L721" i="3"/>
  <c r="U721" i="3" l="1"/>
  <c r="Y720" i="3"/>
  <c r="AA722" i="3"/>
  <c r="AC722" i="3"/>
  <c r="P722" i="3"/>
  <c r="Q722" i="3" s="1"/>
  <c r="R722" i="3" s="1"/>
  <c r="S722" i="3" s="1"/>
  <c r="Z722" i="3"/>
  <c r="T722" i="3" l="1"/>
  <c r="AH722" i="3" s="1"/>
  <c r="E722" i="3" l="1"/>
  <c r="H722" i="3" s="1"/>
  <c r="K722" i="3" s="1"/>
  <c r="AE722" i="3" s="1"/>
  <c r="D722" i="3"/>
  <c r="AG722" i="3"/>
  <c r="V722" i="3" l="1"/>
  <c r="A723" i="3"/>
  <c r="B723" i="3" s="1"/>
  <c r="F722" i="3"/>
  <c r="G722" i="3"/>
  <c r="I722" i="3" l="1"/>
  <c r="W722" i="3" s="1"/>
  <c r="J722" i="3"/>
  <c r="AD722" i="3" s="1"/>
  <c r="M722" i="3"/>
  <c r="N722" i="3" s="1"/>
  <c r="Z723" i="3"/>
  <c r="AA723" i="3"/>
  <c r="AC723" i="3"/>
  <c r="P723" i="3"/>
  <c r="Q723" i="3" s="1"/>
  <c r="R723" i="3" s="1"/>
  <c r="S723" i="3" s="1"/>
  <c r="T723" i="3" l="1"/>
  <c r="L722" i="3"/>
  <c r="U722" i="3" l="1"/>
  <c r="E723" i="3" s="1"/>
  <c r="H723" i="3" s="1"/>
  <c r="AG723" i="3"/>
  <c r="AH723" i="3"/>
  <c r="Y721" i="3"/>
  <c r="D723" i="3" l="1"/>
  <c r="G723" i="3" s="1"/>
  <c r="K723" i="3"/>
  <c r="AE723" i="3" s="1"/>
  <c r="F723" i="3" l="1"/>
  <c r="V723" i="3"/>
  <c r="A724" i="3"/>
  <c r="B724" i="3" s="1"/>
  <c r="I723" i="3"/>
  <c r="J723" i="3"/>
  <c r="AD723" i="3" s="1"/>
  <c r="M723" i="3"/>
  <c r="N723" i="3" s="1"/>
  <c r="W723" i="3" l="1"/>
  <c r="L723" i="3"/>
  <c r="AA724" i="3"/>
  <c r="Z724" i="3"/>
  <c r="AC724" i="3"/>
  <c r="P724" i="3"/>
  <c r="Q724" i="3" s="1"/>
  <c r="R724" i="3" s="1"/>
  <c r="S724" i="3" s="1"/>
  <c r="T724" i="3" l="1"/>
  <c r="AH724" i="3" s="1"/>
  <c r="U723" i="3"/>
  <c r="Y722" i="3"/>
  <c r="D724" i="3" l="1"/>
  <c r="E724" i="3"/>
  <c r="H724" i="3" s="1"/>
  <c r="AG724" i="3"/>
  <c r="K724" i="3" l="1"/>
  <c r="AE724" i="3" s="1"/>
  <c r="F724" i="3"/>
  <c r="G724" i="3"/>
  <c r="I724" i="3" l="1"/>
  <c r="J724" i="3"/>
  <c r="AD724" i="3" s="1"/>
  <c r="M724" i="3"/>
  <c r="N724" i="3" s="1"/>
  <c r="V724" i="3"/>
  <c r="A725" i="3"/>
  <c r="B725" i="3" s="1"/>
  <c r="W724" i="3" l="1"/>
  <c r="L724" i="3"/>
  <c r="AC725" i="3"/>
  <c r="P725" i="3"/>
  <c r="Q725" i="3" s="1"/>
  <c r="R725" i="3" s="1"/>
  <c r="S725" i="3" s="1"/>
  <c r="Z725" i="3"/>
  <c r="AA725" i="3"/>
  <c r="U724" i="3" l="1"/>
  <c r="Y723" i="3"/>
  <c r="T725" i="3"/>
  <c r="AG725" i="3" s="1"/>
  <c r="AH725" i="3" l="1"/>
  <c r="D725" i="3"/>
  <c r="G725" i="3" s="1"/>
  <c r="E725" i="3"/>
  <c r="H725" i="3" s="1"/>
  <c r="F725" i="3" l="1"/>
  <c r="I725" i="3"/>
  <c r="J725" i="3"/>
  <c r="AD725" i="3" s="1"/>
  <c r="M725" i="3"/>
  <c r="N725" i="3" s="1"/>
  <c r="K725" i="3"/>
  <c r="AE725" i="3" s="1"/>
  <c r="V725" i="3" l="1"/>
  <c r="W725" i="3" s="1"/>
  <c r="A726" i="3"/>
  <c r="B726" i="3" s="1"/>
  <c r="L725" i="3"/>
  <c r="U725" i="3" l="1"/>
  <c r="Y724" i="3"/>
  <c r="Z726" i="3"/>
  <c r="P726" i="3"/>
  <c r="Q726" i="3" s="1"/>
  <c r="R726" i="3" s="1"/>
  <c r="S726" i="3" s="1"/>
  <c r="AA726" i="3"/>
  <c r="AC726" i="3"/>
  <c r="T726" i="3" l="1"/>
  <c r="AG726" i="3" s="1"/>
  <c r="D726" i="3" l="1"/>
  <c r="G726" i="3" s="1"/>
  <c r="E726" i="3"/>
  <c r="H726" i="3" s="1"/>
  <c r="K726" i="3" s="1"/>
  <c r="AE726" i="3" s="1"/>
  <c r="AH726" i="3"/>
  <c r="F726" i="3" l="1"/>
  <c r="I726" i="3"/>
  <c r="J726" i="3"/>
  <c r="AD726" i="3" s="1"/>
  <c r="M726" i="3"/>
  <c r="N726" i="3" s="1"/>
  <c r="V726" i="3"/>
  <c r="A727" i="3"/>
  <c r="B727" i="3" s="1"/>
  <c r="W726" i="3" l="1"/>
  <c r="L726" i="3"/>
  <c r="P727" i="3"/>
  <c r="Q727" i="3" s="1"/>
  <c r="R727" i="3" s="1"/>
  <c r="S727" i="3" s="1"/>
  <c r="Z727" i="3"/>
  <c r="AA727" i="3"/>
  <c r="AC727" i="3"/>
  <c r="U726" i="3" l="1"/>
  <c r="Y725" i="3"/>
  <c r="T727" i="3"/>
  <c r="AH727" i="3" s="1"/>
  <c r="E727" i="3" l="1"/>
  <c r="H727" i="3" s="1"/>
  <c r="K727" i="3" s="1"/>
  <c r="AE727" i="3" s="1"/>
  <c r="D727" i="3"/>
  <c r="AG727" i="3"/>
  <c r="F727" i="3" l="1"/>
  <c r="G727" i="3"/>
  <c r="M727" i="3" s="1"/>
  <c r="N727" i="3" s="1"/>
  <c r="V727" i="3"/>
  <c r="A728" i="3"/>
  <c r="B728" i="3" s="1"/>
  <c r="I727" i="3" l="1"/>
  <c r="W727" i="3" s="1"/>
  <c r="J727" i="3"/>
  <c r="AA728" i="3"/>
  <c r="P728" i="3"/>
  <c r="Q728" i="3" s="1"/>
  <c r="R728" i="3" s="1"/>
  <c r="S728" i="3" s="1"/>
  <c r="AC728" i="3"/>
  <c r="Z728" i="3"/>
  <c r="L727" i="3" l="1"/>
  <c r="U727" i="3" s="1"/>
  <c r="AD727" i="3"/>
  <c r="T728" i="3"/>
  <c r="Y726" i="3" l="1"/>
  <c r="D728" i="3"/>
  <c r="G728" i="3" s="1"/>
  <c r="AG728" i="3"/>
  <c r="E728" i="3"/>
  <c r="H728" i="3" s="1"/>
  <c r="AH728" i="3"/>
  <c r="F728" i="3" l="1"/>
  <c r="I728" i="3"/>
  <c r="J728" i="3"/>
  <c r="AD728" i="3" s="1"/>
  <c r="M728" i="3"/>
  <c r="N728" i="3" s="1"/>
  <c r="K728" i="3"/>
  <c r="AE728" i="3" s="1"/>
  <c r="V728" i="3" l="1"/>
  <c r="W728" i="3" s="1"/>
  <c r="A729" i="3"/>
  <c r="B729" i="3" s="1"/>
  <c r="L728" i="3"/>
  <c r="U728" i="3" l="1"/>
  <c r="Y727" i="3"/>
  <c r="P729" i="3"/>
  <c r="Q729" i="3" s="1"/>
  <c r="R729" i="3" s="1"/>
  <c r="S729" i="3" s="1"/>
  <c r="AA729" i="3"/>
  <c r="AC729" i="3"/>
  <c r="Z729" i="3"/>
  <c r="T729" i="3" l="1"/>
  <c r="E729" i="3" s="1"/>
  <c r="H729" i="3" s="1"/>
  <c r="AH729" i="3" l="1"/>
  <c r="D729" i="3"/>
  <c r="F729" i="3" s="1"/>
  <c r="AG729" i="3"/>
  <c r="K729" i="3"/>
  <c r="AE729" i="3" s="1"/>
  <c r="G729" i="3" l="1"/>
  <c r="I729" i="3" s="1"/>
  <c r="V729" i="3"/>
  <c r="A730" i="3"/>
  <c r="B730" i="3" s="1"/>
  <c r="W729" i="3" l="1"/>
  <c r="J729" i="3"/>
  <c r="M729" i="3"/>
  <c r="N729" i="3" s="1"/>
  <c r="AA730" i="3"/>
  <c r="Z730" i="3"/>
  <c r="P730" i="3"/>
  <c r="Q730" i="3" s="1"/>
  <c r="R730" i="3" s="1"/>
  <c r="S730" i="3" s="1"/>
  <c r="AC730" i="3"/>
  <c r="L729" i="3" l="1"/>
  <c r="U729" i="3" s="1"/>
  <c r="AD729" i="3"/>
  <c r="T730" i="3"/>
  <c r="Y728" i="3" l="1"/>
  <c r="AG730" i="3"/>
  <c r="D730" i="3"/>
  <c r="E730" i="3"/>
  <c r="H730" i="3" s="1"/>
  <c r="AH730" i="3"/>
  <c r="K730" i="3" l="1"/>
  <c r="AE730" i="3" s="1"/>
  <c r="F730" i="3"/>
  <c r="G730" i="3"/>
  <c r="I730" i="3" l="1"/>
  <c r="J730" i="3"/>
  <c r="AD730" i="3" s="1"/>
  <c r="M730" i="3"/>
  <c r="N730" i="3" s="1"/>
  <c r="V730" i="3"/>
  <c r="A731" i="3"/>
  <c r="B731" i="3" s="1"/>
  <c r="W730" i="3" l="1"/>
  <c r="L730" i="3"/>
  <c r="P731" i="3"/>
  <c r="Q731" i="3" s="1"/>
  <c r="R731" i="3" s="1"/>
  <c r="S731" i="3" s="1"/>
  <c r="Z731" i="3"/>
  <c r="AA731" i="3"/>
  <c r="AC731" i="3"/>
  <c r="U730" i="3" l="1"/>
  <c r="Y729" i="3"/>
  <c r="T731" i="3"/>
  <c r="AG731" i="3" s="1"/>
  <c r="E731" i="3" l="1"/>
  <c r="H731" i="3" s="1"/>
  <c r="K731" i="3" s="1"/>
  <c r="AE731" i="3" s="1"/>
  <c r="AH731" i="3"/>
  <c r="D731" i="3"/>
  <c r="F731" i="3" l="1"/>
  <c r="G731" i="3"/>
  <c r="J731" i="3" s="1"/>
  <c r="AD731" i="3" s="1"/>
  <c r="V731" i="3"/>
  <c r="A732" i="3"/>
  <c r="B732" i="3" s="1"/>
  <c r="M731" i="3" l="1"/>
  <c r="N731" i="3" s="1"/>
  <c r="I731" i="3"/>
  <c r="W731" i="3" s="1"/>
  <c r="L731" i="3"/>
  <c r="AC732" i="3"/>
  <c r="Z732" i="3"/>
  <c r="AA732" i="3"/>
  <c r="P732" i="3"/>
  <c r="Q732" i="3" s="1"/>
  <c r="R732" i="3" s="1"/>
  <c r="S732" i="3" s="1"/>
  <c r="U731" i="3" l="1"/>
  <c r="Y730" i="3"/>
  <c r="T732" i="3"/>
  <c r="E732" i="3" l="1"/>
  <c r="H732" i="3" s="1"/>
  <c r="K732" i="3" s="1"/>
  <c r="AE732" i="3" s="1"/>
  <c r="D732" i="3"/>
  <c r="G732" i="3" s="1"/>
  <c r="AH732" i="3"/>
  <c r="AG732" i="3"/>
  <c r="F732" i="3" l="1"/>
  <c r="I732" i="3"/>
  <c r="J732" i="3"/>
  <c r="AD732" i="3" s="1"/>
  <c r="M732" i="3"/>
  <c r="N732" i="3" s="1"/>
  <c r="V732" i="3"/>
  <c r="A733" i="3"/>
  <c r="B733" i="3" s="1"/>
  <c r="W732" i="3" l="1"/>
  <c r="L732" i="3"/>
  <c r="AC733" i="3"/>
  <c r="P733" i="3"/>
  <c r="Q733" i="3" s="1"/>
  <c r="R733" i="3" s="1"/>
  <c r="S733" i="3" s="1"/>
  <c r="AA733" i="3"/>
  <c r="Z733" i="3"/>
  <c r="T733" i="3" l="1"/>
  <c r="AH733" i="3" s="1"/>
  <c r="U732" i="3"/>
  <c r="Y731" i="3"/>
  <c r="D733" i="3" l="1"/>
  <c r="G733" i="3" s="1"/>
  <c r="E733" i="3"/>
  <c r="H733" i="3" s="1"/>
  <c r="AG733" i="3"/>
  <c r="F733" i="3" l="1"/>
  <c r="I733" i="3"/>
  <c r="J733" i="3"/>
  <c r="AD733" i="3" s="1"/>
  <c r="M733" i="3"/>
  <c r="N733" i="3" s="1"/>
  <c r="K733" i="3"/>
  <c r="AE733" i="3" s="1"/>
  <c r="V733" i="3" l="1"/>
  <c r="W733" i="3" s="1"/>
  <c r="A734" i="3"/>
  <c r="B734" i="3" s="1"/>
  <c r="L733" i="3"/>
  <c r="U733" i="3" l="1"/>
  <c r="Y732" i="3"/>
  <c r="P734" i="3"/>
  <c r="Q734" i="3" s="1"/>
  <c r="R734" i="3" s="1"/>
  <c r="S734" i="3" s="1"/>
  <c r="AC734" i="3"/>
  <c r="AA734" i="3"/>
  <c r="Z734" i="3"/>
  <c r="T734" i="3" l="1"/>
  <c r="AG734" i="3" s="1"/>
  <c r="D734" i="3" l="1"/>
  <c r="E734" i="3"/>
  <c r="H734" i="3" s="1"/>
  <c r="K734" i="3" s="1"/>
  <c r="AE734" i="3" s="1"/>
  <c r="AH734" i="3"/>
  <c r="F734" i="3" l="1"/>
  <c r="G734" i="3"/>
  <c r="M734" i="3" s="1"/>
  <c r="N734" i="3" s="1"/>
  <c r="V734" i="3"/>
  <c r="A735" i="3"/>
  <c r="B735" i="3" s="1"/>
  <c r="I734" i="3" l="1"/>
  <c r="W734" i="3" s="1"/>
  <c r="J734" i="3"/>
  <c r="AA735" i="3"/>
  <c r="Z735" i="3"/>
  <c r="P735" i="3"/>
  <c r="Q735" i="3" s="1"/>
  <c r="R735" i="3" s="1"/>
  <c r="S735" i="3" s="1"/>
  <c r="AC735" i="3"/>
  <c r="L734" i="3" l="1"/>
  <c r="Y733" i="3" s="1"/>
  <c r="AD734" i="3"/>
  <c r="T735" i="3"/>
  <c r="U734" i="3" l="1"/>
  <c r="E735" i="3" s="1"/>
  <c r="H735" i="3" s="1"/>
  <c r="AH735" i="3"/>
  <c r="AG735" i="3"/>
  <c r="D735" i="3" l="1"/>
  <c r="G735" i="3" s="1"/>
  <c r="M735" i="3" s="1"/>
  <c r="N735" i="3" s="1"/>
  <c r="K735" i="3"/>
  <c r="AE735" i="3" s="1"/>
  <c r="F735" i="3" l="1"/>
  <c r="I735" i="3"/>
  <c r="J735" i="3"/>
  <c r="V735" i="3"/>
  <c r="A736" i="3"/>
  <c r="B736" i="3" s="1"/>
  <c r="L735" i="3" l="1"/>
  <c r="U735" i="3" s="1"/>
  <c r="AD735" i="3"/>
  <c r="W735" i="3"/>
  <c r="Z736" i="3"/>
  <c r="P736" i="3"/>
  <c r="Q736" i="3" s="1"/>
  <c r="R736" i="3" s="1"/>
  <c r="S736" i="3" s="1"/>
  <c r="AA736" i="3"/>
  <c r="AC736" i="3"/>
  <c r="Y734" i="3" l="1"/>
  <c r="T736" i="3"/>
  <c r="E736" i="3" s="1"/>
  <c r="H736" i="3" s="1"/>
  <c r="AH736" i="3" l="1"/>
  <c r="D736" i="3"/>
  <c r="F736" i="3" s="1"/>
  <c r="K736" i="3"/>
  <c r="AE736" i="3" s="1"/>
  <c r="AG736" i="3"/>
  <c r="G736" i="3" l="1"/>
  <c r="M736" i="3" s="1"/>
  <c r="N736" i="3" s="1"/>
  <c r="V736" i="3"/>
  <c r="A737" i="3"/>
  <c r="B737" i="3" s="1"/>
  <c r="I736" i="3" l="1"/>
  <c r="W736" i="3" s="1"/>
  <c r="J736" i="3"/>
  <c r="AC737" i="3"/>
  <c r="P737" i="3"/>
  <c r="Q737" i="3" s="1"/>
  <c r="R737" i="3" s="1"/>
  <c r="S737" i="3" s="1"/>
  <c r="Z737" i="3"/>
  <c r="AA737" i="3"/>
  <c r="L736" i="3" l="1"/>
  <c r="U736" i="3" s="1"/>
  <c r="AD736" i="3"/>
  <c r="T737" i="3"/>
  <c r="Y735" i="3" l="1"/>
  <c r="AH737" i="3"/>
  <c r="D737" i="3"/>
  <c r="E737" i="3"/>
  <c r="H737" i="3" s="1"/>
  <c r="AG737" i="3"/>
  <c r="F737" i="3" l="1"/>
  <c r="G737" i="3"/>
  <c r="K737" i="3"/>
  <c r="AE737" i="3" s="1"/>
  <c r="V737" i="3" l="1"/>
  <c r="A738" i="3"/>
  <c r="B738" i="3" s="1"/>
  <c r="I737" i="3"/>
  <c r="J737" i="3"/>
  <c r="AD737" i="3" s="1"/>
  <c r="M737" i="3"/>
  <c r="N737" i="3" s="1"/>
  <c r="W737" i="3" l="1"/>
  <c r="L737" i="3"/>
  <c r="AA738" i="3"/>
  <c r="P738" i="3"/>
  <c r="Q738" i="3" s="1"/>
  <c r="R738" i="3" s="1"/>
  <c r="S738" i="3" s="1"/>
  <c r="AC738" i="3"/>
  <c r="Z738" i="3"/>
  <c r="U737" i="3" l="1"/>
  <c r="Y736" i="3"/>
  <c r="T738" i="3"/>
  <c r="E738" i="3" l="1"/>
  <c r="H738" i="3" s="1"/>
  <c r="K738" i="3" s="1"/>
  <c r="AE738" i="3" s="1"/>
  <c r="D738" i="3"/>
  <c r="AG738" i="3"/>
  <c r="AH738" i="3"/>
  <c r="V738" i="3" l="1"/>
  <c r="A739" i="3"/>
  <c r="B739" i="3" s="1"/>
  <c r="F738" i="3"/>
  <c r="G738" i="3"/>
  <c r="I738" i="3" l="1"/>
  <c r="W738" i="3" s="1"/>
  <c r="J738" i="3"/>
  <c r="AD738" i="3" s="1"/>
  <c r="M738" i="3"/>
  <c r="N738" i="3" s="1"/>
  <c r="P739" i="3"/>
  <c r="Q739" i="3" s="1"/>
  <c r="R739" i="3" s="1"/>
  <c r="S739" i="3" s="1"/>
  <c r="AC739" i="3"/>
  <c r="AA739" i="3"/>
  <c r="AD739" i="3"/>
  <c r="Z739" i="3"/>
  <c r="T739" i="3" l="1"/>
  <c r="L738" i="3"/>
  <c r="AH739" i="3" l="1"/>
  <c r="U738" i="3"/>
  <c r="E739" i="3" s="1"/>
  <c r="H739" i="3" s="1"/>
  <c r="AG739" i="3"/>
  <c r="Y737" i="3"/>
  <c r="D739" i="3" l="1"/>
  <c r="G739" i="3" s="1"/>
  <c r="K739" i="3"/>
  <c r="AE739" i="3" s="1"/>
  <c r="F739" i="3" l="1"/>
  <c r="I739" i="3"/>
  <c r="J739" i="3"/>
  <c r="M739" i="3"/>
  <c r="N739" i="3" s="1"/>
  <c r="V739" i="3"/>
  <c r="A740" i="3"/>
  <c r="B740" i="3" s="1"/>
  <c r="W739" i="3" l="1"/>
  <c r="L739" i="3"/>
  <c r="P740" i="3"/>
  <c r="Q740" i="3" s="1"/>
  <c r="R740" i="3" s="1"/>
  <c r="S740" i="3" s="1"/>
  <c r="Z740" i="3"/>
  <c r="AC740" i="3"/>
  <c r="AD740" i="3"/>
  <c r="AA740" i="3"/>
  <c r="U739" i="3" l="1"/>
  <c r="Y738" i="3"/>
  <c r="T740" i="3"/>
  <c r="E740" i="3" l="1"/>
  <c r="H740" i="3" s="1"/>
  <c r="K740" i="3" s="1"/>
  <c r="AE740" i="3" s="1"/>
  <c r="D740" i="3"/>
  <c r="G740" i="3" s="1"/>
  <c r="AH740" i="3"/>
  <c r="AG740" i="3"/>
  <c r="F740" i="3" l="1"/>
  <c r="I740" i="3"/>
  <c r="J740" i="3"/>
  <c r="M740" i="3"/>
  <c r="N740" i="3" s="1"/>
  <c r="V740" i="3"/>
  <c r="A741" i="3"/>
  <c r="B741" i="3" s="1"/>
  <c r="W740" i="3" l="1"/>
  <c r="L740" i="3"/>
  <c r="AA741" i="3"/>
  <c r="P741" i="3"/>
  <c r="Q741" i="3" s="1"/>
  <c r="R741" i="3" s="1"/>
  <c r="S741" i="3" s="1"/>
  <c r="AD741" i="3"/>
  <c r="Z741" i="3"/>
  <c r="AC741" i="3"/>
  <c r="T741" i="3" l="1"/>
  <c r="AG741" i="3" s="1"/>
  <c r="U740" i="3"/>
  <c r="Y739" i="3"/>
  <c r="E741" i="3" l="1"/>
  <c r="H741" i="3" s="1"/>
  <c r="D741" i="3"/>
  <c r="AH741" i="3"/>
  <c r="K741" i="3" l="1"/>
  <c r="AE741" i="3" s="1"/>
  <c r="F741" i="3"/>
  <c r="G741" i="3"/>
  <c r="V741" i="3" l="1"/>
  <c r="A742" i="3"/>
  <c r="B742" i="3" s="1"/>
  <c r="I741" i="3"/>
  <c r="J741" i="3"/>
  <c r="M741" i="3"/>
  <c r="N741" i="3" s="1"/>
  <c r="L741" i="3" l="1"/>
  <c r="W741" i="3"/>
  <c r="AC742" i="3"/>
  <c r="P742" i="3"/>
  <c r="Q742" i="3" s="1"/>
  <c r="R742" i="3" s="1"/>
  <c r="S742" i="3" s="1"/>
  <c r="AD742" i="3"/>
  <c r="Z742" i="3"/>
  <c r="AA742" i="3"/>
  <c r="U741" i="3" l="1"/>
  <c r="Y740" i="3"/>
  <c r="T742" i="3"/>
  <c r="AG742" i="3" s="1"/>
  <c r="E742" i="3" l="1"/>
  <c r="H742" i="3" s="1"/>
  <c r="K742" i="3" s="1"/>
  <c r="AE742" i="3" s="1"/>
  <c r="AH742" i="3"/>
  <c r="D742" i="3"/>
  <c r="F742" i="3" l="1"/>
  <c r="G742" i="3"/>
  <c r="V742" i="3"/>
  <c r="A743" i="3"/>
  <c r="B743" i="3" s="1"/>
  <c r="I742" i="3" l="1"/>
  <c r="W742" i="3" s="1"/>
  <c r="J742" i="3"/>
  <c r="M742" i="3"/>
  <c r="N742" i="3" s="1"/>
  <c r="Z743" i="3"/>
  <c r="AA743" i="3"/>
  <c r="P743" i="3"/>
  <c r="Q743" i="3" s="1"/>
  <c r="R743" i="3" s="1"/>
  <c r="S743" i="3" s="1"/>
  <c r="AC743" i="3"/>
  <c r="AD743" i="3"/>
  <c r="T743" i="3" l="1"/>
  <c r="L742" i="3"/>
  <c r="U742" i="3" l="1"/>
  <c r="E743" i="3" s="1"/>
  <c r="H743" i="3" s="1"/>
  <c r="AH743" i="3"/>
  <c r="AG743" i="3"/>
  <c r="Y741" i="3"/>
  <c r="D743" i="3" l="1"/>
  <c r="G743" i="3" s="1"/>
  <c r="K743" i="3"/>
  <c r="AE743" i="3" s="1"/>
  <c r="F743" i="3" l="1"/>
  <c r="I743" i="3"/>
  <c r="J743" i="3"/>
  <c r="M743" i="3"/>
  <c r="N743" i="3" s="1"/>
  <c r="V743" i="3"/>
  <c r="A744" i="3"/>
  <c r="B744" i="3" s="1"/>
  <c r="W743" i="3" l="1"/>
  <c r="L743" i="3"/>
  <c r="AA744" i="3"/>
  <c r="P744" i="3"/>
  <c r="Q744" i="3" s="1"/>
  <c r="R744" i="3" s="1"/>
  <c r="S744" i="3" s="1"/>
  <c r="AC744" i="3"/>
  <c r="Z744" i="3"/>
  <c r="U743" i="3" l="1"/>
  <c r="Y742" i="3"/>
  <c r="T744" i="3"/>
  <c r="AG744" i="3" s="1"/>
  <c r="E744" i="3" l="1"/>
  <c r="H744" i="3" s="1"/>
  <c r="K744" i="3" s="1"/>
  <c r="AE744" i="3" s="1"/>
  <c r="D744" i="3"/>
  <c r="AH744" i="3"/>
  <c r="F744" i="3" l="1"/>
  <c r="G744" i="3"/>
  <c r="I744" i="3" s="1"/>
  <c r="V744" i="3"/>
  <c r="A745" i="3"/>
  <c r="B745" i="3" s="1"/>
  <c r="J744" i="3" l="1"/>
  <c r="M744" i="3"/>
  <c r="N744" i="3" s="1"/>
  <c r="W744" i="3"/>
  <c r="P745" i="3"/>
  <c r="Q745" i="3" s="1"/>
  <c r="R745" i="3" s="1"/>
  <c r="S745" i="3" s="1"/>
  <c r="AA745" i="3"/>
  <c r="AC745" i="3"/>
  <c r="Z745" i="3"/>
  <c r="L744" i="3" l="1"/>
  <c r="U744" i="3" s="1"/>
  <c r="AD744" i="3"/>
  <c r="T745" i="3"/>
  <c r="Y743" i="3" l="1"/>
  <c r="AG745" i="3"/>
  <c r="E745" i="3"/>
  <c r="H745" i="3" s="1"/>
  <c r="K745" i="3" s="1"/>
  <c r="AE745" i="3" s="1"/>
  <c r="D745" i="3"/>
  <c r="AH745" i="3"/>
  <c r="F745" i="3" l="1"/>
  <c r="G745" i="3"/>
  <c r="M745" i="3" s="1"/>
  <c r="N745" i="3" s="1"/>
  <c r="V745" i="3"/>
  <c r="A746" i="3"/>
  <c r="B746" i="3" s="1"/>
  <c r="I745" i="3" l="1"/>
  <c r="W745" i="3" s="1"/>
  <c r="J745" i="3"/>
  <c r="Z746" i="3"/>
  <c r="P746" i="3"/>
  <c r="Q746" i="3" s="1"/>
  <c r="R746" i="3" s="1"/>
  <c r="S746" i="3" s="1"/>
  <c r="AA746" i="3"/>
  <c r="AC746" i="3"/>
  <c r="L745" i="3" l="1"/>
  <c r="U745" i="3" s="1"/>
  <c r="AD745" i="3"/>
  <c r="T746" i="3"/>
  <c r="Y744" i="3" l="1"/>
  <c r="D746" i="3"/>
  <c r="G746" i="3" s="1"/>
  <c r="AG746" i="3"/>
  <c r="E746" i="3"/>
  <c r="H746" i="3" s="1"/>
  <c r="AH746" i="3"/>
  <c r="F746" i="3" l="1"/>
  <c r="I746" i="3"/>
  <c r="J746" i="3"/>
  <c r="AD746" i="3" s="1"/>
  <c r="M746" i="3"/>
  <c r="N746" i="3" s="1"/>
  <c r="K746" i="3"/>
  <c r="AE746" i="3" s="1"/>
  <c r="V746" i="3" l="1"/>
  <c r="W746" i="3" s="1"/>
  <c r="A747" i="3"/>
  <c r="B747" i="3" s="1"/>
  <c r="L746" i="3"/>
  <c r="U746" i="3" l="1"/>
  <c r="Y745" i="3"/>
  <c r="AA747" i="3"/>
  <c r="Z747" i="3"/>
  <c r="AC747" i="3"/>
  <c r="P747" i="3"/>
  <c r="Q747" i="3" s="1"/>
  <c r="R747" i="3" s="1"/>
  <c r="S747" i="3" s="1"/>
  <c r="T747" i="3" l="1"/>
  <c r="D747" i="3" s="1"/>
  <c r="AG747" i="3" l="1"/>
  <c r="E747" i="3"/>
  <c r="H747" i="3" s="1"/>
  <c r="K747" i="3" s="1"/>
  <c r="AE747" i="3" s="1"/>
  <c r="AH747" i="3"/>
  <c r="G747" i="3"/>
  <c r="F747" i="3" l="1"/>
  <c r="I747" i="3"/>
  <c r="J747" i="3"/>
  <c r="AD747" i="3" s="1"/>
  <c r="M747" i="3"/>
  <c r="N747" i="3" s="1"/>
  <c r="V747" i="3"/>
  <c r="A748" i="3"/>
  <c r="B748" i="3" s="1"/>
  <c r="W747" i="3" l="1"/>
  <c r="L747" i="3"/>
  <c r="AC748" i="3"/>
  <c r="P748" i="3"/>
  <c r="Q748" i="3" s="1"/>
  <c r="R748" i="3" s="1"/>
  <c r="S748" i="3" s="1"/>
  <c r="Z748" i="3"/>
  <c r="AA748" i="3"/>
  <c r="U747" i="3" l="1"/>
  <c r="Y746" i="3"/>
  <c r="T748" i="3"/>
  <c r="E748" i="3" l="1"/>
  <c r="H748" i="3" s="1"/>
  <c r="K748" i="3" s="1"/>
  <c r="AE748" i="3" s="1"/>
  <c r="D748" i="3"/>
  <c r="AH748" i="3"/>
  <c r="AG748" i="3"/>
  <c r="V748" i="3" l="1"/>
  <c r="A749" i="3"/>
  <c r="B749" i="3" s="1"/>
  <c r="F748" i="3"/>
  <c r="G748" i="3"/>
  <c r="I748" i="3" l="1"/>
  <c r="W748" i="3" s="1"/>
  <c r="J748" i="3"/>
  <c r="AD748" i="3" s="1"/>
  <c r="M748" i="3"/>
  <c r="N748" i="3" s="1"/>
  <c r="AA749" i="3"/>
  <c r="Z749" i="3"/>
  <c r="P749" i="3"/>
  <c r="Q749" i="3" s="1"/>
  <c r="R749" i="3" s="1"/>
  <c r="S749" i="3" s="1"/>
  <c r="AC749" i="3"/>
  <c r="T749" i="3" l="1"/>
  <c r="L748" i="3"/>
  <c r="U748" i="3" l="1"/>
  <c r="E749" i="3" s="1"/>
  <c r="H749" i="3" s="1"/>
  <c r="AG749" i="3"/>
  <c r="AH749" i="3"/>
  <c r="Y747" i="3"/>
  <c r="K749" i="3" l="1"/>
  <c r="AE749" i="3" s="1"/>
  <c r="D749" i="3"/>
  <c r="V749" i="3" l="1"/>
  <c r="A750" i="3"/>
  <c r="B750" i="3" s="1"/>
  <c r="F749" i="3"/>
  <c r="G749" i="3"/>
  <c r="I749" i="3" l="1"/>
  <c r="W749" i="3" s="1"/>
  <c r="J749" i="3"/>
  <c r="AD749" i="3" s="1"/>
  <c r="M749" i="3"/>
  <c r="N749" i="3" s="1"/>
  <c r="AA750" i="3"/>
  <c r="AC750" i="3"/>
  <c r="Z750" i="3"/>
  <c r="P750" i="3"/>
  <c r="Q750" i="3" s="1"/>
  <c r="R750" i="3" s="1"/>
  <c r="S750" i="3" s="1"/>
  <c r="T750" i="3" l="1"/>
  <c r="L749" i="3"/>
  <c r="AH750" i="3" l="1"/>
  <c r="AG750" i="3"/>
  <c r="U749" i="3"/>
  <c r="D750" i="3" s="1"/>
  <c r="Y748" i="3"/>
  <c r="G750" i="3" l="1"/>
  <c r="E750" i="3"/>
  <c r="H750" i="3" s="1"/>
  <c r="F750" i="3" l="1"/>
  <c r="I750" i="3"/>
  <c r="J750" i="3"/>
  <c r="AD750" i="3" s="1"/>
  <c r="M750" i="3"/>
  <c r="N750" i="3" s="1"/>
  <c r="K750" i="3"/>
  <c r="AE750" i="3" s="1"/>
  <c r="V750" i="3" l="1"/>
  <c r="W750" i="3" s="1"/>
  <c r="A751" i="3"/>
  <c r="B751" i="3" s="1"/>
  <c r="L750" i="3"/>
  <c r="U750" i="3" l="1"/>
  <c r="Y749" i="3"/>
  <c r="P751" i="3"/>
  <c r="Q751" i="3" s="1"/>
  <c r="R751" i="3" s="1"/>
  <c r="S751" i="3" s="1"/>
  <c r="Z751" i="3"/>
  <c r="AA751" i="3"/>
  <c r="AC751" i="3"/>
  <c r="T751" i="3" l="1"/>
  <c r="AH751" i="3" s="1"/>
  <c r="E751" i="3" l="1"/>
  <c r="H751" i="3" s="1"/>
  <c r="K751" i="3" s="1"/>
  <c r="AE751" i="3" s="1"/>
  <c r="AG751" i="3"/>
  <c r="D751" i="3"/>
  <c r="F751" i="3" l="1"/>
  <c r="G751" i="3"/>
  <c r="V751" i="3"/>
  <c r="A752" i="3"/>
  <c r="B752" i="3" s="1"/>
  <c r="AA752" i="3" l="1"/>
  <c r="Z752" i="3"/>
  <c r="AC752" i="3"/>
  <c r="P752" i="3"/>
  <c r="Q752" i="3" s="1"/>
  <c r="R752" i="3" s="1"/>
  <c r="S752" i="3" s="1"/>
  <c r="I751" i="3"/>
  <c r="W751" i="3" s="1"/>
  <c r="J751" i="3"/>
  <c r="AD751" i="3" s="1"/>
  <c r="M751" i="3"/>
  <c r="N751" i="3" s="1"/>
  <c r="L751" i="3" l="1"/>
  <c r="T752" i="3"/>
  <c r="U751" i="3" l="1"/>
  <c r="E752" i="3" s="1"/>
  <c r="H752" i="3" s="1"/>
  <c r="AG752" i="3"/>
  <c r="AH752" i="3"/>
  <c r="Y750" i="3"/>
  <c r="K752" i="3" l="1"/>
  <c r="AE752" i="3" s="1"/>
  <c r="D752" i="3"/>
  <c r="V752" i="3" l="1"/>
  <c r="A753" i="3"/>
  <c r="B753" i="3" s="1"/>
  <c r="F752" i="3"/>
  <c r="G752" i="3"/>
  <c r="I752" i="3" l="1"/>
  <c r="W752" i="3" s="1"/>
  <c r="J752" i="3"/>
  <c r="AD752" i="3" s="1"/>
  <c r="M752" i="3"/>
  <c r="N752" i="3" s="1"/>
  <c r="AA753" i="3"/>
  <c r="Z753" i="3"/>
  <c r="P753" i="3"/>
  <c r="Q753" i="3" s="1"/>
  <c r="R753" i="3" s="1"/>
  <c r="S753" i="3" s="1"/>
  <c r="AC753" i="3"/>
  <c r="T753" i="3" l="1"/>
  <c r="L752" i="3"/>
  <c r="AG753" i="3" l="1"/>
  <c r="U752" i="3"/>
  <c r="E753" i="3" s="1"/>
  <c r="H753" i="3" s="1"/>
  <c r="AH753" i="3"/>
  <c r="Y751" i="3"/>
  <c r="K753" i="3" l="1"/>
  <c r="AE753" i="3" s="1"/>
  <c r="D753" i="3"/>
  <c r="V753" i="3" l="1"/>
  <c r="A754" i="3"/>
  <c r="B754" i="3" s="1"/>
  <c r="F753" i="3"/>
  <c r="G753" i="3"/>
  <c r="I753" i="3" l="1"/>
  <c r="W753" i="3" s="1"/>
  <c r="J753" i="3"/>
  <c r="AD753" i="3" s="1"/>
  <c r="M753" i="3"/>
  <c r="N753" i="3" s="1"/>
  <c r="AC754" i="3"/>
  <c r="P754" i="3"/>
  <c r="Q754" i="3" s="1"/>
  <c r="R754" i="3" s="1"/>
  <c r="S754" i="3" s="1"/>
  <c r="Z754" i="3"/>
  <c r="AA754" i="3"/>
  <c r="T754" i="3" l="1"/>
  <c r="L753" i="3"/>
  <c r="AG754" i="3" l="1"/>
  <c r="AH754" i="3"/>
  <c r="U753" i="3"/>
  <c r="E754" i="3" s="1"/>
  <c r="H754" i="3" s="1"/>
  <c r="Y752" i="3"/>
  <c r="D754" i="3" l="1"/>
  <c r="G754" i="3" s="1"/>
  <c r="K754" i="3"/>
  <c r="AE754" i="3" s="1"/>
  <c r="F754" i="3" l="1"/>
  <c r="I754" i="3"/>
  <c r="J754" i="3"/>
  <c r="AD754" i="3" s="1"/>
  <c r="M754" i="3"/>
  <c r="N754" i="3" s="1"/>
  <c r="V754" i="3"/>
  <c r="A755" i="3"/>
  <c r="B755" i="3" s="1"/>
  <c r="W754" i="3" l="1"/>
  <c r="L754" i="3"/>
  <c r="AC755" i="3"/>
  <c r="AA755" i="3"/>
  <c r="P755" i="3"/>
  <c r="Q755" i="3" s="1"/>
  <c r="R755" i="3" s="1"/>
  <c r="S755" i="3" s="1"/>
  <c r="Z755" i="3"/>
  <c r="T755" i="3" l="1"/>
  <c r="U754" i="3"/>
  <c r="Y753" i="3"/>
  <c r="E755" i="3" l="1"/>
  <c r="H755" i="3" s="1"/>
  <c r="K755" i="3" s="1"/>
  <c r="AE755" i="3" s="1"/>
  <c r="AH755" i="3"/>
  <c r="AG755" i="3"/>
  <c r="D755" i="3"/>
  <c r="F755" i="3" l="1"/>
  <c r="G755" i="3"/>
  <c r="V755" i="3"/>
  <c r="A756" i="3"/>
  <c r="B756" i="3" s="1"/>
  <c r="P756" i="3" l="1"/>
  <c r="Q756" i="3" s="1"/>
  <c r="R756" i="3" s="1"/>
  <c r="S756" i="3" s="1"/>
  <c r="Z756" i="3"/>
  <c r="AA756" i="3"/>
  <c r="AC756" i="3"/>
  <c r="I755" i="3"/>
  <c r="W755" i="3" s="1"/>
  <c r="J755" i="3"/>
  <c r="AD755" i="3" s="1"/>
  <c r="M755" i="3"/>
  <c r="N755" i="3" s="1"/>
  <c r="T756" i="3" l="1"/>
  <c r="L755" i="3"/>
  <c r="AG756" i="3" l="1"/>
  <c r="U755" i="3"/>
  <c r="E756" i="3" s="1"/>
  <c r="H756" i="3" s="1"/>
  <c r="AH756" i="3"/>
  <c r="Y754" i="3"/>
  <c r="D756" i="3" l="1"/>
  <c r="F756" i="3" s="1"/>
  <c r="K756" i="3"/>
  <c r="AE756" i="3" s="1"/>
  <c r="G756" i="3" l="1"/>
  <c r="M756" i="3" s="1"/>
  <c r="N756" i="3" s="1"/>
  <c r="V756" i="3"/>
  <c r="A757" i="3"/>
  <c r="B757" i="3" s="1"/>
  <c r="I756" i="3" l="1"/>
  <c r="W756" i="3" s="1"/>
  <c r="J756" i="3"/>
  <c r="AC757" i="3"/>
  <c r="P757" i="3"/>
  <c r="Q757" i="3" s="1"/>
  <c r="R757" i="3" s="1"/>
  <c r="S757" i="3" s="1"/>
  <c r="Z757" i="3"/>
  <c r="AA757" i="3"/>
  <c r="L756" i="3" l="1"/>
  <c r="U756" i="3" s="1"/>
  <c r="AD756" i="3"/>
  <c r="T757" i="3"/>
  <c r="Y755" i="3" l="1"/>
  <c r="E757" i="3"/>
  <c r="H757" i="3" s="1"/>
  <c r="K757" i="3" s="1"/>
  <c r="AE757" i="3" s="1"/>
  <c r="AH757" i="3"/>
  <c r="D757" i="3"/>
  <c r="AG757" i="3"/>
  <c r="V757" i="3" l="1"/>
  <c r="A758" i="3"/>
  <c r="B758" i="3" s="1"/>
  <c r="F757" i="3"/>
  <c r="G757" i="3"/>
  <c r="I757" i="3" l="1"/>
  <c r="W757" i="3" s="1"/>
  <c r="J757" i="3"/>
  <c r="AD757" i="3" s="1"/>
  <c r="M757" i="3"/>
  <c r="N757" i="3" s="1"/>
  <c r="AA758" i="3"/>
  <c r="Z758" i="3"/>
  <c r="AC758" i="3"/>
  <c r="P758" i="3"/>
  <c r="Q758" i="3" s="1"/>
  <c r="R758" i="3" s="1"/>
  <c r="S758" i="3" s="1"/>
  <c r="T758" i="3" l="1"/>
  <c r="L757" i="3"/>
  <c r="AG758" i="3" l="1"/>
  <c r="U757" i="3"/>
  <c r="D758" i="3" s="1"/>
  <c r="AH758" i="3"/>
  <c r="Y756" i="3"/>
  <c r="E758" i="3" l="1"/>
  <c r="H758" i="3" s="1"/>
  <c r="K758" i="3" s="1"/>
  <c r="AE758" i="3" s="1"/>
  <c r="G758" i="3"/>
  <c r="F758" i="3" l="1"/>
  <c r="V758" i="3"/>
  <c r="A759" i="3"/>
  <c r="B759" i="3" s="1"/>
  <c r="I758" i="3"/>
  <c r="J758" i="3"/>
  <c r="AD758" i="3" s="1"/>
  <c r="M758" i="3"/>
  <c r="N758" i="3" s="1"/>
  <c r="L758" i="3" l="1"/>
  <c r="W758" i="3"/>
  <c r="P759" i="3"/>
  <c r="Q759" i="3" s="1"/>
  <c r="R759" i="3" s="1"/>
  <c r="S759" i="3" s="1"/>
  <c r="Z759" i="3"/>
  <c r="AA759" i="3"/>
  <c r="AC759" i="3"/>
  <c r="U758" i="3" l="1"/>
  <c r="Y757" i="3"/>
  <c r="T759" i="3"/>
  <c r="D759" i="3" l="1"/>
  <c r="G759" i="3" s="1"/>
  <c r="AG759" i="3"/>
  <c r="E759" i="3"/>
  <c r="H759" i="3" s="1"/>
  <c r="AH759" i="3"/>
  <c r="F759" i="3" l="1"/>
  <c r="I759" i="3"/>
  <c r="J759" i="3"/>
  <c r="AD759" i="3" s="1"/>
  <c r="M759" i="3"/>
  <c r="N759" i="3" s="1"/>
  <c r="K759" i="3"/>
  <c r="AE759" i="3" s="1"/>
  <c r="V759" i="3" l="1"/>
  <c r="W759" i="3" s="1"/>
  <c r="A760" i="3"/>
  <c r="B760" i="3" s="1"/>
  <c r="L759" i="3"/>
  <c r="U759" i="3" l="1"/>
  <c r="Y758" i="3"/>
  <c r="AA760" i="3"/>
  <c r="AC760" i="3"/>
  <c r="Z760" i="3"/>
  <c r="P760" i="3"/>
  <c r="Q760" i="3" s="1"/>
  <c r="R760" i="3" s="1"/>
  <c r="S760" i="3" s="1"/>
  <c r="T760" i="3" l="1"/>
  <c r="E760" i="3" s="1"/>
  <c r="H760" i="3" s="1"/>
  <c r="AH760" i="3" l="1"/>
  <c r="AG760" i="3"/>
  <c r="D760" i="3"/>
  <c r="G760" i="3" s="1"/>
  <c r="K760" i="3"/>
  <c r="AE760" i="3" s="1"/>
  <c r="F760" i="3" l="1"/>
  <c r="I760" i="3"/>
  <c r="J760" i="3"/>
  <c r="AD760" i="3" s="1"/>
  <c r="M760" i="3"/>
  <c r="N760" i="3" s="1"/>
  <c r="V760" i="3"/>
  <c r="A761" i="3"/>
  <c r="B761" i="3" s="1"/>
  <c r="W760" i="3" l="1"/>
  <c r="L760" i="3"/>
  <c r="P761" i="3"/>
  <c r="Q761" i="3" s="1"/>
  <c r="R761" i="3" s="1"/>
  <c r="S761" i="3" s="1"/>
  <c r="Z761" i="3"/>
  <c r="AA761" i="3"/>
  <c r="AC761" i="3"/>
  <c r="T761" i="3" l="1"/>
  <c r="U760" i="3"/>
  <c r="Y759" i="3"/>
  <c r="D761" i="3" l="1"/>
  <c r="G761" i="3" s="1"/>
  <c r="AG761" i="3"/>
  <c r="AH761" i="3"/>
  <c r="E761" i="3"/>
  <c r="H761" i="3" s="1"/>
  <c r="F761" i="3" l="1"/>
  <c r="I761" i="3"/>
  <c r="J761" i="3"/>
  <c r="AD761" i="3" s="1"/>
  <c r="M761" i="3"/>
  <c r="N761" i="3" s="1"/>
  <c r="K761" i="3"/>
  <c r="AE761" i="3" s="1"/>
  <c r="V761" i="3" l="1"/>
  <c r="W761" i="3" s="1"/>
  <c r="A762" i="3"/>
  <c r="B762" i="3" s="1"/>
  <c r="L761" i="3"/>
  <c r="U761" i="3" l="1"/>
  <c r="Y760" i="3"/>
  <c r="AA762" i="3"/>
  <c r="Z762" i="3"/>
  <c r="AC762" i="3"/>
  <c r="P762" i="3"/>
  <c r="Q762" i="3" s="1"/>
  <c r="R762" i="3" s="1"/>
  <c r="S762" i="3" s="1"/>
  <c r="T762" i="3" l="1"/>
  <c r="D762" i="3" s="1"/>
  <c r="E762" i="3" l="1"/>
  <c r="H762" i="3" s="1"/>
  <c r="K762" i="3" s="1"/>
  <c r="AE762" i="3" s="1"/>
  <c r="AH762" i="3"/>
  <c r="AG762" i="3"/>
  <c r="G762" i="3"/>
  <c r="F762" i="3" l="1"/>
  <c r="I762" i="3"/>
  <c r="J762" i="3"/>
  <c r="AD762" i="3" s="1"/>
  <c r="M762" i="3"/>
  <c r="N762" i="3" s="1"/>
  <c r="V762" i="3"/>
  <c r="A763" i="3"/>
  <c r="B763" i="3" s="1"/>
  <c r="W762" i="3" l="1"/>
  <c r="L762" i="3"/>
  <c r="AC763" i="3"/>
  <c r="Z763" i="3"/>
  <c r="AA763" i="3"/>
  <c r="P763" i="3"/>
  <c r="Q763" i="3" s="1"/>
  <c r="R763" i="3" s="1"/>
  <c r="S763" i="3" s="1"/>
  <c r="U762" i="3" l="1"/>
  <c r="Y761" i="3"/>
  <c r="T763" i="3"/>
  <c r="D763" i="3" l="1"/>
  <c r="G763" i="3" s="1"/>
  <c r="AG763" i="3"/>
  <c r="AH763" i="3"/>
  <c r="E763" i="3"/>
  <c r="H763" i="3" s="1"/>
  <c r="K763" i="3" s="1"/>
  <c r="AE763" i="3" s="1"/>
  <c r="F763" i="3" l="1"/>
  <c r="I763" i="3"/>
  <c r="J763" i="3"/>
  <c r="AD763" i="3" s="1"/>
  <c r="M763" i="3"/>
  <c r="N763" i="3" s="1"/>
  <c r="V763" i="3"/>
  <c r="A764" i="3"/>
  <c r="B764" i="3" s="1"/>
  <c r="W763" i="3" l="1"/>
  <c r="L763" i="3"/>
  <c r="Z764" i="3"/>
  <c r="P764" i="3"/>
  <c r="Q764" i="3" s="1"/>
  <c r="R764" i="3" s="1"/>
  <c r="S764" i="3" s="1"/>
  <c r="AC764" i="3"/>
  <c r="AA764" i="3"/>
  <c r="U763" i="3" l="1"/>
  <c r="Y762" i="3"/>
  <c r="T764" i="3"/>
  <c r="E764" i="3" l="1"/>
  <c r="H764" i="3" s="1"/>
  <c r="K764" i="3" s="1"/>
  <c r="AE764" i="3" s="1"/>
  <c r="AG764" i="3"/>
  <c r="D764" i="3"/>
  <c r="AH764" i="3"/>
  <c r="F764" i="3" l="1"/>
  <c r="G764" i="3"/>
  <c r="V764" i="3"/>
  <c r="A765" i="3"/>
  <c r="B765" i="3" s="1"/>
  <c r="P765" i="3" l="1"/>
  <c r="Q765" i="3" s="1"/>
  <c r="R765" i="3" s="1"/>
  <c r="S765" i="3" s="1"/>
  <c r="Z765" i="3"/>
  <c r="AA765" i="3"/>
  <c r="AC765" i="3"/>
  <c r="I764" i="3"/>
  <c r="W764" i="3" s="1"/>
  <c r="J764" i="3"/>
  <c r="AD764" i="3" s="1"/>
  <c r="M764" i="3"/>
  <c r="N764" i="3" s="1"/>
  <c r="T765" i="3" l="1"/>
  <c r="L764" i="3"/>
  <c r="AG765" i="3" l="1"/>
  <c r="AH765" i="3"/>
  <c r="U764" i="3"/>
  <c r="D765" i="3" s="1"/>
  <c r="Y763" i="3"/>
  <c r="E765" i="3" l="1"/>
  <c r="H765" i="3" s="1"/>
  <c r="K765" i="3" s="1"/>
  <c r="AE765" i="3" s="1"/>
  <c r="G765" i="3"/>
  <c r="F765" i="3" l="1"/>
  <c r="I765" i="3"/>
  <c r="J765" i="3"/>
  <c r="AD765" i="3" s="1"/>
  <c r="M765" i="3"/>
  <c r="N765" i="3" s="1"/>
  <c r="V765" i="3"/>
  <c r="A766" i="3"/>
  <c r="B766" i="3" s="1"/>
  <c r="W765" i="3" l="1"/>
  <c r="L765" i="3"/>
  <c r="P766" i="3"/>
  <c r="Q766" i="3" s="1"/>
  <c r="R766" i="3" s="1"/>
  <c r="S766" i="3" s="1"/>
  <c r="AA766" i="3"/>
  <c r="Z766" i="3"/>
  <c r="AC766" i="3"/>
  <c r="U765" i="3" l="1"/>
  <c r="Y764" i="3"/>
  <c r="T766" i="3"/>
  <c r="E766" i="3" l="1"/>
  <c r="H766" i="3" s="1"/>
  <c r="K766" i="3" s="1"/>
  <c r="AE766" i="3" s="1"/>
  <c r="D766" i="3"/>
  <c r="AG766" i="3"/>
  <c r="AH766" i="3"/>
  <c r="V766" i="3" l="1"/>
  <c r="A767" i="3"/>
  <c r="B767" i="3" s="1"/>
  <c r="F766" i="3"/>
  <c r="G766" i="3"/>
  <c r="I766" i="3" l="1"/>
  <c r="W766" i="3" s="1"/>
  <c r="J766" i="3"/>
  <c r="AD766" i="3" s="1"/>
  <c r="M766" i="3"/>
  <c r="N766" i="3" s="1"/>
  <c r="P767" i="3"/>
  <c r="Q767" i="3" s="1"/>
  <c r="R767" i="3" s="1"/>
  <c r="S767" i="3" s="1"/>
  <c r="AC767" i="3"/>
  <c r="AA767" i="3"/>
  <c r="Z767" i="3"/>
  <c r="T767" i="3" l="1"/>
  <c r="L766" i="3"/>
  <c r="AH767" i="3" l="1"/>
  <c r="AG767" i="3"/>
  <c r="U766" i="3"/>
  <c r="D767" i="3" s="1"/>
  <c r="Y765" i="3"/>
  <c r="E767" i="3" l="1"/>
  <c r="H767" i="3" s="1"/>
  <c r="K767" i="3" s="1"/>
  <c r="AE767" i="3" s="1"/>
  <c r="G767" i="3"/>
  <c r="F767" i="3" l="1"/>
  <c r="I767" i="3"/>
  <c r="J767" i="3"/>
  <c r="AD767" i="3" s="1"/>
  <c r="M767" i="3"/>
  <c r="N767" i="3" s="1"/>
  <c r="V767" i="3"/>
  <c r="A768" i="3"/>
  <c r="B768" i="3" s="1"/>
  <c r="W767" i="3" l="1"/>
  <c r="L767" i="3"/>
  <c r="AC768" i="3"/>
  <c r="AA768" i="3"/>
  <c r="P768" i="3"/>
  <c r="Q768" i="3" s="1"/>
  <c r="R768" i="3" s="1"/>
  <c r="S768" i="3" s="1"/>
  <c r="Z768" i="3"/>
  <c r="T768" i="3" l="1"/>
  <c r="AG768" i="3" s="1"/>
  <c r="U767" i="3"/>
  <c r="Y766" i="3"/>
  <c r="D768" i="3" l="1"/>
  <c r="G768" i="3" s="1"/>
  <c r="AH768" i="3"/>
  <c r="E768" i="3"/>
  <c r="H768" i="3" s="1"/>
  <c r="K768" i="3" l="1"/>
  <c r="AE768" i="3" s="1"/>
  <c r="I768" i="3"/>
  <c r="J768" i="3"/>
  <c r="AD768" i="3" s="1"/>
  <c r="M768" i="3"/>
  <c r="N768" i="3" s="1"/>
  <c r="F768" i="3"/>
  <c r="L768" i="3" l="1"/>
  <c r="V768" i="3"/>
  <c r="W768" i="3" s="1"/>
  <c r="A769" i="3"/>
  <c r="B769" i="3" s="1"/>
  <c r="AC769" i="3" l="1"/>
  <c r="Z769" i="3"/>
  <c r="P769" i="3"/>
  <c r="Q769" i="3" s="1"/>
  <c r="R769" i="3" s="1"/>
  <c r="S769" i="3" s="1"/>
  <c r="AA769" i="3"/>
  <c r="U768" i="3"/>
  <c r="Y767" i="3"/>
  <c r="T769" i="3" l="1"/>
  <c r="AG769" i="3" l="1"/>
  <c r="D769" i="3"/>
  <c r="AH769" i="3"/>
  <c r="E769" i="3"/>
  <c r="H769" i="3" s="1"/>
  <c r="F769" i="3" l="1"/>
  <c r="G769" i="3"/>
  <c r="K769" i="3"/>
  <c r="AE769" i="3" s="1"/>
  <c r="V769" i="3" l="1"/>
  <c r="A770" i="3"/>
  <c r="B770" i="3" s="1"/>
  <c r="I769" i="3"/>
  <c r="J769" i="3"/>
  <c r="AD769" i="3" s="1"/>
  <c r="M769" i="3"/>
  <c r="N769" i="3" s="1"/>
  <c r="W769" i="3" l="1"/>
  <c r="L769" i="3"/>
  <c r="AC770" i="3"/>
  <c r="P770" i="3"/>
  <c r="Q770" i="3" s="1"/>
  <c r="R770" i="3" s="1"/>
  <c r="S770" i="3" s="1"/>
  <c r="Z770" i="3"/>
  <c r="AA770" i="3"/>
  <c r="U769" i="3" l="1"/>
  <c r="Y768" i="3"/>
  <c r="T770" i="3"/>
  <c r="AG770" i="3" s="1"/>
  <c r="E770" i="3" l="1"/>
  <c r="H770" i="3" s="1"/>
  <c r="K770" i="3" s="1"/>
  <c r="AE770" i="3" s="1"/>
  <c r="D770" i="3"/>
  <c r="AH770" i="3"/>
  <c r="F770" i="3" l="1"/>
  <c r="G770" i="3"/>
  <c r="M770" i="3" s="1"/>
  <c r="N770" i="3" s="1"/>
  <c r="V770" i="3"/>
  <c r="A771" i="3"/>
  <c r="B771" i="3" s="1"/>
  <c r="I770" i="3" l="1"/>
  <c r="W770" i="3" s="1"/>
  <c r="J770" i="3"/>
  <c r="AA771" i="3"/>
  <c r="AC771" i="3"/>
  <c r="P771" i="3"/>
  <c r="Q771" i="3" s="1"/>
  <c r="R771" i="3" s="1"/>
  <c r="S771" i="3" s="1"/>
  <c r="Z771" i="3"/>
  <c r="L770" i="3" l="1"/>
  <c r="U770" i="3" s="1"/>
  <c r="AD770" i="3"/>
  <c r="T771" i="3"/>
  <c r="AH771" i="3" l="1"/>
  <c r="Y769" i="3"/>
  <c r="E771" i="3"/>
  <c r="H771" i="3" s="1"/>
  <c r="AG771" i="3"/>
  <c r="D771" i="3"/>
  <c r="K771" i="3" l="1"/>
  <c r="AE771" i="3" s="1"/>
  <c r="F771" i="3"/>
  <c r="G771" i="3"/>
  <c r="V771" i="3" l="1"/>
  <c r="A772" i="3"/>
  <c r="B772" i="3" s="1"/>
  <c r="I771" i="3"/>
  <c r="J771" i="3"/>
  <c r="AD771" i="3" s="1"/>
  <c r="M771" i="3"/>
  <c r="N771" i="3" s="1"/>
  <c r="L771" i="3" l="1"/>
  <c r="W771" i="3"/>
  <c r="AA772" i="3"/>
  <c r="Z772" i="3"/>
  <c r="AC772" i="3"/>
  <c r="P772" i="3"/>
  <c r="Q772" i="3" s="1"/>
  <c r="R772" i="3" s="1"/>
  <c r="S772" i="3" s="1"/>
  <c r="U771" i="3" l="1"/>
  <c r="Y770" i="3"/>
  <c r="T772" i="3"/>
  <c r="E772" i="3" l="1"/>
  <c r="H772" i="3" s="1"/>
  <c r="K772" i="3" s="1"/>
  <c r="AE772" i="3" s="1"/>
  <c r="D772" i="3"/>
  <c r="G772" i="3" s="1"/>
  <c r="AG772" i="3"/>
  <c r="AH772" i="3"/>
  <c r="F772" i="3" l="1"/>
  <c r="V772" i="3"/>
  <c r="A773" i="3"/>
  <c r="B773" i="3" s="1"/>
  <c r="I772" i="3"/>
  <c r="J772" i="3"/>
  <c r="AD772" i="3" s="1"/>
  <c r="M772" i="3"/>
  <c r="N772" i="3" s="1"/>
  <c r="W772" i="3" l="1"/>
  <c r="L772" i="3"/>
  <c r="AA773" i="3"/>
  <c r="P773" i="3"/>
  <c r="Q773" i="3" s="1"/>
  <c r="R773" i="3" s="1"/>
  <c r="S773" i="3" s="1"/>
  <c r="Z773" i="3"/>
  <c r="AC773" i="3"/>
  <c r="U772" i="3" l="1"/>
  <c r="Y771" i="3"/>
  <c r="T773" i="3"/>
  <c r="AG773" i="3" s="1"/>
  <c r="D773" i="3" l="1"/>
  <c r="E773" i="3"/>
  <c r="H773" i="3" s="1"/>
  <c r="K773" i="3" s="1"/>
  <c r="AE773" i="3" s="1"/>
  <c r="AH773" i="3"/>
  <c r="F773" i="3" l="1"/>
  <c r="G773" i="3"/>
  <c r="M773" i="3" s="1"/>
  <c r="N773" i="3" s="1"/>
  <c r="V773" i="3"/>
  <c r="A774" i="3"/>
  <c r="B774" i="3" s="1"/>
  <c r="I773" i="3" l="1"/>
  <c r="W773" i="3" s="1"/>
  <c r="J773" i="3"/>
  <c r="AC774" i="3"/>
  <c r="P774" i="3"/>
  <c r="Q774" i="3" s="1"/>
  <c r="R774" i="3" s="1"/>
  <c r="S774" i="3" s="1"/>
  <c r="AA774" i="3"/>
  <c r="Z774" i="3"/>
  <c r="L773" i="3" l="1"/>
  <c r="Y772" i="3" s="1"/>
  <c r="AD773" i="3"/>
  <c r="T774" i="3"/>
  <c r="AG774" i="3" l="1"/>
  <c r="U773" i="3"/>
  <c r="E774" i="3" s="1"/>
  <c r="H774" i="3" s="1"/>
  <c r="K774" i="3" s="1"/>
  <c r="AE774" i="3" s="1"/>
  <c r="AH774" i="3"/>
  <c r="D774" i="3" l="1"/>
  <c r="F774" i="3" s="1"/>
  <c r="V774" i="3"/>
  <c r="A775" i="3"/>
  <c r="B775" i="3" s="1"/>
  <c r="G774" i="3" l="1"/>
  <c r="M774" i="3" s="1"/>
  <c r="N774" i="3" s="1"/>
  <c r="P775" i="3"/>
  <c r="Q775" i="3" s="1"/>
  <c r="R775" i="3" s="1"/>
  <c r="S775" i="3" s="1"/>
  <c r="Z775" i="3"/>
  <c r="AD775" i="3"/>
  <c r="AA775" i="3"/>
  <c r="AC775" i="3"/>
  <c r="J774" i="3" l="1"/>
  <c r="L774" i="3" s="1"/>
  <c r="Y773" i="3" s="1"/>
  <c r="I774" i="3"/>
  <c r="W774" i="3" s="1"/>
  <c r="AD774" i="3"/>
  <c r="T775" i="3"/>
  <c r="U774" i="3" l="1"/>
  <c r="D775" i="3" s="1"/>
  <c r="AG775" i="3"/>
  <c r="AH775" i="3"/>
  <c r="E775" i="3" l="1"/>
  <c r="H775" i="3" s="1"/>
  <c r="K775" i="3" s="1"/>
  <c r="AE775" i="3" s="1"/>
  <c r="G775" i="3"/>
  <c r="M775" i="3" l="1"/>
  <c r="N775" i="3" s="1"/>
  <c r="A776" i="3"/>
  <c r="B776" i="3" s="1"/>
  <c r="AD776" i="3" s="1"/>
  <c r="V775" i="3"/>
  <c r="F775" i="3"/>
  <c r="I775" i="3"/>
  <c r="J775" i="3"/>
  <c r="L775" i="3" s="1"/>
  <c r="W775" i="3" l="1"/>
  <c r="P776" i="3"/>
  <c r="Q776" i="3" s="1"/>
  <c r="R776" i="3" s="1"/>
  <c r="S776" i="3" s="1"/>
  <c r="T776" i="3" s="1"/>
  <c r="AA776" i="3"/>
  <c r="AC776" i="3"/>
  <c r="Z776" i="3"/>
  <c r="U775" i="3"/>
  <c r="Y774" i="3"/>
  <c r="AG776" i="3" l="1"/>
  <c r="AH776" i="3"/>
  <c r="E776" i="3"/>
  <c r="H776" i="3" s="1"/>
  <c r="K776" i="3" s="1"/>
  <c r="AE776" i="3" s="1"/>
  <c r="D776" i="3"/>
  <c r="G776" i="3" s="1"/>
  <c r="F776" i="3" l="1"/>
  <c r="I776" i="3"/>
  <c r="J776" i="3"/>
  <c r="M776" i="3"/>
  <c r="N776" i="3" s="1"/>
  <c r="V776" i="3"/>
  <c r="A777" i="3"/>
  <c r="B777" i="3" s="1"/>
  <c r="W776" i="3" l="1"/>
  <c r="L776" i="3"/>
  <c r="Z777" i="3"/>
  <c r="AA777" i="3"/>
  <c r="P777" i="3"/>
  <c r="Q777" i="3" s="1"/>
  <c r="R777" i="3" s="1"/>
  <c r="S777" i="3" s="1"/>
  <c r="AD777" i="3"/>
  <c r="AC777" i="3"/>
  <c r="U776" i="3" l="1"/>
  <c r="Y775" i="3"/>
  <c r="T777" i="3"/>
  <c r="AH777" i="3" s="1"/>
  <c r="E777" i="3" l="1"/>
  <c r="H777" i="3" s="1"/>
  <c r="D777" i="3"/>
  <c r="AG777" i="3"/>
  <c r="K777" i="3" l="1"/>
  <c r="AE777" i="3" s="1"/>
  <c r="F777" i="3"/>
  <c r="G777" i="3"/>
  <c r="I777" i="3" l="1"/>
  <c r="J777" i="3"/>
  <c r="M777" i="3"/>
  <c r="N777" i="3" s="1"/>
  <c r="V777" i="3"/>
  <c r="A778" i="3"/>
  <c r="B778" i="3" s="1"/>
  <c r="L777" i="3" l="1"/>
  <c r="W777" i="3"/>
  <c r="P778" i="3"/>
  <c r="Q778" i="3" s="1"/>
  <c r="R778" i="3" s="1"/>
  <c r="S778" i="3" s="1"/>
  <c r="Z778" i="3"/>
  <c r="AA778" i="3"/>
  <c r="AC778" i="3"/>
  <c r="U777" i="3" l="1"/>
  <c r="Y776" i="3"/>
  <c r="T778" i="3"/>
  <c r="AH778" i="3" s="1"/>
  <c r="E778" i="3" l="1"/>
  <c r="H778" i="3" s="1"/>
  <c r="K778" i="3" s="1"/>
  <c r="AE778" i="3" s="1"/>
  <c r="AG778" i="3"/>
  <c r="D778" i="3"/>
  <c r="G778" i="3" s="1"/>
  <c r="F778" i="3" l="1"/>
  <c r="I778" i="3"/>
  <c r="J778" i="3"/>
  <c r="AD778" i="3" s="1"/>
  <c r="M778" i="3"/>
  <c r="N778" i="3" s="1"/>
  <c r="V778" i="3"/>
  <c r="A779" i="3"/>
  <c r="B779" i="3" s="1"/>
  <c r="W778" i="3" l="1"/>
  <c r="L778" i="3"/>
  <c r="P779" i="3"/>
  <c r="Q779" i="3" s="1"/>
  <c r="R779" i="3" s="1"/>
  <c r="S779" i="3" s="1"/>
  <c r="AA779" i="3"/>
  <c r="AC779" i="3"/>
  <c r="AD779" i="3"/>
  <c r="Z779" i="3"/>
  <c r="U778" i="3" l="1"/>
  <c r="Y777" i="3"/>
  <c r="T779" i="3"/>
  <c r="E779" i="3" l="1"/>
  <c r="H779" i="3" s="1"/>
  <c r="K779" i="3" s="1"/>
  <c r="AE779" i="3" s="1"/>
  <c r="AG779" i="3"/>
  <c r="AH779" i="3"/>
  <c r="D779" i="3"/>
  <c r="G779" i="3" s="1"/>
  <c r="F779" i="3" l="1"/>
  <c r="I779" i="3"/>
  <c r="J779" i="3"/>
  <c r="M779" i="3"/>
  <c r="N779" i="3" s="1"/>
  <c r="V779" i="3"/>
  <c r="A780" i="3"/>
  <c r="B780" i="3" s="1"/>
  <c r="W779" i="3" l="1"/>
  <c r="L779" i="3"/>
  <c r="P780" i="3"/>
  <c r="Q780" i="3" s="1"/>
  <c r="R780" i="3" s="1"/>
  <c r="S780" i="3" s="1"/>
  <c r="AD780" i="3"/>
  <c r="AA780" i="3"/>
  <c r="Z780" i="3"/>
  <c r="AC780" i="3"/>
  <c r="U779" i="3" l="1"/>
  <c r="Y778" i="3"/>
  <c r="T780" i="3"/>
  <c r="D780" i="3" l="1"/>
  <c r="G780" i="3" s="1"/>
  <c r="AH780" i="3"/>
  <c r="E780" i="3"/>
  <c r="H780" i="3" s="1"/>
  <c r="K780" i="3" s="1"/>
  <c r="AE780" i="3" s="1"/>
  <c r="AG780" i="3"/>
  <c r="F780" i="3" l="1"/>
  <c r="I780" i="3"/>
  <c r="J780" i="3"/>
  <c r="M780" i="3"/>
  <c r="N780" i="3" s="1"/>
  <c r="V780" i="3"/>
  <c r="A781" i="3"/>
  <c r="B781" i="3" s="1"/>
  <c r="W780" i="3" l="1"/>
  <c r="L780" i="3"/>
  <c r="P781" i="3"/>
  <c r="Q781" i="3" s="1"/>
  <c r="R781" i="3" s="1"/>
  <c r="S781" i="3" s="1"/>
  <c r="AD781" i="3"/>
  <c r="Z781" i="3"/>
  <c r="AA781" i="3"/>
  <c r="AC781" i="3"/>
  <c r="T781" i="3" l="1"/>
  <c r="U780" i="3"/>
  <c r="Y779" i="3"/>
  <c r="E781" i="3" l="1"/>
  <c r="H781" i="3" s="1"/>
  <c r="K781" i="3" s="1"/>
  <c r="AE781" i="3" s="1"/>
  <c r="AG781" i="3"/>
  <c r="AH781" i="3"/>
  <c r="D781" i="3"/>
  <c r="F781" i="3" l="1"/>
  <c r="G781" i="3"/>
  <c r="V781" i="3"/>
  <c r="A782" i="3"/>
  <c r="B782" i="3" s="1"/>
  <c r="P782" i="3" l="1"/>
  <c r="Q782" i="3" s="1"/>
  <c r="R782" i="3" s="1"/>
  <c r="S782" i="3" s="1"/>
  <c r="AC782" i="3"/>
  <c r="AD782" i="3"/>
  <c r="AA782" i="3"/>
  <c r="Z782" i="3"/>
  <c r="I781" i="3"/>
  <c r="W781" i="3" s="1"/>
  <c r="J781" i="3"/>
  <c r="M781" i="3"/>
  <c r="N781" i="3" s="1"/>
  <c r="T782" i="3" l="1"/>
  <c r="L781" i="3"/>
  <c r="U781" i="3" l="1"/>
  <c r="D782" i="3" s="1"/>
  <c r="AH782" i="3"/>
  <c r="AG782" i="3"/>
  <c r="Y780" i="3"/>
  <c r="E782" i="3" l="1"/>
  <c r="H782" i="3" s="1"/>
  <c r="K782" i="3" s="1"/>
  <c r="AE782" i="3" s="1"/>
  <c r="G782" i="3"/>
  <c r="F782" i="3" l="1"/>
  <c r="I782" i="3"/>
  <c r="J782" i="3"/>
  <c r="M782" i="3"/>
  <c r="N782" i="3" s="1"/>
  <c r="V782" i="3"/>
  <c r="A783" i="3"/>
  <c r="B783" i="3" s="1"/>
  <c r="W782" i="3" l="1"/>
  <c r="L782" i="3"/>
  <c r="AA783" i="3"/>
  <c r="Z783" i="3"/>
  <c r="P783" i="3"/>
  <c r="Q783" i="3" s="1"/>
  <c r="R783" i="3" s="1"/>
  <c r="S783" i="3" s="1"/>
  <c r="AD783" i="3"/>
  <c r="AC783" i="3"/>
  <c r="U782" i="3" l="1"/>
  <c r="Y781" i="3"/>
  <c r="T783" i="3"/>
  <c r="AH783" i="3" s="1"/>
  <c r="AG783" i="3" l="1"/>
  <c r="D783" i="3"/>
  <c r="G783" i="3" s="1"/>
  <c r="E783" i="3"/>
  <c r="H783" i="3" s="1"/>
  <c r="K783" i="3" s="1"/>
  <c r="AE783" i="3" s="1"/>
  <c r="F783" i="3" l="1"/>
  <c r="I783" i="3"/>
  <c r="J783" i="3"/>
  <c r="M783" i="3"/>
  <c r="N783" i="3" s="1"/>
  <c r="V783" i="3"/>
  <c r="A784" i="3"/>
  <c r="B784" i="3" s="1"/>
  <c r="W783" i="3" l="1"/>
  <c r="L783" i="3"/>
  <c r="AC784" i="3"/>
  <c r="Z784" i="3"/>
  <c r="P784" i="3"/>
  <c r="Q784" i="3" s="1"/>
  <c r="R784" i="3" s="1"/>
  <c r="S784" i="3" s="1"/>
  <c r="AA784" i="3"/>
  <c r="T784" i="3" l="1"/>
  <c r="AG784" i="3" s="1"/>
  <c r="U783" i="3"/>
  <c r="Y782" i="3"/>
  <c r="E784" i="3" l="1"/>
  <c r="H784" i="3" s="1"/>
  <c r="AH784" i="3"/>
  <c r="D784" i="3"/>
  <c r="K784" i="3" l="1"/>
  <c r="AE784" i="3" s="1"/>
  <c r="F784" i="3"/>
  <c r="G784" i="3"/>
  <c r="V784" i="3" l="1"/>
  <c r="A785" i="3"/>
  <c r="B785" i="3" s="1"/>
  <c r="I784" i="3"/>
  <c r="J784" i="3"/>
  <c r="AD784" i="3" s="1"/>
  <c r="M784" i="3"/>
  <c r="N784" i="3" s="1"/>
  <c r="W784" i="3" l="1"/>
  <c r="L784" i="3"/>
  <c r="AA785" i="3"/>
  <c r="P785" i="3"/>
  <c r="Q785" i="3" s="1"/>
  <c r="R785" i="3" s="1"/>
  <c r="S785" i="3" s="1"/>
  <c r="AC785" i="3"/>
  <c r="Z785" i="3"/>
  <c r="U784" i="3" l="1"/>
  <c r="Y783" i="3"/>
  <c r="T785" i="3"/>
  <c r="AH785" i="3" s="1"/>
  <c r="E785" i="3" l="1"/>
  <c r="H785" i="3" s="1"/>
  <c r="AG785" i="3"/>
  <c r="D785" i="3"/>
  <c r="K785" i="3" l="1"/>
  <c r="AE785" i="3" s="1"/>
  <c r="F785" i="3"/>
  <c r="G785" i="3"/>
  <c r="I785" i="3" l="1"/>
  <c r="J785" i="3"/>
  <c r="AD785" i="3" s="1"/>
  <c r="M785" i="3"/>
  <c r="N785" i="3" s="1"/>
  <c r="V785" i="3"/>
  <c r="A786" i="3"/>
  <c r="B786" i="3" s="1"/>
  <c r="W785" i="3" l="1"/>
  <c r="L785" i="3"/>
  <c r="Z786" i="3"/>
  <c r="AA786" i="3"/>
  <c r="P786" i="3"/>
  <c r="Q786" i="3" s="1"/>
  <c r="R786" i="3" s="1"/>
  <c r="S786" i="3" s="1"/>
  <c r="AC786" i="3"/>
  <c r="U785" i="3" l="1"/>
  <c r="Y784" i="3"/>
  <c r="T786" i="3"/>
  <c r="E786" i="3" l="1"/>
  <c r="H786" i="3" s="1"/>
  <c r="K786" i="3" s="1"/>
  <c r="AE786" i="3" s="1"/>
  <c r="AG786" i="3"/>
  <c r="D786" i="3"/>
  <c r="G786" i="3" s="1"/>
  <c r="AH786" i="3"/>
  <c r="F786" i="3" l="1"/>
  <c r="I786" i="3"/>
  <c r="J786" i="3"/>
  <c r="AD786" i="3" s="1"/>
  <c r="M786" i="3"/>
  <c r="N786" i="3" s="1"/>
  <c r="V786" i="3"/>
  <c r="A787" i="3"/>
  <c r="B787" i="3" s="1"/>
  <c r="L786" i="3" l="1"/>
  <c r="W786" i="3"/>
  <c r="AC787" i="3"/>
  <c r="P787" i="3"/>
  <c r="Q787" i="3" s="1"/>
  <c r="R787" i="3" s="1"/>
  <c r="S787" i="3" s="1"/>
  <c r="Z787" i="3"/>
  <c r="AA787" i="3"/>
  <c r="U786" i="3" l="1"/>
  <c r="Y785" i="3"/>
  <c r="T787" i="3"/>
  <c r="D787" i="3" l="1"/>
  <c r="G787" i="3" s="1"/>
  <c r="AH787" i="3"/>
  <c r="E787" i="3"/>
  <c r="H787" i="3" s="1"/>
  <c r="AG787" i="3"/>
  <c r="F787" i="3" l="1"/>
  <c r="I787" i="3"/>
  <c r="J787" i="3"/>
  <c r="AD787" i="3" s="1"/>
  <c r="M787" i="3"/>
  <c r="N787" i="3" s="1"/>
  <c r="K787" i="3"/>
  <c r="AE787" i="3" s="1"/>
  <c r="V787" i="3" l="1"/>
  <c r="W787" i="3" s="1"/>
  <c r="A788" i="3"/>
  <c r="B788" i="3" s="1"/>
  <c r="L787" i="3"/>
  <c r="U787" i="3" l="1"/>
  <c r="Y786" i="3"/>
  <c r="AC788" i="3"/>
  <c r="Z788" i="3"/>
  <c r="AA788" i="3"/>
  <c r="P788" i="3"/>
  <c r="Q788" i="3" s="1"/>
  <c r="R788" i="3" s="1"/>
  <c r="S788" i="3" s="1"/>
  <c r="T788" i="3" l="1"/>
  <c r="E788" i="3" s="1"/>
  <c r="H788" i="3" s="1"/>
  <c r="D788" i="3" l="1"/>
  <c r="F788" i="3" s="1"/>
  <c r="AG788" i="3"/>
  <c r="AH788" i="3"/>
  <c r="K788" i="3"/>
  <c r="AE788" i="3" s="1"/>
  <c r="G788" i="3" l="1"/>
  <c r="I788" i="3" s="1"/>
  <c r="V788" i="3"/>
  <c r="A789" i="3"/>
  <c r="B789" i="3" s="1"/>
  <c r="M788" i="3" l="1"/>
  <c r="N788" i="3" s="1"/>
  <c r="J788" i="3"/>
  <c r="W788" i="3"/>
  <c r="P789" i="3"/>
  <c r="Q789" i="3" s="1"/>
  <c r="R789" i="3" s="1"/>
  <c r="S789" i="3" s="1"/>
  <c r="AC789" i="3"/>
  <c r="AA789" i="3"/>
  <c r="Z789" i="3"/>
  <c r="L788" i="3" l="1"/>
  <c r="U788" i="3" s="1"/>
  <c r="AD788" i="3"/>
  <c r="T789" i="3"/>
  <c r="Y787" i="3" l="1"/>
  <c r="D789" i="3"/>
  <c r="G789" i="3" s="1"/>
  <c r="E789" i="3"/>
  <c r="H789" i="3" s="1"/>
  <c r="AH789" i="3"/>
  <c r="AG789" i="3"/>
  <c r="F789" i="3" l="1"/>
  <c r="I789" i="3"/>
  <c r="J789" i="3"/>
  <c r="AD789" i="3" s="1"/>
  <c r="M789" i="3"/>
  <c r="N789" i="3" s="1"/>
  <c r="K789" i="3"/>
  <c r="AE789" i="3" s="1"/>
  <c r="L789" i="3" l="1"/>
  <c r="V789" i="3"/>
  <c r="W789" i="3" s="1"/>
  <c r="A790" i="3"/>
  <c r="B790" i="3" s="1"/>
  <c r="AA790" i="3" l="1"/>
  <c r="AC790" i="3"/>
  <c r="Z790" i="3"/>
  <c r="P790" i="3"/>
  <c r="Q790" i="3" s="1"/>
  <c r="R790" i="3" s="1"/>
  <c r="S790" i="3" s="1"/>
  <c r="U789" i="3"/>
  <c r="Y788" i="3"/>
  <c r="T790" i="3" l="1"/>
  <c r="D790" i="3" s="1"/>
  <c r="AG790" i="3" l="1"/>
  <c r="G790" i="3"/>
  <c r="AH790" i="3"/>
  <c r="E790" i="3"/>
  <c r="H790" i="3" s="1"/>
  <c r="F790" i="3" l="1"/>
  <c r="I790" i="3"/>
  <c r="J790" i="3"/>
  <c r="AD790" i="3" s="1"/>
  <c r="M790" i="3"/>
  <c r="N790" i="3" s="1"/>
  <c r="K790" i="3"/>
  <c r="AE790" i="3" s="1"/>
  <c r="V790" i="3" l="1"/>
  <c r="W790" i="3" s="1"/>
  <c r="A791" i="3"/>
  <c r="B791" i="3" s="1"/>
  <c r="L790" i="3"/>
  <c r="U790" i="3" l="1"/>
  <c r="Y789" i="3"/>
  <c r="P791" i="3"/>
  <c r="Q791" i="3" s="1"/>
  <c r="R791" i="3" s="1"/>
  <c r="S791" i="3" s="1"/>
  <c r="AA791" i="3"/>
  <c r="AC791" i="3"/>
  <c r="Z791" i="3"/>
  <c r="T791" i="3" l="1"/>
  <c r="AG791" i="3" s="1"/>
  <c r="E791" i="3" l="1"/>
  <c r="H791" i="3" s="1"/>
  <c r="K791" i="3" s="1"/>
  <c r="AE791" i="3" s="1"/>
  <c r="D791" i="3"/>
  <c r="G791" i="3" s="1"/>
  <c r="AH791" i="3"/>
  <c r="F791" i="3" l="1"/>
  <c r="I791" i="3"/>
  <c r="J791" i="3"/>
  <c r="AD791" i="3" s="1"/>
  <c r="M791" i="3"/>
  <c r="N791" i="3" s="1"/>
  <c r="V791" i="3"/>
  <c r="A792" i="3"/>
  <c r="B792" i="3" s="1"/>
  <c r="W791" i="3" l="1"/>
  <c r="L791" i="3"/>
  <c r="P792" i="3"/>
  <c r="Q792" i="3" s="1"/>
  <c r="R792" i="3" s="1"/>
  <c r="S792" i="3" s="1"/>
  <c r="AC792" i="3"/>
  <c r="Z792" i="3"/>
  <c r="AA792" i="3"/>
  <c r="U791" i="3" l="1"/>
  <c r="Y790" i="3"/>
  <c r="T792" i="3"/>
  <c r="AG792" i="3" s="1"/>
  <c r="AH792" i="3" l="1"/>
  <c r="D792" i="3"/>
  <c r="E792" i="3"/>
  <c r="H792" i="3" s="1"/>
  <c r="F792" i="3" l="1"/>
  <c r="G792" i="3"/>
  <c r="K792" i="3"/>
  <c r="AE792" i="3" s="1"/>
  <c r="I792" i="3" l="1"/>
  <c r="J792" i="3"/>
  <c r="AD792" i="3" s="1"/>
  <c r="M792" i="3"/>
  <c r="N792" i="3" s="1"/>
  <c r="V792" i="3"/>
  <c r="A793" i="3"/>
  <c r="B793" i="3" s="1"/>
  <c r="L792" i="3" l="1"/>
  <c r="W792" i="3"/>
  <c r="AC793" i="3"/>
  <c r="Z793" i="3"/>
  <c r="P793" i="3"/>
  <c r="Q793" i="3" s="1"/>
  <c r="R793" i="3" s="1"/>
  <c r="S793" i="3" s="1"/>
  <c r="AA793" i="3"/>
  <c r="T793" i="3" l="1"/>
  <c r="U792" i="3"/>
  <c r="Y791" i="3"/>
  <c r="E793" i="3" l="1"/>
  <c r="H793" i="3" s="1"/>
  <c r="K793" i="3" s="1"/>
  <c r="AE793" i="3" s="1"/>
  <c r="D793" i="3"/>
  <c r="AG793" i="3"/>
  <c r="AH793" i="3"/>
  <c r="F793" i="3" l="1"/>
  <c r="G793" i="3"/>
  <c r="M793" i="3" s="1"/>
  <c r="N793" i="3" s="1"/>
  <c r="V793" i="3"/>
  <c r="A794" i="3"/>
  <c r="B794" i="3" s="1"/>
  <c r="I793" i="3" l="1"/>
  <c r="W793" i="3" s="1"/>
  <c r="J793" i="3"/>
  <c r="Z794" i="3"/>
  <c r="AC794" i="3"/>
  <c r="P794" i="3"/>
  <c r="Q794" i="3" s="1"/>
  <c r="R794" i="3" s="1"/>
  <c r="S794" i="3" s="1"/>
  <c r="AA794" i="3"/>
  <c r="L793" i="3" l="1"/>
  <c r="Y792" i="3" s="1"/>
  <c r="AD793" i="3"/>
  <c r="T794" i="3"/>
  <c r="U793" i="3" l="1"/>
  <c r="D794" i="3" s="1"/>
  <c r="AH794" i="3"/>
  <c r="AG794" i="3"/>
  <c r="E794" i="3" l="1"/>
  <c r="H794" i="3" s="1"/>
  <c r="K794" i="3" s="1"/>
  <c r="AE794" i="3" s="1"/>
  <c r="G794" i="3"/>
  <c r="F794" i="3" l="1"/>
  <c r="I794" i="3"/>
  <c r="J794" i="3"/>
  <c r="AD794" i="3" s="1"/>
  <c r="M794" i="3"/>
  <c r="N794" i="3" s="1"/>
  <c r="V794" i="3"/>
  <c r="A795" i="3"/>
  <c r="B795" i="3" s="1"/>
  <c r="L794" i="3" l="1"/>
  <c r="W794" i="3"/>
  <c r="P795" i="3"/>
  <c r="Q795" i="3" s="1"/>
  <c r="R795" i="3" s="1"/>
  <c r="S795" i="3" s="1"/>
  <c r="AD795" i="3"/>
  <c r="Z795" i="3"/>
  <c r="AA795" i="3"/>
  <c r="AC795" i="3"/>
  <c r="T795" i="3" l="1"/>
  <c r="U794" i="3"/>
  <c r="Y793" i="3"/>
  <c r="D795" i="3" l="1"/>
  <c r="G795" i="3" s="1"/>
  <c r="E795" i="3"/>
  <c r="H795" i="3" s="1"/>
  <c r="K795" i="3" s="1"/>
  <c r="AE795" i="3" s="1"/>
  <c r="AH795" i="3"/>
  <c r="AG795" i="3"/>
  <c r="F795" i="3" l="1"/>
  <c r="I795" i="3"/>
  <c r="J795" i="3"/>
  <c r="M795" i="3"/>
  <c r="N795" i="3" s="1"/>
  <c r="V795" i="3"/>
  <c r="A796" i="3"/>
  <c r="B796" i="3" s="1"/>
  <c r="W795" i="3" l="1"/>
  <c r="L795" i="3"/>
  <c r="Z796" i="3"/>
  <c r="AA796" i="3"/>
  <c r="AD796" i="3"/>
  <c r="AC796" i="3"/>
  <c r="P796" i="3"/>
  <c r="Q796" i="3" s="1"/>
  <c r="R796" i="3" s="1"/>
  <c r="S796" i="3" s="1"/>
  <c r="T796" i="3" l="1"/>
  <c r="U795" i="3"/>
  <c r="Y794" i="3"/>
  <c r="E796" i="3" l="1"/>
  <c r="H796" i="3" s="1"/>
  <c r="K796" i="3" s="1"/>
  <c r="AE796" i="3" s="1"/>
  <c r="AH796" i="3"/>
  <c r="AG796" i="3"/>
  <c r="D796" i="3"/>
  <c r="F796" i="3" l="1"/>
  <c r="G796" i="3"/>
  <c r="V796" i="3"/>
  <c r="A797" i="3"/>
  <c r="B797" i="3" s="1"/>
  <c r="I796" i="3" l="1"/>
  <c r="W796" i="3" s="1"/>
  <c r="J796" i="3"/>
  <c r="M796" i="3"/>
  <c r="N796" i="3" s="1"/>
  <c r="P797" i="3"/>
  <c r="Q797" i="3" s="1"/>
  <c r="R797" i="3" s="1"/>
  <c r="S797" i="3" s="1"/>
  <c r="AA797" i="3"/>
  <c r="AC797" i="3"/>
  <c r="Z797" i="3"/>
  <c r="AD797" i="3"/>
  <c r="T797" i="3" l="1"/>
  <c r="L796" i="3"/>
  <c r="AH797" i="3" l="1"/>
  <c r="AG797" i="3"/>
  <c r="U796" i="3"/>
  <c r="E797" i="3" s="1"/>
  <c r="H797" i="3" s="1"/>
  <c r="Y795" i="3"/>
  <c r="D797" i="3" l="1"/>
  <c r="G797" i="3" s="1"/>
  <c r="K797" i="3"/>
  <c r="AE797" i="3" s="1"/>
  <c r="F797" i="3" l="1"/>
  <c r="I797" i="3"/>
  <c r="J797" i="3"/>
  <c r="M797" i="3"/>
  <c r="N797" i="3" s="1"/>
  <c r="V797" i="3"/>
  <c r="A798" i="3"/>
  <c r="B798" i="3" s="1"/>
  <c r="W797" i="3" l="1"/>
  <c r="L797" i="3"/>
  <c r="Z798" i="3"/>
  <c r="AA798" i="3"/>
  <c r="P798" i="3"/>
  <c r="Q798" i="3" s="1"/>
  <c r="R798" i="3" s="1"/>
  <c r="S798" i="3" s="1"/>
  <c r="AC798" i="3"/>
  <c r="T798" i="3" l="1"/>
  <c r="U797" i="3"/>
  <c r="Y796" i="3"/>
  <c r="E798" i="3" l="1"/>
  <c r="H798" i="3" s="1"/>
  <c r="K798" i="3" s="1"/>
  <c r="AE798" i="3" s="1"/>
  <c r="D798" i="3"/>
  <c r="G798" i="3" s="1"/>
  <c r="AH798" i="3"/>
  <c r="AG798" i="3"/>
  <c r="F798" i="3" l="1"/>
  <c r="I798" i="3"/>
  <c r="J798" i="3"/>
  <c r="AD798" i="3" s="1"/>
  <c r="M798" i="3"/>
  <c r="N798" i="3" s="1"/>
  <c r="V798" i="3"/>
  <c r="A799" i="3"/>
  <c r="B799" i="3" s="1"/>
  <c r="W798" i="3" l="1"/>
  <c r="L798" i="3"/>
  <c r="Z799" i="3"/>
  <c r="P799" i="3"/>
  <c r="Q799" i="3" s="1"/>
  <c r="R799" i="3" s="1"/>
  <c r="S799" i="3" s="1"/>
  <c r="AD799" i="3"/>
  <c r="AC799" i="3"/>
  <c r="AA799" i="3"/>
  <c r="T799" i="3" l="1"/>
  <c r="AH799" i="3" s="1"/>
  <c r="U798" i="3"/>
  <c r="Y797" i="3"/>
  <c r="AG799" i="3" l="1"/>
  <c r="E799" i="3"/>
  <c r="H799" i="3" s="1"/>
  <c r="D799" i="3"/>
  <c r="K799" i="3" l="1"/>
  <c r="AE799" i="3" s="1"/>
  <c r="F799" i="3"/>
  <c r="G799" i="3"/>
  <c r="V799" i="3" l="1"/>
  <c r="A800" i="3"/>
  <c r="B800" i="3" s="1"/>
  <c r="I799" i="3"/>
  <c r="J799" i="3"/>
  <c r="M799" i="3"/>
  <c r="N799" i="3" s="1"/>
  <c r="W799" i="3" l="1"/>
  <c r="L799" i="3"/>
  <c r="AC800" i="3"/>
  <c r="AA800" i="3"/>
  <c r="P800" i="3"/>
  <c r="Q800" i="3" s="1"/>
  <c r="R800" i="3" s="1"/>
  <c r="S800" i="3" s="1"/>
  <c r="AD800" i="3"/>
  <c r="Z800" i="3"/>
  <c r="U799" i="3" l="1"/>
  <c r="Y798" i="3"/>
  <c r="T800" i="3"/>
  <c r="E800" i="3" l="1"/>
  <c r="H800" i="3" s="1"/>
  <c r="K800" i="3" s="1"/>
  <c r="AE800" i="3" s="1"/>
  <c r="D800" i="3"/>
  <c r="AG800" i="3"/>
  <c r="AH800" i="3"/>
  <c r="V800" i="3" l="1"/>
  <c r="A801" i="3"/>
  <c r="B801" i="3" s="1"/>
  <c r="F800" i="3"/>
  <c r="G800" i="3"/>
  <c r="I800" i="3" l="1"/>
  <c r="W800" i="3" s="1"/>
  <c r="J800" i="3"/>
  <c r="M800" i="3"/>
  <c r="N800" i="3" s="1"/>
  <c r="AA801" i="3"/>
  <c r="AD801" i="3"/>
  <c r="Z801" i="3"/>
  <c r="P801" i="3"/>
  <c r="Q801" i="3" s="1"/>
  <c r="R801" i="3" s="1"/>
  <c r="S801" i="3" s="1"/>
  <c r="AC801" i="3"/>
  <c r="L800" i="3" l="1"/>
  <c r="T801" i="3"/>
  <c r="AG801" i="3" l="1"/>
  <c r="AH801" i="3"/>
  <c r="U800" i="3"/>
  <c r="E801" i="3" s="1"/>
  <c r="H801" i="3" s="1"/>
  <c r="Y799" i="3"/>
  <c r="D801" i="3" l="1"/>
  <c r="G801" i="3" s="1"/>
  <c r="K801" i="3"/>
  <c r="AE801" i="3" s="1"/>
  <c r="F801" i="3" l="1"/>
  <c r="I801" i="3"/>
  <c r="J801" i="3"/>
  <c r="M801" i="3"/>
  <c r="N801" i="3" s="1"/>
  <c r="V801" i="3"/>
  <c r="A802" i="3"/>
  <c r="B802" i="3" s="1"/>
  <c r="W801" i="3" l="1"/>
  <c r="L801" i="3"/>
  <c r="Z802" i="3"/>
  <c r="P802" i="3"/>
  <c r="Q802" i="3" s="1"/>
  <c r="R802" i="3" s="1"/>
  <c r="S802" i="3" s="1"/>
  <c r="AA802" i="3"/>
  <c r="AD802" i="3"/>
  <c r="AC802" i="3"/>
  <c r="U801" i="3" l="1"/>
  <c r="Y800" i="3"/>
  <c r="T802" i="3"/>
  <c r="AG802" i="3" s="1"/>
  <c r="E802" i="3" l="1"/>
  <c r="H802" i="3" s="1"/>
  <c r="D802" i="3"/>
  <c r="AH802" i="3"/>
  <c r="K802" i="3" l="1"/>
  <c r="AE802" i="3" s="1"/>
  <c r="F802" i="3"/>
  <c r="G802" i="3"/>
  <c r="I802" i="3" l="1"/>
  <c r="J802" i="3"/>
  <c r="M802" i="3"/>
  <c r="N802" i="3" s="1"/>
  <c r="V802" i="3"/>
  <c r="A803" i="3"/>
  <c r="B803" i="3" s="1"/>
  <c r="L802" i="3" l="1"/>
  <c r="W802" i="3"/>
  <c r="Z803" i="3"/>
  <c r="AD803" i="3"/>
  <c r="AA803" i="3"/>
  <c r="AC803" i="3"/>
  <c r="P803" i="3"/>
  <c r="Q803" i="3" s="1"/>
  <c r="R803" i="3" s="1"/>
  <c r="S803" i="3" s="1"/>
  <c r="U802" i="3" l="1"/>
  <c r="Y801" i="3"/>
  <c r="T803" i="3"/>
  <c r="AG803" i="3" s="1"/>
  <c r="AH803" i="3" l="1"/>
  <c r="D803" i="3"/>
  <c r="E803" i="3"/>
  <c r="H803" i="3" s="1"/>
  <c r="F803" i="3" l="1"/>
  <c r="G803" i="3"/>
  <c r="K803" i="3"/>
  <c r="AE803" i="3" s="1"/>
  <c r="V803" i="3" l="1"/>
  <c r="A804" i="3"/>
  <c r="B804" i="3" s="1"/>
  <c r="I803" i="3"/>
  <c r="J803" i="3"/>
  <c r="M803" i="3"/>
  <c r="N803" i="3" s="1"/>
  <c r="L803" i="3" l="1"/>
  <c r="W803" i="3"/>
  <c r="AC804" i="3"/>
  <c r="P804" i="3"/>
  <c r="Q804" i="3" s="1"/>
  <c r="R804" i="3" s="1"/>
  <c r="S804" i="3" s="1"/>
  <c r="AA804" i="3"/>
  <c r="Z804" i="3"/>
  <c r="U803" i="3" l="1"/>
  <c r="Y802" i="3"/>
  <c r="T804" i="3"/>
  <c r="AH804" i="3" s="1"/>
  <c r="D804" i="3" l="1"/>
  <c r="G804" i="3" s="1"/>
  <c r="AG804" i="3"/>
  <c r="E804" i="3"/>
  <c r="H804" i="3" s="1"/>
  <c r="K804" i="3" s="1"/>
  <c r="AE804" i="3" s="1"/>
  <c r="F804" i="3" l="1"/>
  <c r="I804" i="3"/>
  <c r="J804" i="3"/>
  <c r="AD804" i="3" s="1"/>
  <c r="M804" i="3"/>
  <c r="N804" i="3" s="1"/>
  <c r="V804" i="3"/>
  <c r="A805" i="3"/>
  <c r="B805" i="3" s="1"/>
  <c r="W804" i="3" l="1"/>
  <c r="L804" i="3"/>
  <c r="Z805" i="3"/>
  <c r="P805" i="3"/>
  <c r="Q805" i="3" s="1"/>
  <c r="R805" i="3" s="1"/>
  <c r="S805" i="3" s="1"/>
  <c r="AD805" i="3"/>
  <c r="AC805" i="3"/>
  <c r="AA805" i="3"/>
  <c r="T805" i="3" l="1"/>
  <c r="AH805" i="3" s="1"/>
  <c r="U804" i="3"/>
  <c r="Y803" i="3"/>
  <c r="E805" i="3" l="1"/>
  <c r="H805" i="3" s="1"/>
  <c r="AG805" i="3"/>
  <c r="D805" i="3"/>
  <c r="K805" i="3" l="1"/>
  <c r="AE805" i="3" s="1"/>
  <c r="F805" i="3"/>
  <c r="G805" i="3"/>
  <c r="I805" i="3" l="1"/>
  <c r="J805" i="3"/>
  <c r="M805" i="3"/>
  <c r="N805" i="3" s="1"/>
  <c r="V805" i="3"/>
  <c r="A806" i="3"/>
  <c r="B806" i="3" s="1"/>
  <c r="W805" i="3" l="1"/>
  <c r="L805" i="3"/>
  <c r="Z806" i="3"/>
  <c r="AA806" i="3"/>
  <c r="P806" i="3"/>
  <c r="Q806" i="3" s="1"/>
  <c r="R806" i="3" s="1"/>
  <c r="S806" i="3" s="1"/>
  <c r="AC806" i="3"/>
  <c r="AD806" i="3"/>
  <c r="T806" i="3" l="1"/>
  <c r="U805" i="3"/>
  <c r="Y804" i="3"/>
  <c r="D806" i="3" l="1"/>
  <c r="G806" i="3" s="1"/>
  <c r="AH806" i="3"/>
  <c r="AG806" i="3"/>
  <c r="E806" i="3"/>
  <c r="H806" i="3" s="1"/>
  <c r="K806" i="3" l="1"/>
  <c r="AE806" i="3" s="1"/>
  <c r="I806" i="3"/>
  <c r="J806" i="3"/>
  <c r="M806" i="3"/>
  <c r="N806" i="3" s="1"/>
  <c r="F806" i="3"/>
  <c r="L806" i="3" l="1"/>
  <c r="V806" i="3"/>
  <c r="W806" i="3" s="1"/>
  <c r="A807" i="3"/>
  <c r="B807" i="3" s="1"/>
  <c r="AC807" i="3" l="1"/>
  <c r="P807" i="3"/>
  <c r="Q807" i="3" s="1"/>
  <c r="R807" i="3" s="1"/>
  <c r="S807" i="3" s="1"/>
  <c r="AA807" i="3"/>
  <c r="AD807" i="3"/>
  <c r="Z807" i="3"/>
  <c r="U806" i="3"/>
  <c r="Y805" i="3"/>
  <c r="T807" i="3" l="1"/>
  <c r="AH807" i="3" l="1"/>
  <c r="AG807" i="3"/>
  <c r="E807" i="3"/>
  <c r="H807" i="3" s="1"/>
  <c r="D807" i="3"/>
  <c r="K807" i="3" l="1"/>
  <c r="AE807" i="3" s="1"/>
  <c r="F807" i="3"/>
  <c r="G807" i="3"/>
  <c r="I807" i="3" l="1"/>
  <c r="J807" i="3"/>
  <c r="M807" i="3"/>
  <c r="N807" i="3" s="1"/>
  <c r="V807" i="3"/>
  <c r="A808" i="3"/>
  <c r="B808" i="3" s="1"/>
  <c r="W807" i="3" l="1"/>
  <c r="L807" i="3"/>
  <c r="P808" i="3"/>
  <c r="Q808" i="3" s="1"/>
  <c r="R808" i="3" s="1"/>
  <c r="S808" i="3" s="1"/>
  <c r="AA808" i="3"/>
  <c r="Z808" i="3"/>
  <c r="AC808" i="3"/>
  <c r="U807" i="3" l="1"/>
  <c r="Y806" i="3"/>
  <c r="T808" i="3"/>
  <c r="AH808" i="3" s="1"/>
  <c r="D808" i="3" l="1"/>
  <c r="G808" i="3" s="1"/>
  <c r="E808" i="3"/>
  <c r="H808" i="3" s="1"/>
  <c r="K808" i="3" s="1"/>
  <c r="AE808" i="3" s="1"/>
  <c r="AG808" i="3"/>
  <c r="F808" i="3" l="1"/>
  <c r="I808" i="3"/>
  <c r="J808" i="3"/>
  <c r="AD808" i="3" s="1"/>
  <c r="M808" i="3"/>
  <c r="N808" i="3" s="1"/>
  <c r="V808" i="3"/>
  <c r="A809" i="3"/>
  <c r="B809" i="3" s="1"/>
  <c r="W808" i="3" l="1"/>
  <c r="AC809" i="3"/>
  <c r="Z809" i="3"/>
  <c r="AA809" i="3"/>
  <c r="P809" i="3"/>
  <c r="Q809" i="3" s="1"/>
  <c r="R809" i="3" s="1"/>
  <c r="S809" i="3" s="1"/>
  <c r="AD809" i="3"/>
  <c r="L808" i="3"/>
  <c r="T809" i="3" l="1"/>
  <c r="U808" i="3"/>
  <c r="Y807" i="3"/>
  <c r="E809" i="3" l="1"/>
  <c r="H809" i="3" s="1"/>
  <c r="K809" i="3" s="1"/>
  <c r="AE809" i="3" s="1"/>
  <c r="AG809" i="3"/>
  <c r="D809" i="3"/>
  <c r="AH809" i="3"/>
  <c r="V809" i="3" l="1"/>
  <c r="A810" i="3"/>
  <c r="B810" i="3" s="1"/>
  <c r="F809" i="3"/>
  <c r="G809" i="3"/>
  <c r="I809" i="3" l="1"/>
  <c r="W809" i="3" s="1"/>
  <c r="J809" i="3"/>
  <c r="M809" i="3"/>
  <c r="N809" i="3" s="1"/>
  <c r="AD810" i="3"/>
  <c r="P810" i="3"/>
  <c r="Q810" i="3" s="1"/>
  <c r="R810" i="3" s="1"/>
  <c r="S810" i="3" s="1"/>
  <c r="AA810" i="3"/>
  <c r="AC810" i="3"/>
  <c r="Z810" i="3"/>
  <c r="T810" i="3" l="1"/>
  <c r="L809" i="3"/>
  <c r="AH810" i="3" l="1"/>
  <c r="AG810" i="3"/>
  <c r="U809" i="3"/>
  <c r="E810" i="3" s="1"/>
  <c r="H810" i="3" s="1"/>
  <c r="Y808" i="3"/>
  <c r="D810" i="3" l="1"/>
  <c r="G810" i="3" s="1"/>
  <c r="K810" i="3"/>
  <c r="AE810" i="3" s="1"/>
  <c r="F810" i="3" l="1"/>
  <c r="I810" i="3"/>
  <c r="J810" i="3"/>
  <c r="M810" i="3"/>
  <c r="N810" i="3" s="1"/>
  <c r="V810" i="3"/>
  <c r="A811" i="3"/>
  <c r="B811" i="3" s="1"/>
  <c r="L810" i="3" l="1"/>
  <c r="W810" i="3"/>
  <c r="AA811" i="3"/>
  <c r="P811" i="3"/>
  <c r="Q811" i="3" s="1"/>
  <c r="R811" i="3" s="1"/>
  <c r="S811" i="3" s="1"/>
  <c r="Z811" i="3"/>
  <c r="AD811" i="3"/>
  <c r="AC811" i="3"/>
  <c r="U810" i="3" l="1"/>
  <c r="Y809" i="3"/>
  <c r="T811" i="3"/>
  <c r="E811" i="3" l="1"/>
  <c r="H811" i="3" s="1"/>
  <c r="K811" i="3" s="1"/>
  <c r="AE811" i="3" s="1"/>
  <c r="AH811" i="3"/>
  <c r="AG811" i="3"/>
  <c r="D811" i="3"/>
  <c r="V811" i="3" l="1"/>
  <c r="A812" i="3"/>
  <c r="B812" i="3" s="1"/>
  <c r="F811" i="3"/>
  <c r="G811" i="3"/>
  <c r="I811" i="3" l="1"/>
  <c r="W811" i="3" s="1"/>
  <c r="J811" i="3"/>
  <c r="M811" i="3"/>
  <c r="N811" i="3" s="1"/>
  <c r="Z812" i="3"/>
  <c r="AA812" i="3"/>
  <c r="AD812" i="3"/>
  <c r="P812" i="3"/>
  <c r="Q812" i="3" s="1"/>
  <c r="R812" i="3" s="1"/>
  <c r="S812" i="3" s="1"/>
  <c r="AC812" i="3"/>
  <c r="T812" i="3" l="1"/>
  <c r="L811" i="3"/>
  <c r="AG812" i="3" l="1"/>
  <c r="U811" i="3"/>
  <c r="D812" i="3" s="1"/>
  <c r="AH812" i="3"/>
  <c r="Y810" i="3"/>
  <c r="G812" i="3" l="1"/>
  <c r="E812" i="3"/>
  <c r="H812" i="3" s="1"/>
  <c r="I812" i="3" l="1"/>
  <c r="J812" i="3"/>
  <c r="M812" i="3"/>
  <c r="N812" i="3" s="1"/>
  <c r="F812" i="3"/>
  <c r="K812" i="3"/>
  <c r="AE812" i="3" s="1"/>
  <c r="L812" i="3" l="1"/>
  <c r="V812" i="3"/>
  <c r="W812" i="3" s="1"/>
  <c r="A813" i="3"/>
  <c r="B813" i="3" s="1"/>
  <c r="U812" i="3" l="1"/>
  <c r="Y811" i="3"/>
  <c r="AA813" i="3"/>
  <c r="P813" i="3"/>
  <c r="Q813" i="3" s="1"/>
  <c r="R813" i="3" s="1"/>
  <c r="S813" i="3" s="1"/>
  <c r="Z813" i="3"/>
  <c r="AC813" i="3"/>
  <c r="AD813" i="3"/>
  <c r="T813" i="3" l="1"/>
  <c r="AG813" i="3" s="1"/>
  <c r="AH813" i="3" l="1"/>
  <c r="D813" i="3"/>
  <c r="E813" i="3"/>
  <c r="H813" i="3" s="1"/>
  <c r="F813" i="3" l="1"/>
  <c r="G813" i="3"/>
  <c r="K813" i="3"/>
  <c r="AE813" i="3" s="1"/>
  <c r="I813" i="3" l="1"/>
  <c r="J813" i="3"/>
  <c r="M813" i="3"/>
  <c r="N813" i="3" s="1"/>
  <c r="V813" i="3"/>
  <c r="A814" i="3"/>
  <c r="B814" i="3" s="1"/>
  <c r="W813" i="3" l="1"/>
  <c r="L813" i="3"/>
  <c r="P814" i="3"/>
  <c r="Q814" i="3" s="1"/>
  <c r="R814" i="3" s="1"/>
  <c r="S814" i="3" s="1"/>
  <c r="AA814" i="3"/>
  <c r="Z814" i="3"/>
  <c r="AC814" i="3"/>
  <c r="U813" i="3" l="1"/>
  <c r="Y812" i="3"/>
  <c r="T814" i="3"/>
  <c r="D814" i="3" l="1"/>
  <c r="G814" i="3" s="1"/>
  <c r="E814" i="3"/>
  <c r="H814" i="3" s="1"/>
  <c r="K814" i="3" s="1"/>
  <c r="AE814" i="3" s="1"/>
  <c r="AH814" i="3"/>
  <c r="AG814" i="3"/>
  <c r="F814" i="3" l="1"/>
  <c r="I814" i="3"/>
  <c r="J814" i="3"/>
  <c r="AD814" i="3" s="1"/>
  <c r="M814" i="3"/>
  <c r="N814" i="3" s="1"/>
  <c r="V814" i="3"/>
  <c r="A815" i="3"/>
  <c r="B815" i="3" s="1"/>
  <c r="W814" i="3" l="1"/>
  <c r="L814" i="3"/>
  <c r="AA815" i="3"/>
  <c r="AD815" i="3"/>
  <c r="AC815" i="3"/>
  <c r="Z815" i="3"/>
  <c r="P815" i="3"/>
  <c r="Q815" i="3" s="1"/>
  <c r="R815" i="3" s="1"/>
  <c r="S815" i="3" s="1"/>
  <c r="T815" i="3" l="1"/>
  <c r="AH815" i="3" s="1"/>
  <c r="U814" i="3"/>
  <c r="Y813" i="3"/>
  <c r="AG815" i="3" l="1"/>
  <c r="E815" i="3"/>
  <c r="H815" i="3" s="1"/>
  <c r="D815" i="3"/>
  <c r="K815" i="3" l="1"/>
  <c r="AE815" i="3" s="1"/>
  <c r="F815" i="3"/>
  <c r="G815" i="3"/>
  <c r="V815" i="3" l="1"/>
  <c r="A816" i="3"/>
  <c r="B816" i="3" s="1"/>
  <c r="I815" i="3"/>
  <c r="J815" i="3"/>
  <c r="M815" i="3"/>
  <c r="N815" i="3" s="1"/>
  <c r="W815" i="3" l="1"/>
  <c r="L815" i="3"/>
  <c r="P816" i="3"/>
  <c r="Q816" i="3" s="1"/>
  <c r="R816" i="3" s="1"/>
  <c r="S816" i="3" s="1"/>
  <c r="AC816" i="3"/>
  <c r="AD816" i="3"/>
  <c r="AA816" i="3"/>
  <c r="Z816" i="3"/>
  <c r="T816" i="3" l="1"/>
  <c r="U815" i="3"/>
  <c r="Y814" i="3"/>
  <c r="E816" i="3" l="1"/>
  <c r="H816" i="3" s="1"/>
  <c r="K816" i="3" s="1"/>
  <c r="AE816" i="3" s="1"/>
  <c r="D816" i="3"/>
  <c r="G816" i="3" s="1"/>
  <c r="AG816" i="3"/>
  <c r="AH816" i="3"/>
  <c r="F816" i="3" l="1"/>
  <c r="I816" i="3"/>
  <c r="J816" i="3"/>
  <c r="M816" i="3"/>
  <c r="N816" i="3" s="1"/>
  <c r="V816" i="3"/>
  <c r="A817" i="3"/>
  <c r="B817" i="3" s="1"/>
  <c r="W816" i="3" l="1"/>
  <c r="L816" i="3"/>
  <c r="P817" i="3"/>
  <c r="Q817" i="3" s="1"/>
  <c r="R817" i="3" s="1"/>
  <c r="S817" i="3" s="1"/>
  <c r="AD817" i="3"/>
  <c r="Z817" i="3"/>
  <c r="AA817" i="3"/>
  <c r="AC817" i="3"/>
  <c r="U816" i="3" l="1"/>
  <c r="Y815" i="3"/>
  <c r="T817" i="3"/>
  <c r="AG817" i="3" s="1"/>
  <c r="E817" i="3" l="1"/>
  <c r="H817" i="3" s="1"/>
  <c r="AH817" i="3"/>
  <c r="D817" i="3"/>
  <c r="F817" i="3" l="1"/>
  <c r="G817" i="3"/>
  <c r="K817" i="3"/>
  <c r="AE817" i="3" s="1"/>
  <c r="V817" i="3" l="1"/>
  <c r="A818" i="3"/>
  <c r="B818" i="3" s="1"/>
  <c r="I817" i="3"/>
  <c r="J817" i="3"/>
  <c r="M817" i="3"/>
  <c r="N817" i="3" s="1"/>
  <c r="W817" i="3" l="1"/>
  <c r="L817" i="3"/>
  <c r="Z818" i="3"/>
  <c r="AA818" i="3"/>
  <c r="P818" i="3"/>
  <c r="Q818" i="3" s="1"/>
  <c r="R818" i="3" s="1"/>
  <c r="S818" i="3" s="1"/>
  <c r="AC818" i="3"/>
  <c r="T818" i="3" l="1"/>
  <c r="U817" i="3"/>
  <c r="Y816" i="3"/>
  <c r="E818" i="3" l="1"/>
  <c r="H818" i="3" s="1"/>
  <c r="K818" i="3" s="1"/>
  <c r="AE818" i="3" s="1"/>
  <c r="D818" i="3"/>
  <c r="G818" i="3" s="1"/>
  <c r="AH818" i="3"/>
  <c r="AG818" i="3"/>
  <c r="F818" i="3" l="1"/>
  <c r="V818" i="3"/>
  <c r="A819" i="3"/>
  <c r="B819" i="3" s="1"/>
  <c r="I818" i="3"/>
  <c r="J818" i="3"/>
  <c r="AD818" i="3" s="1"/>
  <c r="M818" i="3"/>
  <c r="N818" i="3" s="1"/>
  <c r="W818" i="3" l="1"/>
  <c r="L818" i="3"/>
  <c r="AD819" i="3"/>
  <c r="AC819" i="3"/>
  <c r="AA819" i="3"/>
  <c r="Z819" i="3"/>
  <c r="P819" i="3"/>
  <c r="Q819" i="3" s="1"/>
  <c r="R819" i="3" s="1"/>
  <c r="S819" i="3" s="1"/>
  <c r="T819" i="3" l="1"/>
  <c r="AG819" i="3" s="1"/>
  <c r="U818" i="3"/>
  <c r="Y817" i="3"/>
  <c r="AH819" i="3" l="1"/>
  <c r="E819" i="3"/>
  <c r="H819" i="3" s="1"/>
  <c r="K819" i="3" s="1"/>
  <c r="AE819" i="3" s="1"/>
  <c r="D819" i="3"/>
  <c r="V819" i="3" l="1"/>
  <c r="A820" i="3"/>
  <c r="B820" i="3" s="1"/>
  <c r="F819" i="3"/>
  <c r="G819" i="3"/>
  <c r="I819" i="3" l="1"/>
  <c r="W819" i="3" s="1"/>
  <c r="J819" i="3"/>
  <c r="M819" i="3"/>
  <c r="N819" i="3" s="1"/>
  <c r="Z820" i="3"/>
  <c r="AD820" i="3"/>
  <c r="AA820" i="3"/>
  <c r="P820" i="3"/>
  <c r="Q820" i="3" s="1"/>
  <c r="R820" i="3" s="1"/>
  <c r="S820" i="3" s="1"/>
  <c r="AC820" i="3"/>
  <c r="T820" i="3" l="1"/>
  <c r="L819" i="3"/>
  <c r="U819" i="3" l="1"/>
  <c r="E820" i="3" s="1"/>
  <c r="H820" i="3" s="1"/>
  <c r="AG820" i="3"/>
  <c r="AH820" i="3"/>
  <c r="Y818" i="3"/>
  <c r="D820" i="3" l="1"/>
  <c r="G820" i="3" s="1"/>
  <c r="K820" i="3"/>
  <c r="AE820" i="3" s="1"/>
  <c r="F820" i="3" l="1"/>
  <c r="I820" i="3"/>
  <c r="J820" i="3"/>
  <c r="M820" i="3"/>
  <c r="N820" i="3" s="1"/>
  <c r="V820" i="3"/>
  <c r="A821" i="3"/>
  <c r="B821" i="3" s="1"/>
  <c r="W820" i="3" l="1"/>
  <c r="L820" i="3"/>
  <c r="P821" i="3"/>
  <c r="Q821" i="3" s="1"/>
  <c r="R821" i="3" s="1"/>
  <c r="S821" i="3" s="1"/>
  <c r="AA821" i="3"/>
  <c r="Z821" i="3"/>
  <c r="AD821" i="3"/>
  <c r="AC821" i="3"/>
  <c r="U820" i="3" l="1"/>
  <c r="Y819" i="3"/>
  <c r="T821" i="3"/>
  <c r="AH821" i="3" s="1"/>
  <c r="AG821" i="3" l="1"/>
  <c r="D821" i="3"/>
  <c r="G821" i="3" s="1"/>
  <c r="E821" i="3"/>
  <c r="H821" i="3" s="1"/>
  <c r="F821" i="3" l="1"/>
  <c r="K821" i="3"/>
  <c r="AE821" i="3" s="1"/>
  <c r="I821" i="3"/>
  <c r="J821" i="3"/>
  <c r="M821" i="3"/>
  <c r="N821" i="3" s="1"/>
  <c r="L821" i="3" l="1"/>
  <c r="V821" i="3"/>
  <c r="W821" i="3" s="1"/>
  <c r="A822" i="3"/>
  <c r="B822" i="3" s="1"/>
  <c r="P822" i="3" l="1"/>
  <c r="Q822" i="3" s="1"/>
  <c r="R822" i="3" s="1"/>
  <c r="S822" i="3" s="1"/>
  <c r="AA822" i="3"/>
  <c r="Z822" i="3"/>
  <c r="AC822" i="3"/>
  <c r="AD822" i="3"/>
  <c r="U821" i="3"/>
  <c r="Y820" i="3"/>
  <c r="T822" i="3" l="1"/>
  <c r="AH822" i="3" s="1"/>
  <c r="D822" i="3" l="1"/>
  <c r="E822" i="3"/>
  <c r="H822" i="3" s="1"/>
  <c r="AG822" i="3"/>
  <c r="K822" i="3" l="1"/>
  <c r="AE822" i="3" s="1"/>
  <c r="F822" i="3"/>
  <c r="G822" i="3"/>
  <c r="I822" i="3" l="1"/>
  <c r="J822" i="3"/>
  <c r="M822" i="3"/>
  <c r="N822" i="3" s="1"/>
  <c r="V822" i="3"/>
  <c r="A823" i="3"/>
  <c r="B823" i="3" s="1"/>
  <c r="W822" i="3" l="1"/>
  <c r="L822" i="3"/>
  <c r="AC823" i="3"/>
  <c r="Z823" i="3"/>
  <c r="P823" i="3"/>
  <c r="Q823" i="3" s="1"/>
  <c r="R823" i="3" s="1"/>
  <c r="S823" i="3" s="1"/>
  <c r="AD823" i="3"/>
  <c r="AA823" i="3"/>
  <c r="U822" i="3" l="1"/>
  <c r="Y821" i="3"/>
  <c r="T823" i="3"/>
  <c r="D823" i="3" l="1"/>
  <c r="G823" i="3" s="1"/>
  <c r="E823" i="3"/>
  <c r="H823" i="3" s="1"/>
  <c r="AG823" i="3"/>
  <c r="AH823" i="3"/>
  <c r="F823" i="3" l="1"/>
  <c r="I823" i="3"/>
  <c r="J823" i="3"/>
  <c r="M823" i="3"/>
  <c r="N823" i="3" s="1"/>
  <c r="K823" i="3"/>
  <c r="AE823" i="3" s="1"/>
  <c r="V823" i="3" l="1"/>
  <c r="W823" i="3" s="1"/>
  <c r="A824" i="3"/>
  <c r="B824" i="3" s="1"/>
  <c r="L823" i="3"/>
  <c r="U823" i="3" l="1"/>
  <c r="Y822" i="3"/>
  <c r="Z824" i="3"/>
  <c r="P824" i="3"/>
  <c r="Q824" i="3" s="1"/>
  <c r="R824" i="3" s="1"/>
  <c r="S824" i="3" s="1"/>
  <c r="AC824" i="3"/>
  <c r="AA824" i="3"/>
  <c r="T824" i="3" l="1"/>
  <c r="D824" i="3" s="1"/>
  <c r="AH824" i="3" l="1"/>
  <c r="E824" i="3"/>
  <c r="H824" i="3" s="1"/>
  <c r="K824" i="3" s="1"/>
  <c r="AE824" i="3" s="1"/>
  <c r="AG824" i="3"/>
  <c r="G824" i="3"/>
  <c r="F824" i="3" l="1"/>
  <c r="V824" i="3"/>
  <c r="A825" i="3"/>
  <c r="B825" i="3" s="1"/>
  <c r="I824" i="3"/>
  <c r="J824" i="3"/>
  <c r="AD824" i="3" s="1"/>
  <c r="M824" i="3"/>
  <c r="N824" i="3" s="1"/>
  <c r="L824" i="3" l="1"/>
  <c r="W824" i="3"/>
  <c r="Z825" i="3"/>
  <c r="AC825" i="3"/>
  <c r="P825" i="3"/>
  <c r="Q825" i="3" s="1"/>
  <c r="R825" i="3" s="1"/>
  <c r="S825" i="3" s="1"/>
  <c r="AA825" i="3"/>
  <c r="AD825" i="3"/>
  <c r="T825" i="3" l="1"/>
  <c r="AG825" i="3" s="1"/>
  <c r="U824" i="3"/>
  <c r="Y823" i="3"/>
  <c r="D825" i="3" l="1"/>
  <c r="E825" i="3"/>
  <c r="H825" i="3" s="1"/>
  <c r="AH825" i="3"/>
  <c r="F825" i="3" l="1"/>
  <c r="G825" i="3"/>
  <c r="K825" i="3"/>
  <c r="AE825" i="3" s="1"/>
  <c r="I825" i="3" l="1"/>
  <c r="J825" i="3"/>
  <c r="M825" i="3"/>
  <c r="N825" i="3" s="1"/>
  <c r="V825" i="3"/>
  <c r="A826" i="3"/>
  <c r="B826" i="3" s="1"/>
  <c r="W825" i="3" l="1"/>
  <c r="L825" i="3"/>
  <c r="P826" i="3"/>
  <c r="Q826" i="3" s="1"/>
  <c r="R826" i="3" s="1"/>
  <c r="S826" i="3" s="1"/>
  <c r="Z826" i="3"/>
  <c r="AA826" i="3"/>
  <c r="AD826" i="3"/>
  <c r="AC826" i="3"/>
  <c r="U825" i="3" l="1"/>
  <c r="Y824" i="3"/>
  <c r="T826" i="3"/>
  <c r="AG826" i="3" s="1"/>
  <c r="E826" i="3" l="1"/>
  <c r="H826" i="3" s="1"/>
  <c r="K826" i="3" s="1"/>
  <c r="AE826" i="3" s="1"/>
  <c r="AH826" i="3"/>
  <c r="D826" i="3"/>
  <c r="G826" i="3" s="1"/>
  <c r="F826" i="3" l="1"/>
  <c r="I826" i="3"/>
  <c r="J826" i="3"/>
  <c r="M826" i="3"/>
  <c r="N826" i="3" s="1"/>
  <c r="V826" i="3"/>
  <c r="A827" i="3"/>
  <c r="B827" i="3" s="1"/>
  <c r="W826" i="3" l="1"/>
  <c r="L826" i="3"/>
  <c r="Z827" i="3"/>
  <c r="AA827" i="3"/>
  <c r="AD827" i="3"/>
  <c r="P827" i="3"/>
  <c r="Q827" i="3" s="1"/>
  <c r="R827" i="3" s="1"/>
  <c r="S827" i="3" s="1"/>
  <c r="AC827" i="3"/>
  <c r="U826" i="3" l="1"/>
  <c r="Y825" i="3"/>
  <c r="T827" i="3"/>
  <c r="AH827" i="3" s="1"/>
  <c r="D827" i="3" l="1"/>
  <c r="G827" i="3" s="1"/>
  <c r="E827" i="3"/>
  <c r="H827" i="3" s="1"/>
  <c r="K827" i="3" s="1"/>
  <c r="AE827" i="3" s="1"/>
  <c r="AG827" i="3"/>
  <c r="F827" i="3" l="1"/>
  <c r="V827" i="3"/>
  <c r="A828" i="3"/>
  <c r="B828" i="3" s="1"/>
  <c r="I827" i="3"/>
  <c r="J827" i="3"/>
  <c r="M827" i="3"/>
  <c r="N827" i="3" s="1"/>
  <c r="W827" i="3" l="1"/>
  <c r="L827" i="3"/>
  <c r="P828" i="3"/>
  <c r="Q828" i="3" s="1"/>
  <c r="R828" i="3" s="1"/>
  <c r="S828" i="3" s="1"/>
  <c r="AC828" i="3"/>
  <c r="AA828" i="3"/>
  <c r="Z828" i="3"/>
  <c r="U827" i="3" l="1"/>
  <c r="Y826" i="3"/>
  <c r="T828" i="3"/>
  <c r="D828" i="3" l="1"/>
  <c r="G828" i="3" s="1"/>
  <c r="AG828" i="3"/>
  <c r="AH828" i="3"/>
  <c r="E828" i="3"/>
  <c r="H828" i="3" s="1"/>
  <c r="F828" i="3" l="1"/>
  <c r="I828" i="3"/>
  <c r="J828" i="3"/>
  <c r="AD828" i="3" s="1"/>
  <c r="M828" i="3"/>
  <c r="N828" i="3" s="1"/>
  <c r="K828" i="3"/>
  <c r="AE828" i="3" s="1"/>
  <c r="V828" i="3" l="1"/>
  <c r="W828" i="3" s="1"/>
  <c r="A829" i="3"/>
  <c r="B829" i="3" s="1"/>
  <c r="L828" i="3"/>
  <c r="U828" i="3" l="1"/>
  <c r="Y827" i="3"/>
  <c r="AC829" i="3"/>
  <c r="Z829" i="3"/>
  <c r="AA829" i="3"/>
  <c r="P829" i="3"/>
  <c r="Q829" i="3" s="1"/>
  <c r="R829" i="3" s="1"/>
  <c r="S829" i="3" s="1"/>
  <c r="AD829" i="3"/>
  <c r="T829" i="3" l="1"/>
  <c r="E829" i="3" s="1"/>
  <c r="H829" i="3" s="1"/>
  <c r="AH829" i="3" l="1"/>
  <c r="D829" i="3"/>
  <c r="G829" i="3" s="1"/>
  <c r="AG829" i="3"/>
  <c r="K829" i="3"/>
  <c r="AE829" i="3" s="1"/>
  <c r="F829" i="3" l="1"/>
  <c r="I829" i="3"/>
  <c r="J829" i="3"/>
  <c r="M829" i="3"/>
  <c r="N829" i="3" s="1"/>
  <c r="V829" i="3"/>
  <c r="A830" i="3"/>
  <c r="B830" i="3" s="1"/>
  <c r="W829" i="3" l="1"/>
  <c r="L829" i="3"/>
  <c r="AA830" i="3"/>
  <c r="Z830" i="3"/>
  <c r="AC830" i="3"/>
  <c r="AD830" i="3"/>
  <c r="P830" i="3"/>
  <c r="Q830" i="3" s="1"/>
  <c r="R830" i="3" s="1"/>
  <c r="S830" i="3" s="1"/>
  <c r="U829" i="3" l="1"/>
  <c r="Y828" i="3"/>
  <c r="T830" i="3"/>
  <c r="D830" i="3" l="1"/>
  <c r="G830" i="3" s="1"/>
  <c r="E830" i="3"/>
  <c r="H830" i="3" s="1"/>
  <c r="AG830" i="3"/>
  <c r="AH830" i="3"/>
  <c r="F830" i="3" l="1"/>
  <c r="I830" i="3"/>
  <c r="J830" i="3"/>
  <c r="M830" i="3"/>
  <c r="N830" i="3" s="1"/>
  <c r="K830" i="3"/>
  <c r="AE830" i="3" s="1"/>
  <c r="V830" i="3" l="1"/>
  <c r="W830" i="3" s="1"/>
  <c r="A831" i="3"/>
  <c r="B831" i="3" s="1"/>
  <c r="L830" i="3"/>
  <c r="U830" i="3" l="1"/>
  <c r="Y829" i="3"/>
  <c r="Z831" i="3"/>
  <c r="P831" i="3"/>
  <c r="Q831" i="3" s="1"/>
  <c r="R831" i="3" s="1"/>
  <c r="S831" i="3" s="1"/>
  <c r="AA831" i="3"/>
  <c r="AD831" i="3"/>
  <c r="AC831" i="3"/>
  <c r="T831" i="3" l="1"/>
  <c r="AH831" i="3" s="1"/>
  <c r="E831" i="3" l="1"/>
  <c r="H831" i="3" s="1"/>
  <c r="K831" i="3" s="1"/>
  <c r="AE831" i="3" s="1"/>
  <c r="D831" i="3"/>
  <c r="G831" i="3" s="1"/>
  <c r="AG831" i="3"/>
  <c r="F831" i="3" l="1"/>
  <c r="I831" i="3"/>
  <c r="J831" i="3"/>
  <c r="M831" i="3"/>
  <c r="N831" i="3" s="1"/>
  <c r="V831" i="3"/>
  <c r="A832" i="3"/>
  <c r="B832" i="3" s="1"/>
  <c r="W831" i="3" l="1"/>
  <c r="L831" i="3"/>
  <c r="P832" i="3"/>
  <c r="Q832" i="3" s="1"/>
  <c r="R832" i="3" s="1"/>
  <c r="S832" i="3" s="1"/>
  <c r="AC832" i="3"/>
  <c r="AD832" i="3"/>
  <c r="Z832" i="3"/>
  <c r="AA832" i="3"/>
  <c r="U831" i="3" l="1"/>
  <c r="Y830" i="3"/>
  <c r="T832" i="3"/>
  <c r="AH832" i="3" s="1"/>
  <c r="D832" i="3" l="1"/>
  <c r="G832" i="3" s="1"/>
  <c r="AG832" i="3"/>
  <c r="E832" i="3"/>
  <c r="H832" i="3" s="1"/>
  <c r="K832" i="3" l="1"/>
  <c r="AE832" i="3" s="1"/>
  <c r="I832" i="3"/>
  <c r="J832" i="3"/>
  <c r="M832" i="3"/>
  <c r="N832" i="3" s="1"/>
  <c r="F832" i="3"/>
  <c r="L832" i="3" l="1"/>
  <c r="V832" i="3"/>
  <c r="W832" i="3" s="1"/>
  <c r="A833" i="3"/>
  <c r="B833" i="3" s="1"/>
  <c r="U832" i="3" l="1"/>
  <c r="Y831" i="3"/>
  <c r="Z833" i="3"/>
  <c r="AC833" i="3"/>
  <c r="P833" i="3"/>
  <c r="Q833" i="3" s="1"/>
  <c r="R833" i="3" s="1"/>
  <c r="S833" i="3" s="1"/>
  <c r="AD833" i="3"/>
  <c r="AA833" i="3"/>
  <c r="T833" i="3" l="1"/>
  <c r="AH833" i="3" s="1"/>
  <c r="E833" i="3" l="1"/>
  <c r="H833" i="3" s="1"/>
  <c r="K833" i="3" s="1"/>
  <c r="AE833" i="3" s="1"/>
  <c r="AG833" i="3"/>
  <c r="D833" i="3"/>
  <c r="G833" i="3" s="1"/>
  <c r="F833" i="3" l="1"/>
  <c r="I833" i="3"/>
  <c r="J833" i="3"/>
  <c r="M833" i="3"/>
  <c r="N833" i="3" s="1"/>
  <c r="V833" i="3"/>
  <c r="A834" i="3"/>
  <c r="B834" i="3" s="1"/>
  <c r="L833" i="3" l="1"/>
  <c r="W833" i="3"/>
  <c r="AC834" i="3"/>
  <c r="P834" i="3"/>
  <c r="Q834" i="3" s="1"/>
  <c r="R834" i="3" s="1"/>
  <c r="S834" i="3" s="1"/>
  <c r="AA834" i="3"/>
  <c r="Z834" i="3"/>
  <c r="U833" i="3" l="1"/>
  <c r="Y832" i="3"/>
  <c r="T834" i="3"/>
  <c r="D834" i="3" l="1"/>
  <c r="G834" i="3" s="1"/>
  <c r="E834" i="3"/>
  <c r="H834" i="3" s="1"/>
  <c r="K834" i="3" s="1"/>
  <c r="AE834" i="3" s="1"/>
  <c r="AH834" i="3"/>
  <c r="AG834" i="3"/>
  <c r="F834" i="3" l="1"/>
  <c r="V834" i="3"/>
  <c r="A835" i="3"/>
  <c r="B835" i="3" s="1"/>
  <c r="I834" i="3"/>
  <c r="J834" i="3"/>
  <c r="AD834" i="3" s="1"/>
  <c r="M834" i="3"/>
  <c r="N834" i="3" s="1"/>
  <c r="W834" i="3" l="1"/>
  <c r="L834" i="3"/>
  <c r="Z835" i="3"/>
  <c r="P835" i="3"/>
  <c r="Q835" i="3" s="1"/>
  <c r="R835" i="3" s="1"/>
  <c r="S835" i="3" s="1"/>
  <c r="AD835" i="3"/>
  <c r="AC835" i="3"/>
  <c r="AA835" i="3"/>
  <c r="T835" i="3" l="1"/>
  <c r="U834" i="3"/>
  <c r="Y833" i="3"/>
  <c r="E835" i="3" l="1"/>
  <c r="H835" i="3" s="1"/>
  <c r="K835" i="3" s="1"/>
  <c r="AE835" i="3" s="1"/>
  <c r="AH835" i="3"/>
  <c r="AG835" i="3"/>
  <c r="D835" i="3"/>
  <c r="F835" i="3" l="1"/>
  <c r="G835" i="3"/>
  <c r="V835" i="3"/>
  <c r="A836" i="3"/>
  <c r="B836" i="3" s="1"/>
  <c r="I835" i="3" l="1"/>
  <c r="W835" i="3" s="1"/>
  <c r="J835" i="3"/>
  <c r="M835" i="3"/>
  <c r="N835" i="3" s="1"/>
  <c r="Z836" i="3"/>
  <c r="AA836" i="3"/>
  <c r="AC836" i="3"/>
  <c r="P836" i="3"/>
  <c r="Q836" i="3" s="1"/>
  <c r="R836" i="3" s="1"/>
  <c r="S836" i="3" s="1"/>
  <c r="AD836" i="3"/>
  <c r="T836" i="3" l="1"/>
  <c r="L835" i="3"/>
  <c r="AG836" i="3" l="1"/>
  <c r="U835" i="3"/>
  <c r="D836" i="3" s="1"/>
  <c r="AH836" i="3"/>
  <c r="Y834" i="3"/>
  <c r="E836" i="3" l="1"/>
  <c r="H836" i="3" s="1"/>
  <c r="K836" i="3" s="1"/>
  <c r="AE836" i="3" s="1"/>
  <c r="G836" i="3"/>
  <c r="F836" i="3" l="1"/>
  <c r="V836" i="3"/>
  <c r="A837" i="3"/>
  <c r="B837" i="3" s="1"/>
  <c r="I836" i="3"/>
  <c r="J836" i="3"/>
  <c r="M836" i="3"/>
  <c r="N836" i="3" s="1"/>
  <c r="L836" i="3" l="1"/>
  <c r="W836" i="3"/>
  <c r="P837" i="3"/>
  <c r="Q837" i="3" s="1"/>
  <c r="R837" i="3" s="1"/>
  <c r="S837" i="3" s="1"/>
  <c r="AD837" i="3"/>
  <c r="AA837" i="3"/>
  <c r="AC837" i="3"/>
  <c r="Z837" i="3"/>
  <c r="U836" i="3" l="1"/>
  <c r="Y835" i="3"/>
  <c r="T837" i="3"/>
  <c r="AH837" i="3" s="1"/>
  <c r="E837" i="3" l="1"/>
  <c r="H837" i="3" s="1"/>
  <c r="K837" i="3" s="1"/>
  <c r="AE837" i="3" s="1"/>
  <c r="D837" i="3"/>
  <c r="G837" i="3" s="1"/>
  <c r="AG837" i="3"/>
  <c r="F837" i="3" l="1"/>
  <c r="I837" i="3"/>
  <c r="J837" i="3"/>
  <c r="M837" i="3"/>
  <c r="N837" i="3" s="1"/>
  <c r="V837" i="3"/>
  <c r="A838" i="3"/>
  <c r="B838" i="3" s="1"/>
  <c r="W837" i="3" l="1"/>
  <c r="L837" i="3"/>
  <c r="P838" i="3"/>
  <c r="Q838" i="3" s="1"/>
  <c r="R838" i="3" s="1"/>
  <c r="S838" i="3" s="1"/>
  <c r="AA838" i="3"/>
  <c r="AC838" i="3"/>
  <c r="Z838" i="3"/>
  <c r="U837" i="3" l="1"/>
  <c r="Y836" i="3"/>
  <c r="T838" i="3"/>
  <c r="AH838" i="3" s="1"/>
  <c r="E838" i="3" l="1"/>
  <c r="H838" i="3" s="1"/>
  <c r="D838" i="3"/>
  <c r="AG838" i="3"/>
  <c r="K838" i="3" l="1"/>
  <c r="AE838" i="3" s="1"/>
  <c r="F838" i="3"/>
  <c r="G838" i="3"/>
  <c r="V838" i="3" l="1"/>
  <c r="A839" i="3"/>
  <c r="B839" i="3" s="1"/>
  <c r="I838" i="3"/>
  <c r="J838" i="3"/>
  <c r="AD838" i="3" s="1"/>
  <c r="M838" i="3"/>
  <c r="N838" i="3" s="1"/>
  <c r="W838" i="3" l="1"/>
  <c r="L838" i="3"/>
  <c r="AC839" i="3"/>
  <c r="Z839" i="3"/>
  <c r="AA839" i="3"/>
  <c r="P839" i="3"/>
  <c r="Q839" i="3" s="1"/>
  <c r="R839" i="3" s="1"/>
  <c r="S839" i="3" s="1"/>
  <c r="AD839" i="3"/>
  <c r="U838" i="3" l="1"/>
  <c r="Y837" i="3"/>
  <c r="T839" i="3"/>
  <c r="AG839" i="3" s="1"/>
  <c r="D839" i="3" l="1"/>
  <c r="E839" i="3"/>
  <c r="H839" i="3" s="1"/>
  <c r="AH839" i="3"/>
  <c r="F839" i="3" l="1"/>
  <c r="G839" i="3"/>
  <c r="K839" i="3"/>
  <c r="AE839" i="3" s="1"/>
  <c r="V839" i="3" l="1"/>
  <c r="A840" i="3"/>
  <c r="B840" i="3" s="1"/>
  <c r="I839" i="3"/>
  <c r="J839" i="3"/>
  <c r="M839" i="3"/>
  <c r="N839" i="3" s="1"/>
  <c r="W839" i="3" l="1"/>
  <c r="L839" i="3"/>
  <c r="AC840" i="3"/>
  <c r="P840" i="3"/>
  <c r="Q840" i="3" s="1"/>
  <c r="R840" i="3" s="1"/>
  <c r="S840" i="3" s="1"/>
  <c r="AA840" i="3"/>
  <c r="Z840" i="3"/>
  <c r="AD840" i="3"/>
  <c r="T840" i="3" l="1"/>
  <c r="U839" i="3"/>
  <c r="Y838" i="3"/>
  <c r="D840" i="3" l="1"/>
  <c r="G840" i="3" s="1"/>
  <c r="AG840" i="3"/>
  <c r="E840" i="3"/>
  <c r="H840" i="3" s="1"/>
  <c r="AH840" i="3"/>
  <c r="K840" i="3" l="1"/>
  <c r="AE840" i="3" s="1"/>
  <c r="I840" i="3"/>
  <c r="J840" i="3"/>
  <c r="M840" i="3"/>
  <c r="N840" i="3" s="1"/>
  <c r="F840" i="3"/>
  <c r="L840" i="3" l="1"/>
  <c r="V840" i="3"/>
  <c r="W840" i="3" s="1"/>
  <c r="A841" i="3"/>
  <c r="B841" i="3" s="1"/>
  <c r="U840" i="3" l="1"/>
  <c r="Y839" i="3"/>
  <c r="AA841" i="3"/>
  <c r="Z841" i="3"/>
  <c r="AD841" i="3"/>
  <c r="AC841" i="3"/>
  <c r="P841" i="3"/>
  <c r="Q841" i="3" s="1"/>
  <c r="R841" i="3" s="1"/>
  <c r="S841" i="3" s="1"/>
  <c r="T841" i="3" l="1"/>
  <c r="AH841" i="3" s="1"/>
  <c r="E841" i="3" l="1"/>
  <c r="H841" i="3" s="1"/>
  <c r="K841" i="3" s="1"/>
  <c r="AE841" i="3" s="1"/>
  <c r="AG841" i="3"/>
  <c r="D841" i="3"/>
  <c r="G841" i="3" s="1"/>
  <c r="F841" i="3" l="1"/>
  <c r="I841" i="3"/>
  <c r="J841" i="3"/>
  <c r="M841" i="3"/>
  <c r="N841" i="3" s="1"/>
  <c r="V841" i="3"/>
  <c r="A842" i="3"/>
  <c r="B842" i="3" s="1"/>
  <c r="W841" i="3" l="1"/>
  <c r="L841" i="3"/>
  <c r="P842" i="3"/>
  <c r="Q842" i="3" s="1"/>
  <c r="R842" i="3" s="1"/>
  <c r="S842" i="3" s="1"/>
  <c r="AD842" i="3"/>
  <c r="Z842" i="3"/>
  <c r="AC842" i="3"/>
  <c r="AA842" i="3"/>
  <c r="U841" i="3" l="1"/>
  <c r="Y840" i="3"/>
  <c r="T842" i="3"/>
  <c r="AG842" i="3" s="1"/>
  <c r="D842" i="3" l="1"/>
  <c r="G842" i="3" s="1"/>
  <c r="E842" i="3"/>
  <c r="H842" i="3" s="1"/>
  <c r="K842" i="3" s="1"/>
  <c r="AE842" i="3" s="1"/>
  <c r="AH842" i="3"/>
  <c r="F842" i="3" l="1"/>
  <c r="V842" i="3"/>
  <c r="A843" i="3"/>
  <c r="B843" i="3" s="1"/>
  <c r="I842" i="3"/>
  <c r="J842" i="3"/>
  <c r="M842" i="3"/>
  <c r="N842" i="3" s="1"/>
  <c r="W842" i="3" l="1"/>
  <c r="L842" i="3"/>
  <c r="AC843" i="3"/>
  <c r="AD843" i="3"/>
  <c r="AA843" i="3"/>
  <c r="Z843" i="3"/>
  <c r="P843" i="3"/>
  <c r="Q843" i="3" s="1"/>
  <c r="R843" i="3" s="1"/>
  <c r="S843" i="3" s="1"/>
  <c r="U842" i="3" l="1"/>
  <c r="Y841" i="3"/>
  <c r="T843" i="3"/>
  <c r="AG843" i="3" s="1"/>
  <c r="D843" i="3" l="1"/>
  <c r="E843" i="3"/>
  <c r="H843" i="3" s="1"/>
  <c r="AH843" i="3"/>
  <c r="F843" i="3" l="1"/>
  <c r="G843" i="3"/>
  <c r="K843" i="3"/>
  <c r="AE843" i="3" s="1"/>
  <c r="V843" i="3" l="1"/>
  <c r="A844" i="3"/>
  <c r="B844" i="3" s="1"/>
  <c r="I843" i="3"/>
  <c r="J843" i="3"/>
  <c r="M843" i="3"/>
  <c r="N843" i="3" s="1"/>
  <c r="W843" i="3" l="1"/>
  <c r="L843" i="3"/>
  <c r="AC844" i="3"/>
  <c r="P844" i="3"/>
  <c r="Q844" i="3" s="1"/>
  <c r="R844" i="3" s="1"/>
  <c r="S844" i="3" s="1"/>
  <c r="Z844" i="3"/>
  <c r="AA844" i="3"/>
  <c r="U843" i="3" l="1"/>
  <c r="Y842" i="3"/>
  <c r="T844" i="3"/>
  <c r="AH844" i="3" s="1"/>
  <c r="AG844" i="3" l="1"/>
  <c r="E844" i="3"/>
  <c r="H844" i="3" s="1"/>
  <c r="K844" i="3" s="1"/>
  <c r="AE844" i="3" s="1"/>
  <c r="D844" i="3"/>
  <c r="V844" i="3" l="1"/>
  <c r="A845" i="3"/>
  <c r="B845" i="3" s="1"/>
  <c r="F844" i="3"/>
  <c r="G844" i="3"/>
  <c r="I844" i="3" l="1"/>
  <c r="W844" i="3" s="1"/>
  <c r="J844" i="3"/>
  <c r="AD844" i="3" s="1"/>
  <c r="M844" i="3"/>
  <c r="N844" i="3" s="1"/>
  <c r="AD845" i="3"/>
  <c r="AC845" i="3"/>
  <c r="P845" i="3"/>
  <c r="Q845" i="3" s="1"/>
  <c r="R845" i="3" s="1"/>
  <c r="S845" i="3" s="1"/>
  <c r="Z845" i="3"/>
  <c r="AA845" i="3"/>
  <c r="T845" i="3" l="1"/>
  <c r="L844" i="3"/>
  <c r="AH845" i="3" l="1"/>
  <c r="U844" i="3"/>
  <c r="D845" i="3" s="1"/>
  <c r="AG845" i="3"/>
  <c r="Y843" i="3"/>
  <c r="E845" i="3" l="1"/>
  <c r="H845" i="3" s="1"/>
  <c r="K845" i="3" s="1"/>
  <c r="AE845" i="3" s="1"/>
  <c r="G845" i="3"/>
  <c r="F845" i="3" l="1"/>
  <c r="I845" i="3"/>
  <c r="J845" i="3"/>
  <c r="M845" i="3"/>
  <c r="N845" i="3" s="1"/>
  <c r="V845" i="3"/>
  <c r="A846" i="3"/>
  <c r="B846" i="3" s="1"/>
  <c r="W845" i="3" l="1"/>
  <c r="L845" i="3"/>
  <c r="P846" i="3"/>
  <c r="Q846" i="3" s="1"/>
  <c r="R846" i="3" s="1"/>
  <c r="S846" i="3" s="1"/>
  <c r="AD846" i="3"/>
  <c r="AC846" i="3"/>
  <c r="Z846" i="3"/>
  <c r="AA846" i="3"/>
  <c r="U845" i="3" l="1"/>
  <c r="Y844" i="3"/>
  <c r="T846" i="3"/>
  <c r="AH846" i="3" s="1"/>
  <c r="D846" i="3" l="1"/>
  <c r="G846" i="3" s="1"/>
  <c r="E846" i="3"/>
  <c r="H846" i="3" s="1"/>
  <c r="K846" i="3" s="1"/>
  <c r="AE846" i="3" s="1"/>
  <c r="AG846" i="3"/>
  <c r="F846" i="3" l="1"/>
  <c r="I846" i="3"/>
  <c r="J846" i="3"/>
  <c r="M846" i="3"/>
  <c r="N846" i="3" s="1"/>
  <c r="V846" i="3"/>
  <c r="A847" i="3"/>
  <c r="B847" i="3" s="1"/>
  <c r="W846" i="3" l="1"/>
  <c r="L846" i="3"/>
  <c r="AC847" i="3"/>
  <c r="P847" i="3"/>
  <c r="Q847" i="3" s="1"/>
  <c r="R847" i="3" s="1"/>
  <c r="S847" i="3" s="1"/>
  <c r="AD847" i="3"/>
  <c r="AA847" i="3"/>
  <c r="Z847" i="3"/>
  <c r="U846" i="3" l="1"/>
  <c r="Y845" i="3"/>
  <c r="T847" i="3"/>
  <c r="D847" i="3" l="1"/>
  <c r="G847" i="3" s="1"/>
  <c r="E847" i="3"/>
  <c r="H847" i="3" s="1"/>
  <c r="K847" i="3" s="1"/>
  <c r="AE847" i="3" s="1"/>
  <c r="AH847" i="3"/>
  <c r="AG847" i="3"/>
  <c r="F847" i="3" l="1"/>
  <c r="I847" i="3"/>
  <c r="J847" i="3"/>
  <c r="M847" i="3"/>
  <c r="N847" i="3" s="1"/>
  <c r="V847" i="3"/>
  <c r="A848" i="3"/>
  <c r="B848" i="3" s="1"/>
  <c r="W847" i="3" l="1"/>
  <c r="L847" i="3"/>
  <c r="AA848" i="3"/>
  <c r="P848" i="3"/>
  <c r="Q848" i="3" s="1"/>
  <c r="R848" i="3" s="1"/>
  <c r="S848" i="3" s="1"/>
  <c r="Z848" i="3"/>
  <c r="AC848" i="3"/>
  <c r="U847" i="3" l="1"/>
  <c r="Y846" i="3"/>
  <c r="T848" i="3"/>
  <c r="AG848" i="3" s="1"/>
  <c r="D848" i="3" l="1"/>
  <c r="AH848" i="3"/>
  <c r="E848" i="3"/>
  <c r="H848" i="3" s="1"/>
  <c r="F848" i="3" l="1"/>
  <c r="G848" i="3"/>
  <c r="K848" i="3"/>
  <c r="AE848" i="3" s="1"/>
  <c r="V848" i="3" l="1"/>
  <c r="A849" i="3"/>
  <c r="B849" i="3" s="1"/>
  <c r="I848" i="3"/>
  <c r="J848" i="3"/>
  <c r="AD848" i="3" s="1"/>
  <c r="M848" i="3"/>
  <c r="N848" i="3" s="1"/>
  <c r="W848" i="3" l="1"/>
  <c r="L848" i="3"/>
  <c r="P849" i="3"/>
  <c r="Q849" i="3" s="1"/>
  <c r="R849" i="3" s="1"/>
  <c r="S849" i="3" s="1"/>
  <c r="AC849" i="3"/>
  <c r="Z849" i="3"/>
  <c r="AD849" i="3"/>
  <c r="AA849" i="3"/>
  <c r="U848" i="3" l="1"/>
  <c r="Y847" i="3"/>
  <c r="T849" i="3"/>
  <c r="AG849" i="3" s="1"/>
  <c r="E849" i="3" l="1"/>
  <c r="H849" i="3" s="1"/>
  <c r="K849" i="3" s="1"/>
  <c r="AE849" i="3" s="1"/>
  <c r="D849" i="3"/>
  <c r="G849" i="3" s="1"/>
  <c r="AH849" i="3"/>
  <c r="F849" i="3" l="1"/>
  <c r="V849" i="3"/>
  <c r="A850" i="3"/>
  <c r="B850" i="3" s="1"/>
  <c r="I849" i="3"/>
  <c r="J849" i="3"/>
  <c r="M849" i="3"/>
  <c r="N849" i="3" s="1"/>
  <c r="W849" i="3" l="1"/>
  <c r="L849" i="3"/>
  <c r="AA850" i="3"/>
  <c r="AC850" i="3"/>
  <c r="P850" i="3"/>
  <c r="Q850" i="3" s="1"/>
  <c r="R850" i="3" s="1"/>
  <c r="S850" i="3" s="1"/>
  <c r="AD850" i="3"/>
  <c r="Z850" i="3"/>
  <c r="T850" i="3" l="1"/>
  <c r="AG850" i="3" s="1"/>
  <c r="U849" i="3"/>
  <c r="Y848" i="3"/>
  <c r="E850" i="3" l="1"/>
  <c r="H850" i="3" s="1"/>
  <c r="D850" i="3"/>
  <c r="AH850" i="3"/>
  <c r="K850" i="3" l="1"/>
  <c r="AE850" i="3" s="1"/>
  <c r="F850" i="3"/>
  <c r="G850" i="3"/>
  <c r="I850" i="3" l="1"/>
  <c r="J850" i="3"/>
  <c r="M850" i="3"/>
  <c r="N850" i="3" s="1"/>
  <c r="V850" i="3"/>
  <c r="A851" i="3"/>
  <c r="B851" i="3" s="1"/>
  <c r="W850" i="3" l="1"/>
  <c r="L850" i="3"/>
  <c r="P851" i="3"/>
  <c r="Q851" i="3" s="1"/>
  <c r="R851" i="3" s="1"/>
  <c r="S851" i="3" s="1"/>
  <c r="AA851" i="3"/>
  <c r="AC851" i="3"/>
  <c r="AD851" i="3"/>
  <c r="Z851" i="3"/>
  <c r="U850" i="3" l="1"/>
  <c r="Y849" i="3"/>
  <c r="T851" i="3"/>
  <c r="AH851" i="3" s="1"/>
  <c r="E851" i="3" l="1"/>
  <c r="H851" i="3" s="1"/>
  <c r="K851" i="3" s="1"/>
  <c r="AE851" i="3" s="1"/>
  <c r="AG851" i="3"/>
  <c r="D851" i="3"/>
  <c r="F851" i="3" l="1"/>
  <c r="G851" i="3"/>
  <c r="M851" i="3" s="1"/>
  <c r="N851" i="3" s="1"/>
  <c r="V851" i="3"/>
  <c r="A852" i="3"/>
  <c r="B852" i="3" s="1"/>
  <c r="I851" i="3" l="1"/>
  <c r="W851" i="3" s="1"/>
  <c r="J851" i="3"/>
  <c r="L851" i="3" s="1"/>
  <c r="AC852" i="3"/>
  <c r="AA852" i="3"/>
  <c r="AD852" i="3"/>
  <c r="P852" i="3"/>
  <c r="Q852" i="3" s="1"/>
  <c r="R852" i="3" s="1"/>
  <c r="S852" i="3" s="1"/>
  <c r="Z852" i="3"/>
  <c r="T852" i="3" l="1"/>
  <c r="U851" i="3"/>
  <c r="Y850" i="3"/>
  <c r="D852" i="3" l="1"/>
  <c r="G852" i="3" s="1"/>
  <c r="AH852" i="3"/>
  <c r="E852" i="3"/>
  <c r="H852" i="3" s="1"/>
  <c r="AG852" i="3"/>
  <c r="F852" i="3" l="1"/>
  <c r="I852" i="3"/>
  <c r="J852" i="3"/>
  <c r="M852" i="3"/>
  <c r="N852" i="3" s="1"/>
  <c r="K852" i="3"/>
  <c r="AE852" i="3" s="1"/>
  <c r="L852" i="3" l="1"/>
  <c r="V852" i="3"/>
  <c r="W852" i="3" s="1"/>
  <c r="A853" i="3"/>
  <c r="B853" i="3" s="1"/>
  <c r="U852" i="3" l="1"/>
  <c r="Y851" i="3"/>
  <c r="AD853" i="3"/>
  <c r="AC853" i="3"/>
  <c r="P853" i="3"/>
  <c r="Q853" i="3" s="1"/>
  <c r="R853" i="3" s="1"/>
  <c r="S853" i="3" s="1"/>
  <c r="Z853" i="3"/>
  <c r="AA853" i="3"/>
  <c r="T853" i="3" l="1"/>
  <c r="AG853" i="3" s="1"/>
  <c r="E853" i="3" l="1"/>
  <c r="H853" i="3" s="1"/>
  <c r="AH853" i="3"/>
  <c r="D853" i="3"/>
  <c r="K853" i="3" l="1"/>
  <c r="AE853" i="3" s="1"/>
  <c r="F853" i="3"/>
  <c r="G853" i="3"/>
  <c r="I853" i="3" l="1"/>
  <c r="J853" i="3"/>
  <c r="M853" i="3"/>
  <c r="N853" i="3" s="1"/>
  <c r="V853" i="3"/>
  <c r="A854" i="3"/>
  <c r="B854" i="3" s="1"/>
  <c r="W853" i="3" l="1"/>
  <c r="L853" i="3"/>
  <c r="Z854" i="3"/>
  <c r="P854" i="3"/>
  <c r="Q854" i="3" s="1"/>
  <c r="R854" i="3" s="1"/>
  <c r="S854" i="3" s="1"/>
  <c r="AC854" i="3"/>
  <c r="AA854" i="3"/>
  <c r="U853" i="3" l="1"/>
  <c r="Y852" i="3"/>
  <c r="T854" i="3"/>
  <c r="AG854" i="3" s="1"/>
  <c r="E854" i="3" l="1"/>
  <c r="H854" i="3" s="1"/>
  <c r="K854" i="3" s="1"/>
  <c r="AE854" i="3" s="1"/>
  <c r="AH854" i="3"/>
  <c r="D854" i="3"/>
  <c r="G854" i="3" s="1"/>
  <c r="F854" i="3" l="1"/>
  <c r="I854" i="3"/>
  <c r="J854" i="3"/>
  <c r="AD854" i="3" s="1"/>
  <c r="M854" i="3"/>
  <c r="N854" i="3" s="1"/>
  <c r="V854" i="3"/>
  <c r="A855" i="3"/>
  <c r="B855" i="3" s="1"/>
  <c r="W854" i="3" l="1"/>
  <c r="L854" i="3"/>
  <c r="Z855" i="3"/>
  <c r="P855" i="3"/>
  <c r="Q855" i="3" s="1"/>
  <c r="R855" i="3" s="1"/>
  <c r="S855" i="3" s="1"/>
  <c r="AA855" i="3"/>
  <c r="AC855" i="3"/>
  <c r="AD855" i="3"/>
  <c r="T855" i="3" l="1"/>
  <c r="AG855" i="3" s="1"/>
  <c r="U854" i="3"/>
  <c r="Y853" i="3"/>
  <c r="E855" i="3" l="1"/>
  <c r="H855" i="3" s="1"/>
  <c r="K855" i="3" s="1"/>
  <c r="AE855" i="3" s="1"/>
  <c r="D855" i="3"/>
  <c r="AH855" i="3"/>
  <c r="F855" i="3" l="1"/>
  <c r="G855" i="3"/>
  <c r="V855" i="3"/>
  <c r="A856" i="3"/>
  <c r="B856" i="3" s="1"/>
  <c r="AA856" i="3" l="1"/>
  <c r="P856" i="3"/>
  <c r="Q856" i="3" s="1"/>
  <c r="R856" i="3" s="1"/>
  <c r="S856" i="3" s="1"/>
  <c r="Z856" i="3"/>
  <c r="AD856" i="3"/>
  <c r="AC856" i="3"/>
  <c r="I855" i="3"/>
  <c r="W855" i="3" s="1"/>
  <c r="J855" i="3"/>
  <c r="M855" i="3"/>
  <c r="N855" i="3" s="1"/>
  <c r="L855" i="3" l="1"/>
  <c r="T856" i="3"/>
  <c r="U855" i="3" l="1"/>
  <c r="D856" i="3" s="1"/>
  <c r="AH856" i="3"/>
  <c r="AG856" i="3"/>
  <c r="Y854" i="3"/>
  <c r="G856" i="3" l="1"/>
  <c r="E856" i="3"/>
  <c r="H856" i="3" s="1"/>
  <c r="F856" i="3" l="1"/>
  <c r="K856" i="3"/>
  <c r="AE856" i="3" s="1"/>
  <c r="I856" i="3"/>
  <c r="J856" i="3"/>
  <c r="M856" i="3"/>
  <c r="N856" i="3" s="1"/>
  <c r="L856" i="3" l="1"/>
  <c r="V856" i="3"/>
  <c r="W856" i="3" s="1"/>
  <c r="A857" i="3"/>
  <c r="B857" i="3" s="1"/>
  <c r="Z857" i="3" l="1"/>
  <c r="AC857" i="3"/>
  <c r="AD857" i="3"/>
  <c r="AA857" i="3"/>
  <c r="P857" i="3"/>
  <c r="Q857" i="3" s="1"/>
  <c r="R857" i="3" s="1"/>
  <c r="S857" i="3" s="1"/>
  <c r="U856" i="3"/>
  <c r="Y855" i="3"/>
  <c r="T857" i="3" l="1"/>
  <c r="E857" i="3" l="1"/>
  <c r="H857" i="3" s="1"/>
  <c r="AG857" i="3"/>
  <c r="D857" i="3"/>
  <c r="AH857" i="3"/>
  <c r="K857" i="3" l="1"/>
  <c r="AE857" i="3" s="1"/>
  <c r="F857" i="3"/>
  <c r="G857" i="3"/>
  <c r="I857" i="3" l="1"/>
  <c r="J857" i="3"/>
  <c r="M857" i="3"/>
  <c r="N857" i="3" s="1"/>
  <c r="V857" i="3"/>
  <c r="A858" i="3"/>
  <c r="B858" i="3" s="1"/>
  <c r="W857" i="3" l="1"/>
  <c r="L857" i="3"/>
  <c r="AA858" i="3"/>
  <c r="Z858" i="3"/>
  <c r="P858" i="3"/>
  <c r="Q858" i="3" s="1"/>
  <c r="R858" i="3" s="1"/>
  <c r="S858" i="3" s="1"/>
  <c r="AC858" i="3"/>
  <c r="U857" i="3" l="1"/>
  <c r="Y856" i="3"/>
  <c r="T858" i="3"/>
  <c r="D858" i="3" l="1"/>
  <c r="G858" i="3" s="1"/>
  <c r="E858" i="3"/>
  <c r="H858" i="3" s="1"/>
  <c r="K858" i="3" s="1"/>
  <c r="AE858" i="3" s="1"/>
  <c r="AG858" i="3"/>
  <c r="AH858" i="3"/>
  <c r="F858" i="3" l="1"/>
  <c r="V858" i="3"/>
  <c r="A859" i="3"/>
  <c r="B859" i="3" s="1"/>
  <c r="I858" i="3"/>
  <c r="J858" i="3"/>
  <c r="AD858" i="3" s="1"/>
  <c r="M858" i="3"/>
  <c r="N858" i="3" s="1"/>
  <c r="W858" i="3" l="1"/>
  <c r="L858" i="3"/>
  <c r="AC859" i="3"/>
  <c r="P859" i="3"/>
  <c r="Q859" i="3" s="1"/>
  <c r="R859" i="3" s="1"/>
  <c r="S859" i="3" s="1"/>
  <c r="AA859" i="3"/>
  <c r="Z859" i="3"/>
  <c r="AD859" i="3"/>
  <c r="U858" i="3" l="1"/>
  <c r="Y857" i="3"/>
  <c r="T859" i="3"/>
  <c r="D859" i="3" l="1"/>
  <c r="G859" i="3" s="1"/>
  <c r="AH859" i="3"/>
  <c r="AG859" i="3"/>
  <c r="E859" i="3"/>
  <c r="H859" i="3" s="1"/>
  <c r="K859" i="3" s="1"/>
  <c r="AE859" i="3" s="1"/>
  <c r="F859" i="3" l="1"/>
  <c r="I859" i="3"/>
  <c r="J859" i="3"/>
  <c r="M859" i="3"/>
  <c r="N859" i="3" s="1"/>
  <c r="V859" i="3"/>
  <c r="A860" i="3"/>
  <c r="B860" i="3" s="1"/>
  <c r="W859" i="3" l="1"/>
  <c r="AC860" i="3"/>
  <c r="AD860" i="3"/>
  <c r="Z860" i="3"/>
  <c r="AA860" i="3"/>
  <c r="P860" i="3"/>
  <c r="Q860" i="3" s="1"/>
  <c r="R860" i="3" s="1"/>
  <c r="S860" i="3" s="1"/>
  <c r="L859" i="3"/>
  <c r="T860" i="3" l="1"/>
  <c r="U859" i="3"/>
  <c r="Y858" i="3"/>
  <c r="D860" i="3" l="1"/>
  <c r="G860" i="3" s="1"/>
  <c r="AG860" i="3"/>
  <c r="AH860" i="3"/>
  <c r="E860" i="3"/>
  <c r="H860" i="3" s="1"/>
  <c r="I860" i="3" l="1"/>
  <c r="J860" i="3"/>
  <c r="M860" i="3"/>
  <c r="N860" i="3" s="1"/>
  <c r="K860" i="3"/>
  <c r="AE860" i="3" s="1"/>
  <c r="F860" i="3"/>
  <c r="L860" i="3" l="1"/>
  <c r="V860" i="3"/>
  <c r="W860" i="3" s="1"/>
  <c r="A861" i="3"/>
  <c r="B861" i="3" s="1"/>
  <c r="U860" i="3" l="1"/>
  <c r="Y859" i="3"/>
  <c r="Z861" i="3"/>
  <c r="AD861" i="3"/>
  <c r="P861" i="3"/>
  <c r="Q861" i="3" s="1"/>
  <c r="R861" i="3" s="1"/>
  <c r="S861" i="3" s="1"/>
  <c r="AC861" i="3"/>
  <c r="AA861" i="3"/>
  <c r="T861" i="3" l="1"/>
  <c r="E861" i="3" s="1"/>
  <c r="H861" i="3" s="1"/>
  <c r="K861" i="3" l="1"/>
  <c r="AE861" i="3" s="1"/>
  <c r="D861" i="3"/>
  <c r="AH861" i="3"/>
  <c r="AG861" i="3"/>
  <c r="F861" i="3" l="1"/>
  <c r="G861" i="3"/>
  <c r="V861" i="3"/>
  <c r="A862" i="3"/>
  <c r="B862" i="3" s="1"/>
  <c r="AD862" i="3" l="1"/>
  <c r="Z862" i="3"/>
  <c r="P862" i="3"/>
  <c r="Q862" i="3" s="1"/>
  <c r="R862" i="3" s="1"/>
  <c r="S862" i="3" s="1"/>
  <c r="AC862" i="3"/>
  <c r="AA862" i="3"/>
  <c r="I861" i="3"/>
  <c r="W861" i="3" s="1"/>
  <c r="J861" i="3"/>
  <c r="M861" i="3"/>
  <c r="N861" i="3" s="1"/>
  <c r="T862" i="3" l="1"/>
  <c r="L861" i="3"/>
  <c r="AH862" i="3" l="1"/>
  <c r="U861" i="3"/>
  <c r="D862" i="3" s="1"/>
  <c r="AG862" i="3"/>
  <c r="Y860" i="3"/>
  <c r="E862" i="3" l="1"/>
  <c r="H862" i="3" s="1"/>
  <c r="K862" i="3" s="1"/>
  <c r="AE862" i="3" s="1"/>
  <c r="G862" i="3"/>
  <c r="F862" i="3" l="1"/>
  <c r="I862" i="3"/>
  <c r="J862" i="3"/>
  <c r="M862" i="3"/>
  <c r="N862" i="3" s="1"/>
  <c r="V862" i="3"/>
  <c r="A863" i="3"/>
  <c r="B863" i="3" s="1"/>
  <c r="W862" i="3" l="1"/>
  <c r="L862" i="3"/>
  <c r="AA863" i="3"/>
  <c r="Z863" i="3"/>
  <c r="P863" i="3"/>
  <c r="Q863" i="3" s="1"/>
  <c r="R863" i="3" s="1"/>
  <c r="S863" i="3" s="1"/>
  <c r="AD863" i="3"/>
  <c r="AC863" i="3"/>
  <c r="T863" i="3" l="1"/>
  <c r="U862" i="3"/>
  <c r="Y861" i="3"/>
  <c r="E863" i="3" l="1"/>
  <c r="H863" i="3" s="1"/>
  <c r="K863" i="3" s="1"/>
  <c r="AE863" i="3" s="1"/>
  <c r="D863" i="3"/>
  <c r="G863" i="3" s="1"/>
  <c r="AH863" i="3"/>
  <c r="AG863" i="3"/>
  <c r="F863" i="3" l="1"/>
  <c r="I863" i="3"/>
  <c r="J863" i="3"/>
  <c r="M863" i="3"/>
  <c r="N863" i="3" s="1"/>
  <c r="V863" i="3"/>
  <c r="A864" i="3"/>
  <c r="B864" i="3" s="1"/>
  <c r="W863" i="3" l="1"/>
  <c r="L863" i="3"/>
  <c r="AC864" i="3"/>
  <c r="Z864" i="3"/>
  <c r="AA864" i="3"/>
  <c r="P864" i="3"/>
  <c r="Q864" i="3" s="1"/>
  <c r="R864" i="3" s="1"/>
  <c r="S864" i="3" s="1"/>
  <c r="U863" i="3" l="1"/>
  <c r="Y862" i="3"/>
  <c r="T864" i="3"/>
  <c r="AH864" i="3" s="1"/>
  <c r="E864" i="3" l="1"/>
  <c r="H864" i="3" s="1"/>
  <c r="D864" i="3"/>
  <c r="AG864" i="3"/>
  <c r="K864" i="3" l="1"/>
  <c r="AE864" i="3" s="1"/>
  <c r="F864" i="3"/>
  <c r="G864" i="3"/>
  <c r="I864" i="3" l="1"/>
  <c r="J864" i="3"/>
  <c r="AD864" i="3" s="1"/>
  <c r="M864" i="3"/>
  <c r="N864" i="3" s="1"/>
  <c r="V864" i="3"/>
  <c r="A865" i="3"/>
  <c r="B865" i="3" s="1"/>
  <c r="W864" i="3" l="1"/>
  <c r="L864" i="3"/>
  <c r="AD865" i="3"/>
  <c r="P865" i="3"/>
  <c r="Q865" i="3" s="1"/>
  <c r="R865" i="3" s="1"/>
  <c r="S865" i="3" s="1"/>
  <c r="AC865" i="3"/>
  <c r="Z865" i="3"/>
  <c r="AA865" i="3"/>
  <c r="U864" i="3" l="1"/>
  <c r="Y863" i="3"/>
  <c r="T865" i="3"/>
  <c r="AG865" i="3" s="1"/>
  <c r="E865" i="3" l="1"/>
  <c r="H865" i="3" s="1"/>
  <c r="K865" i="3" s="1"/>
  <c r="AE865" i="3" s="1"/>
  <c r="D865" i="3"/>
  <c r="G865" i="3" s="1"/>
  <c r="AH865" i="3"/>
  <c r="F865" i="3" l="1"/>
  <c r="V865" i="3"/>
  <c r="A866" i="3"/>
  <c r="B866" i="3" s="1"/>
  <c r="I865" i="3"/>
  <c r="J865" i="3"/>
  <c r="M865" i="3"/>
  <c r="N865" i="3" s="1"/>
  <c r="W865" i="3" l="1"/>
  <c r="L865" i="3"/>
  <c r="P866" i="3"/>
  <c r="Q866" i="3" s="1"/>
  <c r="R866" i="3" s="1"/>
  <c r="S866" i="3" s="1"/>
  <c r="AA866" i="3"/>
  <c r="Z866" i="3"/>
  <c r="AC866" i="3"/>
  <c r="AD866" i="3"/>
  <c r="T866" i="3" l="1"/>
  <c r="U865" i="3"/>
  <c r="Y864" i="3"/>
  <c r="D866" i="3" l="1"/>
  <c r="G866" i="3" s="1"/>
  <c r="AG866" i="3"/>
  <c r="AH866" i="3"/>
  <c r="E866" i="3"/>
  <c r="H866" i="3" s="1"/>
  <c r="F866" i="3" l="1"/>
  <c r="K866" i="3"/>
  <c r="AE866" i="3" s="1"/>
  <c r="I866" i="3"/>
  <c r="J866" i="3"/>
  <c r="M866" i="3"/>
  <c r="N866" i="3" s="1"/>
  <c r="L866" i="3" l="1"/>
  <c r="V866" i="3"/>
  <c r="W866" i="3" s="1"/>
  <c r="A867" i="3"/>
  <c r="B867" i="3" s="1"/>
  <c r="Z867" i="3" l="1"/>
  <c r="AA867" i="3"/>
  <c r="P867" i="3"/>
  <c r="Q867" i="3" s="1"/>
  <c r="R867" i="3" s="1"/>
  <c r="S867" i="3" s="1"/>
  <c r="AC867" i="3"/>
  <c r="AD867" i="3"/>
  <c r="U866" i="3"/>
  <c r="Y865" i="3"/>
  <c r="T867" i="3" l="1"/>
  <c r="D867" i="3" s="1"/>
  <c r="AG867" i="3" l="1"/>
  <c r="E867" i="3"/>
  <c r="H867" i="3" s="1"/>
  <c r="K867" i="3" s="1"/>
  <c r="AE867" i="3" s="1"/>
  <c r="AH867" i="3"/>
  <c r="G867" i="3"/>
  <c r="F867" i="3" l="1"/>
  <c r="I867" i="3"/>
  <c r="J867" i="3"/>
  <c r="M867" i="3"/>
  <c r="N867" i="3" s="1"/>
  <c r="V867" i="3"/>
  <c r="A868" i="3"/>
  <c r="B868" i="3" s="1"/>
  <c r="W867" i="3" l="1"/>
  <c r="L867" i="3"/>
  <c r="Z868" i="3"/>
  <c r="AA868" i="3"/>
  <c r="AC868" i="3"/>
  <c r="P868" i="3"/>
  <c r="Q868" i="3" s="1"/>
  <c r="R868" i="3" s="1"/>
  <c r="S868" i="3" s="1"/>
  <c r="T868" i="3" l="1"/>
  <c r="U867" i="3"/>
  <c r="Y866" i="3"/>
  <c r="E868" i="3" l="1"/>
  <c r="H868" i="3" s="1"/>
  <c r="K868" i="3" s="1"/>
  <c r="AE868" i="3" s="1"/>
  <c r="AH868" i="3"/>
  <c r="D868" i="3"/>
  <c r="G868" i="3" s="1"/>
  <c r="AG868" i="3"/>
  <c r="F868" i="3" l="1"/>
  <c r="I868" i="3"/>
  <c r="J868" i="3"/>
  <c r="AD868" i="3" s="1"/>
  <c r="M868" i="3"/>
  <c r="N868" i="3" s="1"/>
  <c r="V868" i="3"/>
  <c r="A869" i="3"/>
  <c r="B869" i="3" s="1"/>
  <c r="W868" i="3" l="1"/>
  <c r="L868" i="3"/>
  <c r="P869" i="3"/>
  <c r="Q869" i="3" s="1"/>
  <c r="R869" i="3" s="1"/>
  <c r="S869" i="3" s="1"/>
  <c r="Z869" i="3"/>
  <c r="AC869" i="3"/>
  <c r="AA869" i="3"/>
  <c r="AD869" i="3"/>
  <c r="T869" i="3" l="1"/>
  <c r="U868" i="3"/>
  <c r="Y867" i="3"/>
  <c r="E869" i="3" l="1"/>
  <c r="H869" i="3" s="1"/>
  <c r="K869" i="3" s="1"/>
  <c r="AE869" i="3" s="1"/>
  <c r="AG869" i="3"/>
  <c r="D869" i="3"/>
  <c r="AH869" i="3"/>
  <c r="V869" i="3" l="1"/>
  <c r="A870" i="3"/>
  <c r="B870" i="3" s="1"/>
  <c r="F869" i="3"/>
  <c r="G869" i="3"/>
  <c r="I869" i="3" l="1"/>
  <c r="W869" i="3" s="1"/>
  <c r="J869" i="3"/>
  <c r="M869" i="3"/>
  <c r="N869" i="3" s="1"/>
  <c r="AD870" i="3"/>
  <c r="Z870" i="3"/>
  <c r="AA870" i="3"/>
  <c r="P870" i="3"/>
  <c r="Q870" i="3" s="1"/>
  <c r="R870" i="3" s="1"/>
  <c r="S870" i="3" s="1"/>
  <c r="AC870" i="3"/>
  <c r="L869" i="3" l="1"/>
  <c r="T870" i="3"/>
  <c r="U869" i="3" l="1"/>
  <c r="E870" i="3" s="1"/>
  <c r="H870" i="3" s="1"/>
  <c r="AH870" i="3"/>
  <c r="AG870" i="3"/>
  <c r="Y868" i="3"/>
  <c r="D870" i="3" l="1"/>
  <c r="G870" i="3" s="1"/>
  <c r="K870" i="3"/>
  <c r="AE870" i="3" s="1"/>
  <c r="F870" i="3" l="1"/>
  <c r="V870" i="3"/>
  <c r="A871" i="3"/>
  <c r="B871" i="3" s="1"/>
  <c r="I870" i="3"/>
  <c r="J870" i="3"/>
  <c r="M870" i="3"/>
  <c r="N870" i="3" s="1"/>
  <c r="W870" i="3" l="1"/>
  <c r="L870" i="3"/>
  <c r="Z871" i="3"/>
  <c r="P871" i="3"/>
  <c r="Q871" i="3" s="1"/>
  <c r="R871" i="3" s="1"/>
  <c r="S871" i="3" s="1"/>
  <c r="AD871" i="3"/>
  <c r="AA871" i="3"/>
  <c r="AC871" i="3"/>
  <c r="T871" i="3" l="1"/>
  <c r="AH871" i="3" s="1"/>
  <c r="U870" i="3"/>
  <c r="Y869" i="3"/>
  <c r="E871" i="3" l="1"/>
  <c r="H871" i="3" s="1"/>
  <c r="K871" i="3" s="1"/>
  <c r="AE871" i="3" s="1"/>
  <c r="AG871" i="3"/>
  <c r="D871" i="3"/>
  <c r="F871" i="3" l="1"/>
  <c r="G871" i="3"/>
  <c r="V871" i="3"/>
  <c r="A872" i="3"/>
  <c r="B872" i="3" s="1"/>
  <c r="AC872" i="3" l="1"/>
  <c r="AA872" i="3"/>
  <c r="P872" i="3"/>
  <c r="Q872" i="3" s="1"/>
  <c r="R872" i="3" s="1"/>
  <c r="S872" i="3" s="1"/>
  <c r="Z872" i="3"/>
  <c r="AD872" i="3"/>
  <c r="I871" i="3"/>
  <c r="W871" i="3" s="1"/>
  <c r="J871" i="3"/>
  <c r="M871" i="3"/>
  <c r="N871" i="3" s="1"/>
  <c r="L871" i="3" l="1"/>
  <c r="T872" i="3"/>
  <c r="AG872" i="3" l="1"/>
  <c r="AH872" i="3"/>
  <c r="U871" i="3"/>
  <c r="E872" i="3" s="1"/>
  <c r="H872" i="3" s="1"/>
  <c r="Y870" i="3"/>
  <c r="D872" i="3" l="1"/>
  <c r="G872" i="3" s="1"/>
  <c r="K872" i="3"/>
  <c r="AE872" i="3" s="1"/>
  <c r="F872" i="3" l="1"/>
  <c r="I872" i="3"/>
  <c r="J872" i="3"/>
  <c r="M872" i="3"/>
  <c r="N872" i="3" s="1"/>
  <c r="V872" i="3"/>
  <c r="A873" i="3"/>
  <c r="B873" i="3" s="1"/>
  <c r="W872" i="3" l="1"/>
  <c r="L872" i="3"/>
  <c r="AA873" i="3"/>
  <c r="AC873" i="3"/>
  <c r="AD873" i="3"/>
  <c r="P873" i="3"/>
  <c r="Q873" i="3" s="1"/>
  <c r="R873" i="3" s="1"/>
  <c r="S873" i="3" s="1"/>
  <c r="Z873" i="3"/>
  <c r="T873" i="3" l="1"/>
  <c r="AH873" i="3" s="1"/>
  <c r="U872" i="3"/>
  <c r="Y871" i="3"/>
  <c r="AG873" i="3" l="1"/>
  <c r="E873" i="3"/>
  <c r="H873" i="3" s="1"/>
  <c r="D873" i="3"/>
  <c r="K873" i="3" l="1"/>
  <c r="AE873" i="3" s="1"/>
  <c r="F873" i="3"/>
  <c r="G873" i="3"/>
  <c r="I873" i="3" l="1"/>
  <c r="J873" i="3"/>
  <c r="M873" i="3"/>
  <c r="N873" i="3" s="1"/>
  <c r="V873" i="3"/>
  <c r="A874" i="3"/>
  <c r="B874" i="3" s="1"/>
  <c r="W873" i="3" l="1"/>
  <c r="L873" i="3"/>
  <c r="AA874" i="3"/>
  <c r="P874" i="3"/>
  <c r="Q874" i="3" s="1"/>
  <c r="R874" i="3" s="1"/>
  <c r="S874" i="3" s="1"/>
  <c r="Z874" i="3"/>
  <c r="AC874" i="3"/>
  <c r="T874" i="3" l="1"/>
  <c r="AH874" i="3" s="1"/>
  <c r="U873" i="3"/>
  <c r="Y872" i="3"/>
  <c r="E874" i="3" l="1"/>
  <c r="H874" i="3" s="1"/>
  <c r="D874" i="3"/>
  <c r="AG874" i="3"/>
  <c r="K874" i="3" l="1"/>
  <c r="AE874" i="3" s="1"/>
  <c r="F874" i="3"/>
  <c r="G874" i="3"/>
  <c r="I874" i="3" l="1"/>
  <c r="J874" i="3"/>
  <c r="AD874" i="3" s="1"/>
  <c r="M874" i="3"/>
  <c r="N874" i="3" s="1"/>
  <c r="V874" i="3"/>
  <c r="A875" i="3"/>
  <c r="B875" i="3" s="1"/>
  <c r="W874" i="3" l="1"/>
  <c r="L874" i="3"/>
  <c r="AA875" i="3"/>
  <c r="Z875" i="3"/>
  <c r="P875" i="3"/>
  <c r="Q875" i="3" s="1"/>
  <c r="R875" i="3" s="1"/>
  <c r="S875" i="3" s="1"/>
  <c r="AD875" i="3"/>
  <c r="AC875" i="3"/>
  <c r="T875" i="3" l="1"/>
  <c r="U874" i="3"/>
  <c r="Y873" i="3"/>
  <c r="D875" i="3" l="1"/>
  <c r="G875" i="3" s="1"/>
  <c r="E875" i="3"/>
  <c r="H875" i="3" s="1"/>
  <c r="K875" i="3" s="1"/>
  <c r="AE875" i="3" s="1"/>
  <c r="AH875" i="3"/>
  <c r="AG875" i="3"/>
  <c r="F875" i="3" l="1"/>
  <c r="V875" i="3"/>
  <c r="A876" i="3"/>
  <c r="B876" i="3" s="1"/>
  <c r="I875" i="3"/>
  <c r="J875" i="3"/>
  <c r="M875" i="3"/>
  <c r="N875" i="3" s="1"/>
  <c r="W875" i="3" l="1"/>
  <c r="L875" i="3"/>
  <c r="AC876" i="3"/>
  <c r="P876" i="3"/>
  <c r="Q876" i="3" s="1"/>
  <c r="R876" i="3" s="1"/>
  <c r="S876" i="3" s="1"/>
  <c r="Z876" i="3"/>
  <c r="AA876" i="3"/>
  <c r="AD876" i="3"/>
  <c r="U875" i="3" l="1"/>
  <c r="Y874" i="3"/>
  <c r="T876" i="3"/>
  <c r="AG876" i="3" s="1"/>
  <c r="D876" i="3" l="1"/>
  <c r="E876" i="3"/>
  <c r="H876" i="3" s="1"/>
  <c r="AH876" i="3"/>
  <c r="K876" i="3" l="1"/>
  <c r="AE876" i="3" s="1"/>
  <c r="F876" i="3"/>
  <c r="G876" i="3"/>
  <c r="I876" i="3" l="1"/>
  <c r="J876" i="3"/>
  <c r="M876" i="3"/>
  <c r="N876" i="3" s="1"/>
  <c r="V876" i="3"/>
  <c r="A877" i="3"/>
  <c r="B877" i="3" s="1"/>
  <c r="W876" i="3" l="1"/>
  <c r="L876" i="3"/>
  <c r="P877" i="3"/>
  <c r="Q877" i="3" s="1"/>
  <c r="R877" i="3" s="1"/>
  <c r="S877" i="3" s="1"/>
  <c r="AA877" i="3"/>
  <c r="Z877" i="3"/>
  <c r="AD877" i="3"/>
  <c r="AC877" i="3"/>
  <c r="U876" i="3" l="1"/>
  <c r="Y875" i="3"/>
  <c r="T877" i="3"/>
  <c r="D877" i="3" l="1"/>
  <c r="G877" i="3" s="1"/>
  <c r="AH877" i="3"/>
  <c r="AG877" i="3"/>
  <c r="E877" i="3"/>
  <c r="H877" i="3" s="1"/>
  <c r="I877" i="3" l="1"/>
  <c r="J877" i="3"/>
  <c r="M877" i="3"/>
  <c r="N877" i="3" s="1"/>
  <c r="K877" i="3"/>
  <c r="AE877" i="3" s="1"/>
  <c r="F877" i="3"/>
  <c r="V877" i="3" l="1"/>
  <c r="W877" i="3" s="1"/>
  <c r="A878" i="3"/>
  <c r="B878" i="3" s="1"/>
  <c r="L877" i="3"/>
  <c r="U877" i="3" l="1"/>
  <c r="Y876" i="3"/>
  <c r="Z878" i="3"/>
  <c r="AC878" i="3"/>
  <c r="AA878" i="3"/>
  <c r="P878" i="3"/>
  <c r="Q878" i="3" s="1"/>
  <c r="R878" i="3" s="1"/>
  <c r="S878" i="3" s="1"/>
  <c r="T878" i="3" l="1"/>
  <c r="E878" i="3" s="1"/>
  <c r="H878" i="3" s="1"/>
  <c r="D878" i="3" l="1"/>
  <c r="G878" i="3" s="1"/>
  <c r="AG878" i="3"/>
  <c r="AH878" i="3"/>
  <c r="K878" i="3"/>
  <c r="AE878" i="3" s="1"/>
  <c r="F878" i="3" l="1"/>
  <c r="I878" i="3"/>
  <c r="J878" i="3"/>
  <c r="AD878" i="3" s="1"/>
  <c r="M878" i="3"/>
  <c r="N878" i="3" s="1"/>
  <c r="V878" i="3"/>
  <c r="A879" i="3"/>
  <c r="B879" i="3" s="1"/>
  <c r="W878" i="3" l="1"/>
  <c r="L878" i="3"/>
  <c r="AC879" i="3"/>
  <c r="AD879" i="3"/>
  <c r="P879" i="3"/>
  <c r="Q879" i="3" s="1"/>
  <c r="R879" i="3" s="1"/>
  <c r="S879" i="3" s="1"/>
  <c r="AA879" i="3"/>
  <c r="Z879" i="3"/>
  <c r="T879" i="3" l="1"/>
  <c r="AG879" i="3" s="1"/>
  <c r="U878" i="3"/>
  <c r="Y877" i="3"/>
  <c r="E879" i="3" l="1"/>
  <c r="H879" i="3" s="1"/>
  <c r="D879" i="3"/>
  <c r="AH879" i="3"/>
  <c r="F879" i="3" l="1"/>
  <c r="G879" i="3"/>
  <c r="K879" i="3"/>
  <c r="AE879" i="3" s="1"/>
  <c r="I879" i="3" l="1"/>
  <c r="J879" i="3"/>
  <c r="M879" i="3"/>
  <c r="N879" i="3" s="1"/>
  <c r="V879" i="3"/>
  <c r="A880" i="3"/>
  <c r="B880" i="3" s="1"/>
  <c r="W879" i="3" l="1"/>
  <c r="L879" i="3"/>
  <c r="AD880" i="3"/>
  <c r="AA880" i="3"/>
  <c r="AC880" i="3"/>
  <c r="Z880" i="3"/>
  <c r="P880" i="3"/>
  <c r="Q880" i="3" s="1"/>
  <c r="R880" i="3" s="1"/>
  <c r="S880" i="3" s="1"/>
  <c r="T880" i="3" l="1"/>
  <c r="AG880" i="3" s="1"/>
  <c r="U879" i="3"/>
  <c r="Y878" i="3"/>
  <c r="D880" i="3" l="1"/>
  <c r="AH880" i="3"/>
  <c r="E880" i="3"/>
  <c r="H880" i="3" s="1"/>
  <c r="F880" i="3" l="1"/>
  <c r="G880" i="3"/>
  <c r="K880" i="3"/>
  <c r="AE880" i="3" s="1"/>
  <c r="V880" i="3" l="1"/>
  <c r="A881" i="3"/>
  <c r="B881" i="3" s="1"/>
  <c r="I880" i="3"/>
  <c r="J880" i="3"/>
  <c r="M880" i="3"/>
  <c r="N880" i="3" s="1"/>
  <c r="W880" i="3" l="1"/>
  <c r="L880" i="3"/>
  <c r="AA881" i="3"/>
  <c r="AD881" i="3"/>
  <c r="P881" i="3"/>
  <c r="Q881" i="3" s="1"/>
  <c r="R881" i="3" s="1"/>
  <c r="S881" i="3" s="1"/>
  <c r="Z881" i="3"/>
  <c r="AC881" i="3"/>
  <c r="U880" i="3" l="1"/>
  <c r="Y879" i="3"/>
  <c r="T881" i="3"/>
  <c r="E881" i="3" l="1"/>
  <c r="H881" i="3" s="1"/>
  <c r="K881" i="3" s="1"/>
  <c r="AE881" i="3" s="1"/>
  <c r="D881" i="3"/>
  <c r="AG881" i="3"/>
  <c r="AH881" i="3"/>
  <c r="F881" i="3" l="1"/>
  <c r="G881" i="3"/>
  <c r="I881" i="3" s="1"/>
  <c r="V881" i="3"/>
  <c r="A882" i="3"/>
  <c r="B882" i="3" s="1"/>
  <c r="W881" i="3" l="1"/>
  <c r="M881" i="3"/>
  <c r="N881" i="3" s="1"/>
  <c r="J881" i="3"/>
  <c r="L881" i="3" s="1"/>
  <c r="Z882" i="3"/>
  <c r="P882" i="3"/>
  <c r="Q882" i="3" s="1"/>
  <c r="R882" i="3" s="1"/>
  <c r="S882" i="3" s="1"/>
  <c r="AD882" i="3"/>
  <c r="AC882" i="3"/>
  <c r="AA882" i="3"/>
  <c r="T882" i="3" l="1"/>
  <c r="AG882" i="3" s="1"/>
  <c r="U881" i="3"/>
  <c r="Y880" i="3"/>
  <c r="AH882" i="3" l="1"/>
  <c r="D882" i="3"/>
  <c r="E882" i="3"/>
  <c r="H882" i="3" s="1"/>
  <c r="F882" i="3" l="1"/>
  <c r="G882" i="3"/>
  <c r="K882" i="3"/>
  <c r="AE882" i="3" s="1"/>
  <c r="I882" i="3" l="1"/>
  <c r="J882" i="3"/>
  <c r="M882" i="3"/>
  <c r="N882" i="3" s="1"/>
  <c r="V882" i="3"/>
  <c r="A883" i="3"/>
  <c r="B883" i="3" s="1"/>
  <c r="W882" i="3" l="1"/>
  <c r="L882" i="3"/>
  <c r="AC883" i="3"/>
  <c r="AA883" i="3"/>
  <c r="Z883" i="3"/>
  <c r="AD883" i="3"/>
  <c r="P883" i="3"/>
  <c r="Q883" i="3" s="1"/>
  <c r="R883" i="3" s="1"/>
  <c r="S883" i="3" s="1"/>
  <c r="T883" i="3" l="1"/>
  <c r="AG883" i="3" s="1"/>
  <c r="U882" i="3"/>
  <c r="Y881" i="3"/>
  <c r="E883" i="3" l="1"/>
  <c r="H883" i="3" s="1"/>
  <c r="K883" i="3" s="1"/>
  <c r="AE883" i="3" s="1"/>
  <c r="D883" i="3"/>
  <c r="AH883" i="3"/>
  <c r="V883" i="3" l="1"/>
  <c r="A884" i="3"/>
  <c r="B884" i="3" s="1"/>
  <c r="F883" i="3"/>
  <c r="G883" i="3"/>
  <c r="I883" i="3" l="1"/>
  <c r="W883" i="3" s="1"/>
  <c r="J883" i="3"/>
  <c r="M883" i="3"/>
  <c r="N883" i="3" s="1"/>
  <c r="AA884" i="3"/>
  <c r="Z884" i="3"/>
  <c r="P884" i="3"/>
  <c r="Q884" i="3" s="1"/>
  <c r="R884" i="3" s="1"/>
  <c r="S884" i="3" s="1"/>
  <c r="AC884" i="3"/>
  <c r="T884" i="3" l="1"/>
  <c r="L883" i="3"/>
  <c r="AG884" i="3" l="1"/>
  <c r="U883" i="3"/>
  <c r="D884" i="3" s="1"/>
  <c r="AH884" i="3"/>
  <c r="Y882" i="3"/>
  <c r="E884" i="3" l="1"/>
  <c r="H884" i="3" s="1"/>
  <c r="K884" i="3" s="1"/>
  <c r="AE884" i="3" s="1"/>
  <c r="G884" i="3"/>
  <c r="F884" i="3" l="1"/>
  <c r="V884" i="3"/>
  <c r="A885" i="3"/>
  <c r="B885" i="3" s="1"/>
  <c r="I884" i="3"/>
  <c r="J884" i="3"/>
  <c r="AD884" i="3" s="1"/>
  <c r="M884" i="3"/>
  <c r="N884" i="3" s="1"/>
  <c r="W884" i="3" l="1"/>
  <c r="L884" i="3"/>
  <c r="P885" i="3"/>
  <c r="Q885" i="3" s="1"/>
  <c r="R885" i="3" s="1"/>
  <c r="S885" i="3" s="1"/>
  <c r="AD885" i="3"/>
  <c r="Z885" i="3"/>
  <c r="AC885" i="3"/>
  <c r="AA885" i="3"/>
  <c r="U884" i="3" l="1"/>
  <c r="Y883" i="3"/>
  <c r="T885" i="3"/>
  <c r="AH885" i="3" s="1"/>
  <c r="D885" i="3" l="1"/>
  <c r="G885" i="3" s="1"/>
  <c r="E885" i="3"/>
  <c r="H885" i="3" s="1"/>
  <c r="K885" i="3" s="1"/>
  <c r="AE885" i="3" s="1"/>
  <c r="AG885" i="3"/>
  <c r="F885" i="3" l="1"/>
  <c r="V885" i="3"/>
  <c r="A886" i="3"/>
  <c r="B886" i="3" s="1"/>
  <c r="I885" i="3"/>
  <c r="J885" i="3"/>
  <c r="M885" i="3"/>
  <c r="N885" i="3" s="1"/>
  <c r="W885" i="3" l="1"/>
  <c r="L885" i="3"/>
  <c r="P886" i="3"/>
  <c r="Q886" i="3" s="1"/>
  <c r="R886" i="3" s="1"/>
  <c r="S886" i="3" s="1"/>
  <c r="AA886" i="3"/>
  <c r="AC886" i="3"/>
  <c r="AD886" i="3"/>
  <c r="Z886" i="3"/>
  <c r="U885" i="3" l="1"/>
  <c r="Y884" i="3"/>
  <c r="T886" i="3"/>
  <c r="E886" i="3" l="1"/>
  <c r="H886" i="3" s="1"/>
  <c r="K886" i="3" s="1"/>
  <c r="AE886" i="3" s="1"/>
  <c r="AH886" i="3"/>
  <c r="AG886" i="3"/>
  <c r="D886" i="3"/>
  <c r="F886" i="3" l="1"/>
  <c r="G886" i="3"/>
  <c r="V886" i="3"/>
  <c r="A887" i="3"/>
  <c r="B887" i="3" s="1"/>
  <c r="I886" i="3" l="1"/>
  <c r="W886" i="3" s="1"/>
  <c r="J886" i="3"/>
  <c r="M886" i="3"/>
  <c r="N886" i="3" s="1"/>
  <c r="P887" i="3"/>
  <c r="Q887" i="3" s="1"/>
  <c r="R887" i="3" s="1"/>
  <c r="S887" i="3" s="1"/>
  <c r="Z887" i="3"/>
  <c r="AD887" i="3"/>
  <c r="AA887" i="3"/>
  <c r="AC887" i="3"/>
  <c r="T887" i="3" l="1"/>
  <c r="L886" i="3"/>
  <c r="AG887" i="3" l="1"/>
  <c r="AH887" i="3"/>
  <c r="U886" i="3"/>
  <c r="D887" i="3" s="1"/>
  <c r="Y885" i="3"/>
  <c r="E887" i="3" l="1"/>
  <c r="H887" i="3" s="1"/>
  <c r="K887" i="3" s="1"/>
  <c r="AE887" i="3" s="1"/>
  <c r="G887" i="3"/>
  <c r="F887" i="3" l="1"/>
  <c r="I887" i="3"/>
  <c r="J887" i="3"/>
  <c r="M887" i="3"/>
  <c r="N887" i="3" s="1"/>
  <c r="V887" i="3"/>
  <c r="A888" i="3"/>
  <c r="B888" i="3" s="1"/>
  <c r="W887" i="3" l="1"/>
  <c r="L887" i="3"/>
  <c r="AC888" i="3"/>
  <c r="AA888" i="3"/>
  <c r="Z888" i="3"/>
  <c r="P888" i="3"/>
  <c r="Q888" i="3" s="1"/>
  <c r="R888" i="3" s="1"/>
  <c r="S888" i="3" s="1"/>
  <c r="T888" i="3" l="1"/>
  <c r="U887" i="3"/>
  <c r="Y886" i="3"/>
  <c r="E888" i="3" l="1"/>
  <c r="H888" i="3" s="1"/>
  <c r="K888" i="3" s="1"/>
  <c r="AE888" i="3" s="1"/>
  <c r="D888" i="3"/>
  <c r="G888" i="3" s="1"/>
  <c r="AG888" i="3"/>
  <c r="AH888" i="3"/>
  <c r="F888" i="3" l="1"/>
  <c r="I888" i="3"/>
  <c r="J888" i="3"/>
  <c r="AD888" i="3" s="1"/>
  <c r="M888" i="3"/>
  <c r="N888" i="3" s="1"/>
  <c r="V888" i="3"/>
  <c r="A889" i="3"/>
  <c r="B889" i="3" s="1"/>
  <c r="W888" i="3" l="1"/>
  <c r="L888" i="3"/>
  <c r="AA889" i="3"/>
  <c r="Z889" i="3"/>
  <c r="AD889" i="3"/>
  <c r="P889" i="3"/>
  <c r="Q889" i="3" s="1"/>
  <c r="R889" i="3" s="1"/>
  <c r="S889" i="3" s="1"/>
  <c r="AC889" i="3"/>
  <c r="T889" i="3" l="1"/>
  <c r="AG889" i="3" s="1"/>
  <c r="U888" i="3"/>
  <c r="Y887" i="3"/>
  <c r="AH889" i="3" l="1"/>
  <c r="D889" i="3"/>
  <c r="G889" i="3" s="1"/>
  <c r="E889" i="3"/>
  <c r="H889" i="3" s="1"/>
  <c r="I889" i="3" l="1"/>
  <c r="J889" i="3"/>
  <c r="M889" i="3"/>
  <c r="N889" i="3" s="1"/>
  <c r="K889" i="3"/>
  <c r="AE889" i="3" s="1"/>
  <c r="F889" i="3"/>
  <c r="L889" i="3" l="1"/>
  <c r="V889" i="3"/>
  <c r="W889" i="3" s="1"/>
  <c r="A890" i="3"/>
  <c r="B890" i="3" s="1"/>
  <c r="AA890" i="3" l="1"/>
  <c r="P890" i="3"/>
  <c r="Q890" i="3" s="1"/>
  <c r="R890" i="3" s="1"/>
  <c r="S890" i="3" s="1"/>
  <c r="Z890" i="3"/>
  <c r="AC890" i="3"/>
  <c r="AD890" i="3"/>
  <c r="U889" i="3"/>
  <c r="Y888" i="3"/>
  <c r="T890" i="3" l="1"/>
  <c r="AG890" i="3" s="1"/>
  <c r="E890" i="3" l="1"/>
  <c r="H890" i="3" s="1"/>
  <c r="K890" i="3" s="1"/>
  <c r="AE890" i="3" s="1"/>
  <c r="AH890" i="3"/>
  <c r="D890" i="3"/>
  <c r="F890" i="3" l="1"/>
  <c r="G890" i="3"/>
  <c r="V890" i="3"/>
  <c r="A891" i="3"/>
  <c r="B891" i="3" s="1"/>
  <c r="AD891" i="3" l="1"/>
  <c r="P891" i="3"/>
  <c r="Q891" i="3" s="1"/>
  <c r="R891" i="3" s="1"/>
  <c r="S891" i="3" s="1"/>
  <c r="AC891" i="3"/>
  <c r="Z891" i="3"/>
  <c r="AA891" i="3"/>
  <c r="I890" i="3"/>
  <c r="W890" i="3" s="1"/>
  <c r="J890" i="3"/>
  <c r="M890" i="3"/>
  <c r="N890" i="3" s="1"/>
  <c r="L890" i="3" l="1"/>
  <c r="T891" i="3"/>
  <c r="U890" i="3" l="1"/>
  <c r="D891" i="3" s="1"/>
  <c r="AH891" i="3"/>
  <c r="AG891" i="3"/>
  <c r="Y889" i="3"/>
  <c r="E891" i="3" l="1"/>
  <c r="H891" i="3" s="1"/>
  <c r="K891" i="3" s="1"/>
  <c r="AE891" i="3" s="1"/>
  <c r="G891" i="3"/>
  <c r="F891" i="3" l="1"/>
  <c r="I891" i="3"/>
  <c r="J891" i="3"/>
  <c r="M891" i="3"/>
  <c r="N891" i="3" s="1"/>
  <c r="V891" i="3"/>
  <c r="A892" i="3"/>
  <c r="B892" i="3" s="1"/>
  <c r="W891" i="3" l="1"/>
  <c r="L891" i="3"/>
  <c r="P892" i="3"/>
  <c r="Q892" i="3" s="1"/>
  <c r="R892" i="3" s="1"/>
  <c r="S892" i="3" s="1"/>
  <c r="AC892" i="3"/>
  <c r="AD892" i="3"/>
  <c r="Z892" i="3"/>
  <c r="AA892" i="3"/>
  <c r="U891" i="3" l="1"/>
  <c r="Y890" i="3"/>
  <c r="T892" i="3"/>
  <c r="AG892" i="3" s="1"/>
  <c r="AH892" i="3" l="1"/>
  <c r="D892" i="3"/>
  <c r="G892" i="3" s="1"/>
  <c r="E892" i="3"/>
  <c r="H892" i="3" s="1"/>
  <c r="F892" i="3" l="1"/>
  <c r="I892" i="3"/>
  <c r="J892" i="3"/>
  <c r="M892" i="3"/>
  <c r="N892" i="3" s="1"/>
  <c r="K892" i="3"/>
  <c r="AE892" i="3" s="1"/>
  <c r="V892" i="3" l="1"/>
  <c r="W892" i="3" s="1"/>
  <c r="A893" i="3"/>
  <c r="B893" i="3" s="1"/>
  <c r="L892" i="3"/>
  <c r="U892" i="3" l="1"/>
  <c r="Y891" i="3"/>
  <c r="AC893" i="3"/>
  <c r="P893" i="3"/>
  <c r="Q893" i="3" s="1"/>
  <c r="R893" i="3" s="1"/>
  <c r="S893" i="3" s="1"/>
  <c r="AD893" i="3"/>
  <c r="AA893" i="3"/>
  <c r="Z893" i="3"/>
  <c r="T893" i="3" l="1"/>
  <c r="E893" i="3" s="1"/>
  <c r="H893" i="3" s="1"/>
  <c r="AH893" i="3" l="1"/>
  <c r="D893" i="3"/>
  <c r="F893" i="3" s="1"/>
  <c r="AG893" i="3"/>
  <c r="K893" i="3"/>
  <c r="AE893" i="3" s="1"/>
  <c r="G893" i="3" l="1"/>
  <c r="M893" i="3" s="1"/>
  <c r="N893" i="3" s="1"/>
  <c r="V893" i="3"/>
  <c r="A894" i="3"/>
  <c r="B894" i="3" s="1"/>
  <c r="I893" i="3" l="1"/>
  <c r="W893" i="3" s="1"/>
  <c r="J893" i="3"/>
  <c r="L893" i="3" s="1"/>
  <c r="Z894" i="3"/>
  <c r="P894" i="3"/>
  <c r="Q894" i="3" s="1"/>
  <c r="R894" i="3" s="1"/>
  <c r="S894" i="3" s="1"/>
  <c r="AC894" i="3"/>
  <c r="AA894" i="3"/>
  <c r="U893" i="3" l="1"/>
  <c r="Y892" i="3"/>
  <c r="T894" i="3"/>
  <c r="AH894" i="3" s="1"/>
  <c r="D894" i="3" l="1"/>
  <c r="G894" i="3" s="1"/>
  <c r="AG894" i="3"/>
  <c r="E894" i="3"/>
  <c r="H894" i="3" s="1"/>
  <c r="F894" i="3" l="1"/>
  <c r="I894" i="3"/>
  <c r="J894" i="3"/>
  <c r="AD894" i="3" s="1"/>
  <c r="M894" i="3"/>
  <c r="N894" i="3" s="1"/>
  <c r="K894" i="3"/>
  <c r="AE894" i="3" s="1"/>
  <c r="V894" i="3" l="1"/>
  <c r="W894" i="3" s="1"/>
  <c r="A895" i="3"/>
  <c r="B895" i="3" s="1"/>
  <c r="L894" i="3"/>
  <c r="U894" i="3" l="1"/>
  <c r="Y893" i="3"/>
  <c r="AD895" i="3"/>
  <c r="P895" i="3"/>
  <c r="Q895" i="3" s="1"/>
  <c r="R895" i="3" s="1"/>
  <c r="S895" i="3" s="1"/>
  <c r="AA895" i="3"/>
  <c r="AC895" i="3"/>
  <c r="Z895" i="3"/>
  <c r="T895" i="3" l="1"/>
  <c r="AH895" i="3" s="1"/>
  <c r="E895" i="3" l="1"/>
  <c r="H895" i="3" s="1"/>
  <c r="K895" i="3" s="1"/>
  <c r="AE895" i="3" s="1"/>
  <c r="D895" i="3"/>
  <c r="AG895" i="3"/>
  <c r="F895" i="3" l="1"/>
  <c r="G895" i="3"/>
  <c r="V895" i="3"/>
  <c r="A896" i="3"/>
  <c r="B896" i="3" s="1"/>
  <c r="I895" i="3" l="1"/>
  <c r="W895" i="3" s="1"/>
  <c r="J895" i="3"/>
  <c r="M895" i="3"/>
  <c r="N895" i="3" s="1"/>
  <c r="Z896" i="3"/>
  <c r="P896" i="3"/>
  <c r="Q896" i="3" s="1"/>
  <c r="R896" i="3" s="1"/>
  <c r="S896" i="3" s="1"/>
  <c r="AC896" i="3"/>
  <c r="AD896" i="3"/>
  <c r="AA896" i="3"/>
  <c r="T896" i="3" l="1"/>
  <c r="L895" i="3"/>
  <c r="AG896" i="3" l="1"/>
  <c r="AH896" i="3"/>
  <c r="U895" i="3"/>
  <c r="E896" i="3" s="1"/>
  <c r="H896" i="3" s="1"/>
  <c r="Y894" i="3"/>
  <c r="D896" i="3" l="1"/>
  <c r="G896" i="3" s="1"/>
  <c r="K896" i="3"/>
  <c r="AE896" i="3" s="1"/>
  <c r="F896" i="3" l="1"/>
  <c r="V896" i="3"/>
  <c r="A897" i="3"/>
  <c r="B897" i="3" s="1"/>
  <c r="I896" i="3"/>
  <c r="J896" i="3"/>
  <c r="M896" i="3"/>
  <c r="N896" i="3" s="1"/>
  <c r="W896" i="3" l="1"/>
  <c r="L896" i="3"/>
  <c r="Z897" i="3"/>
  <c r="AC897" i="3"/>
  <c r="AA897" i="3"/>
  <c r="P897" i="3"/>
  <c r="Q897" i="3" s="1"/>
  <c r="R897" i="3" s="1"/>
  <c r="S897" i="3" s="1"/>
  <c r="AD897" i="3"/>
  <c r="U896" i="3" l="1"/>
  <c r="Y895" i="3"/>
  <c r="T897" i="3"/>
  <c r="D897" i="3" l="1"/>
  <c r="E897" i="3"/>
  <c r="H897" i="3" s="1"/>
  <c r="AH897" i="3"/>
  <c r="AG897" i="3"/>
  <c r="F897" i="3" l="1"/>
  <c r="G897" i="3"/>
  <c r="M897" i="3" s="1"/>
  <c r="N897" i="3" s="1"/>
  <c r="K897" i="3"/>
  <c r="AE897" i="3" s="1"/>
  <c r="I897" i="3" l="1"/>
  <c r="J897" i="3"/>
  <c r="L897" i="3" s="1"/>
  <c r="V897" i="3"/>
  <c r="A898" i="3"/>
  <c r="B898" i="3" s="1"/>
  <c r="W897" i="3" l="1"/>
  <c r="AA898" i="3"/>
  <c r="P898" i="3"/>
  <c r="Q898" i="3" s="1"/>
  <c r="R898" i="3" s="1"/>
  <c r="S898" i="3" s="1"/>
  <c r="Z898" i="3"/>
  <c r="AC898" i="3"/>
  <c r="U897" i="3"/>
  <c r="Y896" i="3"/>
  <c r="T898" i="3" l="1"/>
  <c r="D898" i="3" s="1"/>
  <c r="G898" i="3" l="1"/>
  <c r="AG898" i="3"/>
  <c r="E898" i="3"/>
  <c r="H898" i="3" s="1"/>
  <c r="AH898" i="3"/>
  <c r="F898" i="3" l="1"/>
  <c r="I898" i="3"/>
  <c r="J898" i="3"/>
  <c r="AD898" i="3" s="1"/>
  <c r="M898" i="3"/>
  <c r="N898" i="3" s="1"/>
  <c r="K898" i="3"/>
  <c r="AE898" i="3" s="1"/>
  <c r="V898" i="3" l="1"/>
  <c r="W898" i="3" s="1"/>
  <c r="A899" i="3"/>
  <c r="B899" i="3" s="1"/>
  <c r="L898" i="3"/>
  <c r="U898" i="3" l="1"/>
  <c r="Y897" i="3"/>
  <c r="AC899" i="3"/>
  <c r="Z899" i="3"/>
  <c r="P899" i="3"/>
  <c r="Q899" i="3" s="1"/>
  <c r="R899" i="3" s="1"/>
  <c r="S899" i="3" s="1"/>
  <c r="AD899" i="3"/>
  <c r="AA899" i="3"/>
  <c r="T899" i="3" l="1"/>
  <c r="E899" i="3" s="1"/>
  <c r="H899" i="3" s="1"/>
  <c r="D899" i="3" l="1"/>
  <c r="G899" i="3" s="1"/>
  <c r="AG899" i="3"/>
  <c r="AH899" i="3"/>
  <c r="K899" i="3"/>
  <c r="AE899" i="3" s="1"/>
  <c r="F899" i="3" l="1"/>
  <c r="I899" i="3"/>
  <c r="J899" i="3"/>
  <c r="M899" i="3"/>
  <c r="N899" i="3" s="1"/>
  <c r="V899" i="3"/>
  <c r="A900" i="3"/>
  <c r="B900" i="3" s="1"/>
  <c r="W899" i="3" l="1"/>
  <c r="L899" i="3"/>
  <c r="P900" i="3"/>
  <c r="Q900" i="3" s="1"/>
  <c r="R900" i="3" s="1"/>
  <c r="S900" i="3" s="1"/>
  <c r="AC900" i="3"/>
  <c r="Z900" i="3"/>
  <c r="AD900" i="3"/>
  <c r="AA900" i="3"/>
  <c r="U899" i="3" l="1"/>
  <c r="Y898" i="3"/>
  <c r="T900" i="3"/>
  <c r="D900" i="3" l="1"/>
  <c r="G900" i="3" s="1"/>
  <c r="AH900" i="3"/>
  <c r="AG900" i="3"/>
  <c r="E900" i="3"/>
  <c r="H900" i="3" s="1"/>
  <c r="K900" i="3" s="1"/>
  <c r="AE900" i="3" s="1"/>
  <c r="F900" i="3" l="1"/>
  <c r="V900" i="3"/>
  <c r="A901" i="3"/>
  <c r="B901" i="3" s="1"/>
  <c r="I900" i="3"/>
  <c r="J900" i="3"/>
  <c r="M900" i="3"/>
  <c r="N900" i="3" s="1"/>
  <c r="L900" i="3" l="1"/>
  <c r="W900" i="3"/>
  <c r="AD901" i="3"/>
  <c r="P901" i="3"/>
  <c r="Q901" i="3" s="1"/>
  <c r="R901" i="3" s="1"/>
  <c r="S901" i="3" s="1"/>
  <c r="AA901" i="3"/>
  <c r="AC901" i="3"/>
  <c r="Z901" i="3"/>
  <c r="U900" i="3" l="1"/>
  <c r="Y899" i="3"/>
  <c r="T901" i="3"/>
  <c r="E901" i="3" l="1"/>
  <c r="H901" i="3" s="1"/>
  <c r="K901" i="3" s="1"/>
  <c r="AE901" i="3" s="1"/>
  <c r="AG901" i="3"/>
  <c r="D901" i="3"/>
  <c r="AH901" i="3"/>
  <c r="F901" i="3" l="1"/>
  <c r="G901" i="3"/>
  <c r="V901" i="3"/>
  <c r="A902" i="3"/>
  <c r="B902" i="3" s="1"/>
  <c r="AD902" i="3" l="1"/>
  <c r="AC902" i="3"/>
  <c r="P902" i="3"/>
  <c r="Q902" i="3" s="1"/>
  <c r="R902" i="3" s="1"/>
  <c r="S902" i="3" s="1"/>
  <c r="Z902" i="3"/>
  <c r="AA902" i="3"/>
  <c r="I901" i="3"/>
  <c r="W901" i="3" s="1"/>
  <c r="J901" i="3"/>
  <c r="M901" i="3"/>
  <c r="N901" i="3" s="1"/>
  <c r="T902" i="3" l="1"/>
  <c r="L901" i="3"/>
  <c r="U901" i="3" l="1"/>
  <c r="E902" i="3" s="1"/>
  <c r="H902" i="3" s="1"/>
  <c r="AH902" i="3"/>
  <c r="AG902" i="3"/>
  <c r="Y900" i="3"/>
  <c r="D902" i="3" l="1"/>
  <c r="F902" i="3" s="1"/>
  <c r="K902" i="3"/>
  <c r="AE902" i="3" s="1"/>
  <c r="G902" i="3" l="1"/>
  <c r="J902" i="3" s="1"/>
  <c r="V902" i="3"/>
  <c r="A903" i="3"/>
  <c r="B903" i="3" s="1"/>
  <c r="M902" i="3" l="1"/>
  <c r="N902" i="3" s="1"/>
  <c r="I902" i="3"/>
  <c r="W902" i="3" s="1"/>
  <c r="L902" i="3"/>
  <c r="Z903" i="3"/>
  <c r="AC903" i="3"/>
  <c r="P903" i="3"/>
  <c r="Q903" i="3" s="1"/>
  <c r="R903" i="3" s="1"/>
  <c r="S903" i="3" s="1"/>
  <c r="AD903" i="3"/>
  <c r="AA903" i="3"/>
  <c r="T903" i="3" l="1"/>
  <c r="AH903" i="3" s="1"/>
  <c r="U902" i="3"/>
  <c r="Y901" i="3"/>
  <c r="D903" i="3" l="1"/>
  <c r="E903" i="3"/>
  <c r="H903" i="3" s="1"/>
  <c r="AG903" i="3"/>
  <c r="K903" i="3" l="1"/>
  <c r="AE903" i="3" s="1"/>
  <c r="F903" i="3"/>
  <c r="G903" i="3"/>
  <c r="I903" i="3" l="1"/>
  <c r="J903" i="3"/>
  <c r="M903" i="3"/>
  <c r="N903" i="3" s="1"/>
  <c r="V903" i="3"/>
  <c r="A904" i="3"/>
  <c r="B904" i="3" s="1"/>
  <c r="W903" i="3" l="1"/>
  <c r="L903" i="3"/>
  <c r="AC904" i="3"/>
  <c r="Z904" i="3"/>
  <c r="P904" i="3"/>
  <c r="Q904" i="3" s="1"/>
  <c r="R904" i="3" s="1"/>
  <c r="S904" i="3" s="1"/>
  <c r="AA904" i="3"/>
  <c r="U903" i="3" l="1"/>
  <c r="Y902" i="3"/>
  <c r="T904" i="3"/>
  <c r="AH904" i="3" s="1"/>
  <c r="E904" i="3" l="1"/>
  <c r="H904" i="3" s="1"/>
  <c r="AG904" i="3"/>
  <c r="D904" i="3"/>
  <c r="K904" i="3" l="1"/>
  <c r="AE904" i="3" s="1"/>
  <c r="F904" i="3"/>
  <c r="G904" i="3"/>
  <c r="V904" i="3" l="1"/>
  <c r="A905" i="3"/>
  <c r="B905" i="3" s="1"/>
  <c r="I904" i="3"/>
  <c r="J904" i="3"/>
  <c r="AD904" i="3" s="1"/>
  <c r="M904" i="3"/>
  <c r="N904" i="3" s="1"/>
  <c r="L904" i="3" l="1"/>
  <c r="W904" i="3"/>
  <c r="AA905" i="3"/>
  <c r="Z905" i="3"/>
  <c r="AD905" i="3"/>
  <c r="AC905" i="3"/>
  <c r="P905" i="3"/>
  <c r="Q905" i="3" s="1"/>
  <c r="R905" i="3" s="1"/>
  <c r="S905" i="3" s="1"/>
  <c r="U904" i="3" l="1"/>
  <c r="Y903" i="3"/>
  <c r="T905" i="3"/>
  <c r="D905" i="3" l="1"/>
  <c r="G905" i="3" s="1"/>
  <c r="E905" i="3"/>
  <c r="H905" i="3" s="1"/>
  <c r="K905" i="3" s="1"/>
  <c r="AE905" i="3" s="1"/>
  <c r="AG905" i="3"/>
  <c r="AH905" i="3"/>
  <c r="F905" i="3" l="1"/>
  <c r="I905" i="3"/>
  <c r="J905" i="3"/>
  <c r="M905" i="3"/>
  <c r="N905" i="3" s="1"/>
  <c r="V905" i="3"/>
  <c r="A906" i="3"/>
  <c r="B906" i="3" s="1"/>
  <c r="L905" i="3" l="1"/>
  <c r="W905" i="3"/>
  <c r="AC906" i="3"/>
  <c r="P906" i="3"/>
  <c r="Q906" i="3" s="1"/>
  <c r="R906" i="3" s="1"/>
  <c r="S906" i="3" s="1"/>
  <c r="Z906" i="3"/>
  <c r="AD906" i="3"/>
  <c r="AA906" i="3"/>
  <c r="T906" i="3" l="1"/>
  <c r="U905" i="3"/>
  <c r="Y904" i="3"/>
  <c r="D906" i="3" l="1"/>
  <c r="G906" i="3" s="1"/>
  <c r="AG906" i="3"/>
  <c r="E906" i="3"/>
  <c r="H906" i="3" s="1"/>
  <c r="AH906" i="3"/>
  <c r="F906" i="3" l="1"/>
  <c r="I906" i="3"/>
  <c r="J906" i="3"/>
  <c r="M906" i="3"/>
  <c r="N906" i="3" s="1"/>
  <c r="K906" i="3"/>
  <c r="AE906" i="3" s="1"/>
  <c r="V906" i="3" l="1"/>
  <c r="W906" i="3" s="1"/>
  <c r="A907" i="3"/>
  <c r="B907" i="3" s="1"/>
  <c r="L906" i="3"/>
  <c r="U906" i="3" l="1"/>
  <c r="Y905" i="3"/>
  <c r="Z907" i="3"/>
  <c r="AC907" i="3"/>
  <c r="AA907" i="3"/>
  <c r="P907" i="3"/>
  <c r="Q907" i="3" s="1"/>
  <c r="R907" i="3" s="1"/>
  <c r="S907" i="3" s="1"/>
  <c r="AD907" i="3"/>
  <c r="T907" i="3" l="1"/>
  <c r="AG907" i="3" s="1"/>
  <c r="E907" i="3" l="1"/>
  <c r="H907" i="3" s="1"/>
  <c r="K907" i="3" s="1"/>
  <c r="AE907" i="3" s="1"/>
  <c r="D907" i="3"/>
  <c r="AH907" i="3"/>
  <c r="V907" i="3" l="1"/>
  <c r="A908" i="3"/>
  <c r="B908" i="3" s="1"/>
  <c r="F907" i="3"/>
  <c r="G907" i="3"/>
  <c r="I907" i="3" l="1"/>
  <c r="W907" i="3" s="1"/>
  <c r="J907" i="3"/>
  <c r="M907" i="3"/>
  <c r="N907" i="3" s="1"/>
  <c r="P908" i="3"/>
  <c r="Q908" i="3" s="1"/>
  <c r="R908" i="3" s="1"/>
  <c r="S908" i="3" s="1"/>
  <c r="AA908" i="3"/>
  <c r="Z908" i="3"/>
  <c r="AC908" i="3"/>
  <c r="T908" i="3" l="1"/>
  <c r="L907" i="3"/>
  <c r="AG908" i="3" l="1"/>
  <c r="AH908" i="3"/>
  <c r="U907" i="3"/>
  <c r="E908" i="3" s="1"/>
  <c r="H908" i="3" s="1"/>
  <c r="Y906" i="3"/>
  <c r="D908" i="3" l="1"/>
  <c r="G908" i="3" s="1"/>
  <c r="K908" i="3"/>
  <c r="AE908" i="3" s="1"/>
  <c r="F908" i="3" l="1"/>
  <c r="I908" i="3"/>
  <c r="J908" i="3"/>
  <c r="AD908" i="3" s="1"/>
  <c r="M908" i="3"/>
  <c r="N908" i="3" s="1"/>
  <c r="V908" i="3"/>
  <c r="A909" i="3"/>
  <c r="B909" i="3" s="1"/>
  <c r="W908" i="3" l="1"/>
  <c r="L908" i="3"/>
  <c r="AA909" i="3"/>
  <c r="Z909" i="3"/>
  <c r="P909" i="3"/>
  <c r="Q909" i="3" s="1"/>
  <c r="R909" i="3" s="1"/>
  <c r="S909" i="3" s="1"/>
  <c r="AD909" i="3"/>
  <c r="AC909" i="3"/>
  <c r="U908" i="3" l="1"/>
  <c r="Y907" i="3"/>
  <c r="T909" i="3"/>
  <c r="AH909" i="3" s="1"/>
  <c r="AG909" i="3" l="1"/>
  <c r="D909" i="3"/>
  <c r="G909" i="3" s="1"/>
  <c r="E909" i="3"/>
  <c r="H909" i="3" s="1"/>
  <c r="K909" i="3" s="1"/>
  <c r="AE909" i="3" s="1"/>
  <c r="F909" i="3" l="1"/>
  <c r="V909" i="3"/>
  <c r="A910" i="3"/>
  <c r="B910" i="3" s="1"/>
  <c r="I909" i="3"/>
  <c r="J909" i="3"/>
  <c r="M909" i="3"/>
  <c r="N909" i="3" s="1"/>
  <c r="W909" i="3" l="1"/>
  <c r="L909" i="3"/>
  <c r="AA910" i="3"/>
  <c r="AC910" i="3"/>
  <c r="P910" i="3"/>
  <c r="Q910" i="3" s="1"/>
  <c r="R910" i="3" s="1"/>
  <c r="S910" i="3" s="1"/>
  <c r="AD910" i="3"/>
  <c r="Z910" i="3"/>
  <c r="U909" i="3" l="1"/>
  <c r="Y908" i="3"/>
  <c r="T910" i="3"/>
  <c r="AH910" i="3" s="1"/>
  <c r="D910" i="3" l="1"/>
  <c r="G910" i="3" s="1"/>
  <c r="AG910" i="3"/>
  <c r="E910" i="3"/>
  <c r="H910" i="3" s="1"/>
  <c r="F910" i="3" l="1"/>
  <c r="I910" i="3"/>
  <c r="J910" i="3"/>
  <c r="M910" i="3"/>
  <c r="N910" i="3" s="1"/>
  <c r="K910" i="3"/>
  <c r="AE910" i="3" s="1"/>
  <c r="V910" i="3" l="1"/>
  <c r="W910" i="3" s="1"/>
  <c r="A911" i="3"/>
  <c r="B911" i="3" s="1"/>
  <c r="L910" i="3"/>
  <c r="U910" i="3" l="1"/>
  <c r="Y909" i="3"/>
  <c r="AD911" i="3"/>
  <c r="AA911" i="3"/>
  <c r="P911" i="3"/>
  <c r="Q911" i="3" s="1"/>
  <c r="R911" i="3" s="1"/>
  <c r="S911" i="3" s="1"/>
  <c r="Z911" i="3"/>
  <c r="AC911" i="3"/>
  <c r="T911" i="3" l="1"/>
  <c r="E911" i="3" s="1"/>
  <c r="H911" i="3" s="1"/>
  <c r="AH911" i="3" l="1"/>
  <c r="D911" i="3"/>
  <c r="G911" i="3" s="1"/>
  <c r="AG911" i="3"/>
  <c r="K911" i="3"/>
  <c r="AE911" i="3" s="1"/>
  <c r="F911" i="3" l="1"/>
  <c r="I911" i="3"/>
  <c r="J911" i="3"/>
  <c r="M911" i="3"/>
  <c r="N911" i="3" s="1"/>
  <c r="V911" i="3"/>
  <c r="A912" i="3"/>
  <c r="B912" i="3" s="1"/>
  <c r="W911" i="3" l="1"/>
  <c r="L911" i="3"/>
  <c r="AA912" i="3"/>
  <c r="AD912" i="3"/>
  <c r="AC912" i="3"/>
  <c r="P912" i="3"/>
  <c r="Q912" i="3" s="1"/>
  <c r="R912" i="3" s="1"/>
  <c r="S912" i="3" s="1"/>
  <c r="Z912" i="3"/>
  <c r="T912" i="3" l="1"/>
  <c r="U911" i="3"/>
  <c r="Y910" i="3"/>
  <c r="D912" i="3" l="1"/>
  <c r="G912" i="3" s="1"/>
  <c r="AG912" i="3"/>
  <c r="AH912" i="3"/>
  <c r="E912" i="3"/>
  <c r="H912" i="3" s="1"/>
  <c r="I912" i="3" l="1"/>
  <c r="J912" i="3"/>
  <c r="M912" i="3"/>
  <c r="N912" i="3" s="1"/>
  <c r="F912" i="3"/>
  <c r="K912" i="3"/>
  <c r="AE912" i="3" s="1"/>
  <c r="L912" i="3" l="1"/>
  <c r="V912" i="3"/>
  <c r="W912" i="3" s="1"/>
  <c r="A913" i="3"/>
  <c r="B913" i="3" s="1"/>
  <c r="U912" i="3" l="1"/>
  <c r="Y911" i="3"/>
  <c r="Z913" i="3"/>
  <c r="AD913" i="3"/>
  <c r="P913" i="3"/>
  <c r="Q913" i="3" s="1"/>
  <c r="R913" i="3" s="1"/>
  <c r="S913" i="3" s="1"/>
  <c r="AA913" i="3"/>
  <c r="AC913" i="3"/>
  <c r="T913" i="3" l="1"/>
  <c r="AH913" i="3" s="1"/>
  <c r="D913" i="3" l="1"/>
  <c r="G913" i="3" s="1"/>
  <c r="AG913" i="3"/>
  <c r="E913" i="3"/>
  <c r="H913" i="3" s="1"/>
  <c r="F913" i="3" l="1"/>
  <c r="I913" i="3"/>
  <c r="J913" i="3"/>
  <c r="M913" i="3"/>
  <c r="N913" i="3" s="1"/>
  <c r="K913" i="3"/>
  <c r="AE913" i="3" s="1"/>
  <c r="V913" i="3" l="1"/>
  <c r="W913" i="3" s="1"/>
  <c r="A914" i="3"/>
  <c r="B914" i="3" s="1"/>
  <c r="L913" i="3"/>
  <c r="U913" i="3" l="1"/>
  <c r="Y912" i="3"/>
  <c r="AA914" i="3"/>
  <c r="Z914" i="3"/>
  <c r="AC914" i="3"/>
  <c r="P914" i="3"/>
  <c r="Q914" i="3" s="1"/>
  <c r="R914" i="3" s="1"/>
  <c r="S914" i="3" s="1"/>
  <c r="T914" i="3" l="1"/>
  <c r="D914" i="3" s="1"/>
  <c r="E914" i="3" l="1"/>
  <c r="H914" i="3" s="1"/>
  <c r="K914" i="3" s="1"/>
  <c r="AE914" i="3" s="1"/>
  <c r="G914" i="3"/>
  <c r="AH914" i="3"/>
  <c r="AG914" i="3"/>
  <c r="F914" i="3" l="1"/>
  <c r="I914" i="3"/>
  <c r="J914" i="3"/>
  <c r="AD914" i="3" s="1"/>
  <c r="M914" i="3"/>
  <c r="N914" i="3" s="1"/>
  <c r="V914" i="3"/>
  <c r="A915" i="3"/>
  <c r="B915" i="3" s="1"/>
  <c r="W914" i="3" l="1"/>
  <c r="L914" i="3"/>
  <c r="P915" i="3"/>
  <c r="Q915" i="3" s="1"/>
  <c r="R915" i="3" s="1"/>
  <c r="S915" i="3" s="1"/>
  <c r="AA915" i="3"/>
  <c r="AC915" i="3"/>
  <c r="Z915" i="3"/>
  <c r="AD915" i="3"/>
  <c r="U914" i="3" l="1"/>
  <c r="Y913" i="3"/>
  <c r="T915" i="3"/>
  <c r="AH915" i="3" s="1"/>
  <c r="E915" i="3" l="1"/>
  <c r="H915" i="3" s="1"/>
  <c r="D915" i="3"/>
  <c r="AG915" i="3"/>
  <c r="K915" i="3" l="1"/>
  <c r="AE915" i="3" s="1"/>
  <c r="F915" i="3"/>
  <c r="G915" i="3"/>
  <c r="I915" i="3" l="1"/>
  <c r="J915" i="3"/>
  <c r="M915" i="3"/>
  <c r="N915" i="3" s="1"/>
  <c r="V915" i="3"/>
  <c r="A916" i="3"/>
  <c r="B916" i="3" s="1"/>
  <c r="W915" i="3" l="1"/>
  <c r="L915" i="3"/>
  <c r="AC916" i="3"/>
  <c r="AA916" i="3"/>
  <c r="Z916" i="3"/>
  <c r="P916" i="3"/>
  <c r="Q916" i="3" s="1"/>
  <c r="R916" i="3" s="1"/>
  <c r="S916" i="3" s="1"/>
  <c r="AD916" i="3"/>
  <c r="U915" i="3" l="1"/>
  <c r="Y914" i="3"/>
  <c r="T916" i="3"/>
  <c r="D916" i="3" l="1"/>
  <c r="G916" i="3" s="1"/>
  <c r="AG916" i="3"/>
  <c r="AH916" i="3"/>
  <c r="E916" i="3"/>
  <c r="H916" i="3" s="1"/>
  <c r="K916" i="3" l="1"/>
  <c r="AE916" i="3" s="1"/>
  <c r="I916" i="3"/>
  <c r="J916" i="3"/>
  <c r="M916" i="3"/>
  <c r="N916" i="3" s="1"/>
  <c r="F916" i="3"/>
  <c r="L916" i="3" l="1"/>
  <c r="V916" i="3"/>
  <c r="W916" i="3" s="1"/>
  <c r="A917" i="3"/>
  <c r="B917" i="3" s="1"/>
  <c r="U916" i="3" l="1"/>
  <c r="Y915" i="3"/>
  <c r="AD917" i="3"/>
  <c r="AC917" i="3"/>
  <c r="Z917" i="3"/>
  <c r="P917" i="3"/>
  <c r="Q917" i="3" s="1"/>
  <c r="R917" i="3" s="1"/>
  <c r="S917" i="3" s="1"/>
  <c r="AA917" i="3"/>
  <c r="T917" i="3" l="1"/>
  <c r="AG917" i="3" s="1"/>
  <c r="E917" i="3" l="1"/>
  <c r="H917" i="3" s="1"/>
  <c r="K917" i="3" s="1"/>
  <c r="AE917" i="3" s="1"/>
  <c r="AH917" i="3"/>
  <c r="D917" i="3"/>
  <c r="F917" i="3" l="1"/>
  <c r="G917" i="3"/>
  <c r="J917" i="3" s="1"/>
  <c r="V917" i="3"/>
  <c r="A918" i="3"/>
  <c r="B918" i="3" s="1"/>
  <c r="M917" i="3" l="1"/>
  <c r="N917" i="3" s="1"/>
  <c r="I917" i="3"/>
  <c r="W917" i="3" s="1"/>
  <c r="L917" i="3"/>
  <c r="AC918" i="3"/>
  <c r="AA918" i="3"/>
  <c r="Z918" i="3"/>
  <c r="P918" i="3"/>
  <c r="Q918" i="3" s="1"/>
  <c r="R918" i="3" s="1"/>
  <c r="S918" i="3" s="1"/>
  <c r="T918" i="3" l="1"/>
  <c r="U917" i="3"/>
  <c r="Y916" i="3"/>
  <c r="E918" i="3" l="1"/>
  <c r="H918" i="3" s="1"/>
  <c r="K918" i="3" s="1"/>
  <c r="AE918" i="3" s="1"/>
  <c r="AH918" i="3"/>
  <c r="D918" i="3"/>
  <c r="G918" i="3" s="1"/>
  <c r="AG918" i="3"/>
  <c r="F918" i="3" l="1"/>
  <c r="I918" i="3"/>
  <c r="J918" i="3"/>
  <c r="AD918" i="3" s="1"/>
  <c r="M918" i="3"/>
  <c r="N918" i="3" s="1"/>
  <c r="V918" i="3"/>
  <c r="A919" i="3"/>
  <c r="B919" i="3" s="1"/>
  <c r="L918" i="3" l="1"/>
  <c r="W918" i="3"/>
  <c r="P919" i="3"/>
  <c r="Q919" i="3" s="1"/>
  <c r="R919" i="3" s="1"/>
  <c r="S919" i="3" s="1"/>
  <c r="Z919" i="3"/>
  <c r="AC919" i="3"/>
  <c r="AD919" i="3"/>
  <c r="AA919" i="3"/>
  <c r="U918" i="3" l="1"/>
  <c r="Y917" i="3"/>
  <c r="T919" i="3"/>
  <c r="AG919" i="3" s="1"/>
  <c r="E919" i="3" l="1"/>
  <c r="H919" i="3" s="1"/>
  <c r="K919" i="3" s="1"/>
  <c r="AE919" i="3" s="1"/>
  <c r="AH919" i="3"/>
  <c r="D919" i="3"/>
  <c r="V919" i="3" l="1"/>
  <c r="A920" i="3"/>
  <c r="B920" i="3" s="1"/>
  <c r="F919" i="3"/>
  <c r="G919" i="3"/>
  <c r="I919" i="3" l="1"/>
  <c r="W919" i="3" s="1"/>
  <c r="J919" i="3"/>
  <c r="M919" i="3"/>
  <c r="N919" i="3" s="1"/>
  <c r="AD920" i="3"/>
  <c r="AC920" i="3"/>
  <c r="P920" i="3"/>
  <c r="Q920" i="3" s="1"/>
  <c r="R920" i="3" s="1"/>
  <c r="S920" i="3" s="1"/>
  <c r="AA920" i="3"/>
  <c r="Z920" i="3"/>
  <c r="T920" i="3" l="1"/>
  <c r="L919" i="3"/>
  <c r="AH920" i="3" l="1"/>
  <c r="U919" i="3"/>
  <c r="E920" i="3" s="1"/>
  <c r="H920" i="3" s="1"/>
  <c r="AG920" i="3"/>
  <c r="Y918" i="3"/>
  <c r="D920" i="3" l="1"/>
  <c r="G920" i="3" s="1"/>
  <c r="K920" i="3"/>
  <c r="AE920" i="3" s="1"/>
  <c r="F920" i="3" l="1"/>
  <c r="V920" i="3"/>
  <c r="A921" i="3"/>
  <c r="B921" i="3" s="1"/>
  <c r="I920" i="3"/>
  <c r="J920" i="3"/>
  <c r="M920" i="3"/>
  <c r="N920" i="3" s="1"/>
  <c r="W920" i="3" l="1"/>
  <c r="L920" i="3"/>
  <c r="AA921" i="3"/>
  <c r="Z921" i="3"/>
  <c r="P921" i="3"/>
  <c r="Q921" i="3" s="1"/>
  <c r="R921" i="3" s="1"/>
  <c r="S921" i="3" s="1"/>
  <c r="AD921" i="3"/>
  <c r="AC921" i="3"/>
  <c r="U920" i="3" l="1"/>
  <c r="Y919" i="3"/>
  <c r="T921" i="3"/>
  <c r="AG921" i="3" s="1"/>
  <c r="E921" i="3" l="1"/>
  <c r="H921" i="3" s="1"/>
  <c r="K921" i="3" s="1"/>
  <c r="AE921" i="3" s="1"/>
  <c r="AH921" i="3"/>
  <c r="D921" i="3"/>
  <c r="G921" i="3" s="1"/>
  <c r="F921" i="3" l="1"/>
  <c r="I921" i="3"/>
  <c r="J921" i="3"/>
  <c r="M921" i="3"/>
  <c r="N921" i="3" s="1"/>
  <c r="V921" i="3"/>
  <c r="A922" i="3"/>
  <c r="B922" i="3" s="1"/>
  <c r="W921" i="3" l="1"/>
  <c r="L921" i="3"/>
  <c r="AC922" i="3"/>
  <c r="AA922" i="3"/>
  <c r="Z922" i="3"/>
  <c r="P922" i="3"/>
  <c r="Q922" i="3" s="1"/>
  <c r="R922" i="3" s="1"/>
  <c r="S922" i="3" s="1"/>
  <c r="AD922" i="3"/>
  <c r="U921" i="3" l="1"/>
  <c r="Y920" i="3"/>
  <c r="T922" i="3"/>
  <c r="E922" i="3" l="1"/>
  <c r="H922" i="3" s="1"/>
  <c r="K922" i="3" s="1"/>
  <c r="AE922" i="3" s="1"/>
  <c r="AH922" i="3"/>
  <c r="D922" i="3"/>
  <c r="AG922" i="3"/>
  <c r="F922" i="3" l="1"/>
  <c r="G922" i="3"/>
  <c r="V922" i="3"/>
  <c r="A923" i="3"/>
  <c r="B923" i="3" s="1"/>
  <c r="AD923" i="3" l="1"/>
  <c r="AC923" i="3"/>
  <c r="Z923" i="3"/>
  <c r="AA923" i="3"/>
  <c r="P923" i="3"/>
  <c r="Q923" i="3" s="1"/>
  <c r="R923" i="3" s="1"/>
  <c r="S923" i="3" s="1"/>
  <c r="I922" i="3"/>
  <c r="W922" i="3" s="1"/>
  <c r="J922" i="3"/>
  <c r="M922" i="3"/>
  <c r="N922" i="3" s="1"/>
  <c r="L922" i="3" l="1"/>
  <c r="T923" i="3"/>
  <c r="AH923" i="3" l="1"/>
  <c r="AG923" i="3"/>
  <c r="U922" i="3"/>
  <c r="D923" i="3" s="1"/>
  <c r="Y921" i="3"/>
  <c r="E923" i="3" l="1"/>
  <c r="H923" i="3" s="1"/>
  <c r="K923" i="3" s="1"/>
  <c r="AE923" i="3" s="1"/>
  <c r="G923" i="3"/>
  <c r="F923" i="3" l="1"/>
  <c r="V923" i="3"/>
  <c r="A924" i="3"/>
  <c r="B924" i="3" s="1"/>
  <c r="I923" i="3"/>
  <c r="J923" i="3"/>
  <c r="M923" i="3"/>
  <c r="N923" i="3" s="1"/>
  <c r="W923" i="3" l="1"/>
  <c r="L923" i="3"/>
  <c r="Z924" i="3"/>
  <c r="AC924" i="3"/>
  <c r="P924" i="3"/>
  <c r="Q924" i="3" s="1"/>
  <c r="R924" i="3" s="1"/>
  <c r="S924" i="3" s="1"/>
  <c r="AA924" i="3"/>
  <c r="U923" i="3" l="1"/>
  <c r="Y922" i="3"/>
  <c r="T924" i="3"/>
  <c r="AH924" i="3" s="1"/>
  <c r="D924" i="3" l="1"/>
  <c r="G924" i="3" s="1"/>
  <c r="AG924" i="3"/>
  <c r="E924" i="3"/>
  <c r="H924" i="3" s="1"/>
  <c r="K924" i="3" s="1"/>
  <c r="AE924" i="3" s="1"/>
  <c r="F924" i="3" l="1"/>
  <c r="I924" i="3"/>
  <c r="J924" i="3"/>
  <c r="AD924" i="3" s="1"/>
  <c r="M924" i="3"/>
  <c r="N924" i="3" s="1"/>
  <c r="V924" i="3"/>
  <c r="A925" i="3"/>
  <c r="B925" i="3" s="1"/>
  <c r="W924" i="3" l="1"/>
  <c r="L924" i="3"/>
  <c r="Z925" i="3"/>
  <c r="AA925" i="3"/>
  <c r="AD925" i="3"/>
  <c r="AC925" i="3"/>
  <c r="P925" i="3"/>
  <c r="Q925" i="3" s="1"/>
  <c r="R925" i="3" s="1"/>
  <c r="S925" i="3" s="1"/>
  <c r="T925" i="3" l="1"/>
  <c r="AG925" i="3" s="1"/>
  <c r="U924" i="3"/>
  <c r="Y923" i="3"/>
  <c r="AH925" i="3" l="1"/>
  <c r="E925" i="3"/>
  <c r="H925" i="3" s="1"/>
  <c r="D925" i="3"/>
  <c r="K925" i="3" l="1"/>
  <c r="AE925" i="3" s="1"/>
  <c r="F925" i="3"/>
  <c r="G925" i="3"/>
  <c r="I925" i="3" l="1"/>
  <c r="J925" i="3"/>
  <c r="M925" i="3"/>
  <c r="N925" i="3" s="1"/>
  <c r="V925" i="3"/>
  <c r="A926" i="3"/>
  <c r="B926" i="3" s="1"/>
  <c r="W925" i="3" l="1"/>
  <c r="L925" i="3"/>
  <c r="AC926" i="3"/>
  <c r="AA926" i="3"/>
  <c r="AD926" i="3"/>
  <c r="P926" i="3"/>
  <c r="Q926" i="3" s="1"/>
  <c r="R926" i="3" s="1"/>
  <c r="S926" i="3" s="1"/>
  <c r="Z926" i="3"/>
  <c r="U925" i="3" l="1"/>
  <c r="Y924" i="3"/>
  <c r="T926" i="3"/>
  <c r="AG926" i="3" s="1"/>
  <c r="E926" i="3" l="1"/>
  <c r="H926" i="3" s="1"/>
  <c r="K926" i="3" s="1"/>
  <c r="AE926" i="3" s="1"/>
  <c r="AH926" i="3"/>
  <c r="D926" i="3"/>
  <c r="V926" i="3" l="1"/>
  <c r="A927" i="3"/>
  <c r="B927" i="3" s="1"/>
  <c r="F926" i="3"/>
  <c r="G926" i="3"/>
  <c r="I926" i="3" l="1"/>
  <c r="W926" i="3" s="1"/>
  <c r="J926" i="3"/>
  <c r="M926" i="3"/>
  <c r="N926" i="3" s="1"/>
  <c r="AD927" i="3"/>
  <c r="Z927" i="3"/>
  <c r="P927" i="3"/>
  <c r="Q927" i="3" s="1"/>
  <c r="R927" i="3" s="1"/>
  <c r="S927" i="3" s="1"/>
  <c r="AA927" i="3"/>
  <c r="AC927" i="3"/>
  <c r="T927" i="3" l="1"/>
  <c r="L926" i="3"/>
  <c r="U926" i="3" l="1"/>
  <c r="D927" i="3" s="1"/>
  <c r="AG927" i="3"/>
  <c r="AH927" i="3"/>
  <c r="Y925" i="3"/>
  <c r="G927" i="3" l="1"/>
  <c r="E927" i="3"/>
  <c r="H927" i="3" s="1"/>
  <c r="F927" i="3" l="1"/>
  <c r="K927" i="3"/>
  <c r="AE927" i="3" s="1"/>
  <c r="I927" i="3"/>
  <c r="J927" i="3"/>
  <c r="M927" i="3"/>
  <c r="N927" i="3" s="1"/>
  <c r="L927" i="3" l="1"/>
  <c r="V927" i="3"/>
  <c r="W927" i="3" s="1"/>
  <c r="A928" i="3"/>
  <c r="B928" i="3" s="1"/>
  <c r="U927" i="3" l="1"/>
  <c r="Y926" i="3"/>
  <c r="AC928" i="3"/>
  <c r="AA928" i="3"/>
  <c r="Z928" i="3"/>
  <c r="P928" i="3"/>
  <c r="Q928" i="3" s="1"/>
  <c r="R928" i="3" s="1"/>
  <c r="S928" i="3" s="1"/>
  <c r="T928" i="3" l="1"/>
  <c r="D928" i="3" s="1"/>
  <c r="AH928" i="3" l="1"/>
  <c r="E928" i="3"/>
  <c r="H928" i="3" s="1"/>
  <c r="K928" i="3" s="1"/>
  <c r="AE928" i="3" s="1"/>
  <c r="AG928" i="3"/>
  <c r="G928" i="3"/>
  <c r="F928" i="3" l="1"/>
  <c r="I928" i="3"/>
  <c r="J928" i="3"/>
  <c r="AD928" i="3" s="1"/>
  <c r="M928" i="3"/>
  <c r="N928" i="3" s="1"/>
  <c r="V928" i="3"/>
  <c r="A929" i="3"/>
  <c r="B929" i="3" s="1"/>
  <c r="L928" i="3" l="1"/>
  <c r="P929" i="3"/>
  <c r="Q929" i="3" s="1"/>
  <c r="R929" i="3" s="1"/>
  <c r="S929" i="3" s="1"/>
  <c r="AD929" i="3"/>
  <c r="AC929" i="3"/>
  <c r="Z929" i="3"/>
  <c r="AA929" i="3"/>
  <c r="W928" i="3"/>
  <c r="T929" i="3" l="1"/>
  <c r="AG929" i="3" s="1"/>
  <c r="U928" i="3"/>
  <c r="Y927" i="3"/>
  <c r="AH929" i="3" l="1"/>
  <c r="D929" i="3"/>
  <c r="E929" i="3"/>
  <c r="H929" i="3" s="1"/>
  <c r="F929" i="3" l="1"/>
  <c r="G929" i="3"/>
  <c r="K929" i="3"/>
  <c r="AE929" i="3" s="1"/>
  <c r="V929" i="3" l="1"/>
  <c r="A930" i="3"/>
  <c r="B930" i="3" s="1"/>
  <c r="I929" i="3"/>
  <c r="J929" i="3"/>
  <c r="M929" i="3"/>
  <c r="N929" i="3" s="1"/>
  <c r="L929" i="3" l="1"/>
  <c r="AD930" i="3"/>
  <c r="P930" i="3"/>
  <c r="Q930" i="3" s="1"/>
  <c r="R930" i="3" s="1"/>
  <c r="S930" i="3" s="1"/>
  <c r="AC930" i="3"/>
  <c r="Z930" i="3"/>
  <c r="AA930" i="3"/>
  <c r="W929" i="3"/>
  <c r="T930" i="3" l="1"/>
  <c r="U929" i="3"/>
  <c r="Y928" i="3"/>
  <c r="D930" i="3" l="1"/>
  <c r="G930" i="3" s="1"/>
  <c r="AH930" i="3"/>
  <c r="E930" i="3"/>
  <c r="H930" i="3" s="1"/>
  <c r="AG930" i="3"/>
  <c r="F930" i="3" l="1"/>
  <c r="I930" i="3"/>
  <c r="J930" i="3"/>
  <c r="M930" i="3"/>
  <c r="N930" i="3" s="1"/>
  <c r="K930" i="3"/>
  <c r="AE930" i="3" s="1"/>
  <c r="V930" i="3" l="1"/>
  <c r="W930" i="3" s="1"/>
  <c r="A931" i="3"/>
  <c r="B931" i="3" s="1"/>
  <c r="L930" i="3"/>
  <c r="U930" i="3" l="1"/>
  <c r="Y929" i="3"/>
  <c r="AC931" i="3"/>
  <c r="AA931" i="3"/>
  <c r="Z931" i="3"/>
  <c r="P931" i="3"/>
  <c r="Q931" i="3" s="1"/>
  <c r="R931" i="3" s="1"/>
  <c r="S931" i="3" s="1"/>
  <c r="AD931" i="3"/>
  <c r="T931" i="3" l="1"/>
  <c r="AH931" i="3" s="1"/>
  <c r="E931" i="3" l="1"/>
  <c r="H931" i="3" s="1"/>
  <c r="D931" i="3"/>
  <c r="AG931" i="3"/>
  <c r="K931" i="3" l="1"/>
  <c r="AE931" i="3" s="1"/>
  <c r="F931" i="3"/>
  <c r="G931" i="3"/>
  <c r="I931" i="3" l="1"/>
  <c r="J931" i="3"/>
  <c r="M931" i="3"/>
  <c r="N931" i="3" s="1"/>
  <c r="V931" i="3"/>
  <c r="A932" i="3"/>
  <c r="B932" i="3" s="1"/>
  <c r="W931" i="3" l="1"/>
  <c r="L931" i="3"/>
  <c r="AA932" i="3"/>
  <c r="AD932" i="3"/>
  <c r="Z932" i="3"/>
  <c r="AC932" i="3"/>
  <c r="P932" i="3"/>
  <c r="Q932" i="3" s="1"/>
  <c r="R932" i="3" s="1"/>
  <c r="S932" i="3" s="1"/>
  <c r="U931" i="3" l="1"/>
  <c r="Y930" i="3"/>
  <c r="T932" i="3"/>
  <c r="AH932" i="3" s="1"/>
  <c r="E932" i="3" l="1"/>
  <c r="H932" i="3" s="1"/>
  <c r="D932" i="3"/>
  <c r="AG932" i="3"/>
  <c r="K932" i="3" l="1"/>
  <c r="AE932" i="3" s="1"/>
  <c r="F932" i="3"/>
  <c r="G932" i="3"/>
  <c r="V932" i="3" l="1"/>
  <c r="A933" i="3"/>
  <c r="B933" i="3" s="1"/>
  <c r="I932" i="3"/>
  <c r="J932" i="3"/>
  <c r="M932" i="3"/>
  <c r="N932" i="3" s="1"/>
  <c r="L932" i="3" l="1"/>
  <c r="W932" i="3"/>
  <c r="AA933" i="3"/>
  <c r="P933" i="3"/>
  <c r="Q933" i="3" s="1"/>
  <c r="R933" i="3" s="1"/>
  <c r="S933" i="3" s="1"/>
  <c r="Z933" i="3"/>
  <c r="AD933" i="3"/>
  <c r="AC933" i="3"/>
  <c r="U932" i="3" l="1"/>
  <c r="Y931" i="3"/>
  <c r="T933" i="3"/>
  <c r="D933" i="3" l="1"/>
  <c r="G933" i="3" s="1"/>
  <c r="AH933" i="3"/>
  <c r="AG933" i="3"/>
  <c r="E933" i="3"/>
  <c r="H933" i="3" s="1"/>
  <c r="K933" i="3" l="1"/>
  <c r="AE933" i="3" s="1"/>
  <c r="I933" i="3"/>
  <c r="J933" i="3"/>
  <c r="M933" i="3"/>
  <c r="N933" i="3" s="1"/>
  <c r="F933" i="3"/>
  <c r="V933" i="3" l="1"/>
  <c r="W933" i="3" s="1"/>
  <c r="A934" i="3"/>
  <c r="B934" i="3" s="1"/>
  <c r="L933" i="3"/>
  <c r="U933" i="3" l="1"/>
  <c r="Y932" i="3"/>
  <c r="AC934" i="3"/>
  <c r="Z934" i="3"/>
  <c r="P934" i="3"/>
  <c r="Q934" i="3" s="1"/>
  <c r="R934" i="3" s="1"/>
  <c r="S934" i="3" s="1"/>
  <c r="AA934" i="3"/>
  <c r="T934" i="3" l="1"/>
  <c r="AH934" i="3" s="1"/>
  <c r="AG934" i="3" l="1"/>
  <c r="D934" i="3"/>
  <c r="E934" i="3"/>
  <c r="H934" i="3" s="1"/>
  <c r="K934" i="3" l="1"/>
  <c r="AE934" i="3" s="1"/>
  <c r="F934" i="3"/>
  <c r="G934" i="3"/>
  <c r="V934" i="3" l="1"/>
  <c r="A935" i="3"/>
  <c r="B935" i="3" s="1"/>
  <c r="I934" i="3"/>
  <c r="J934" i="3"/>
  <c r="AD934" i="3" s="1"/>
  <c r="M934" i="3"/>
  <c r="N934" i="3" s="1"/>
  <c r="W934" i="3" l="1"/>
  <c r="L934" i="3"/>
  <c r="AD935" i="3"/>
  <c r="P935" i="3"/>
  <c r="Q935" i="3" s="1"/>
  <c r="R935" i="3" s="1"/>
  <c r="S935" i="3" s="1"/>
  <c r="AA935" i="3"/>
  <c r="AC935" i="3"/>
  <c r="Z935" i="3"/>
  <c r="T935" i="3" l="1"/>
  <c r="U934" i="3"/>
  <c r="Y933" i="3"/>
  <c r="E935" i="3" l="1"/>
  <c r="H935" i="3" s="1"/>
  <c r="K935" i="3" s="1"/>
  <c r="AE935" i="3" s="1"/>
  <c r="AH935" i="3"/>
  <c r="AG935" i="3"/>
  <c r="D935" i="3"/>
  <c r="V935" i="3" l="1"/>
  <c r="A936" i="3"/>
  <c r="B936" i="3" s="1"/>
  <c r="F935" i="3"/>
  <c r="G935" i="3"/>
  <c r="I935" i="3" l="1"/>
  <c r="W935" i="3" s="1"/>
  <c r="J935" i="3"/>
  <c r="M935" i="3"/>
  <c r="N935" i="3" s="1"/>
  <c r="P936" i="3"/>
  <c r="Q936" i="3" s="1"/>
  <c r="R936" i="3" s="1"/>
  <c r="S936" i="3" s="1"/>
  <c r="AD936" i="3"/>
  <c r="AC936" i="3"/>
  <c r="Z936" i="3"/>
  <c r="AA936" i="3"/>
  <c r="T936" i="3" l="1"/>
  <c r="L935" i="3"/>
  <c r="AH936" i="3" l="1"/>
  <c r="U935" i="3"/>
  <c r="E936" i="3" s="1"/>
  <c r="H936" i="3" s="1"/>
  <c r="AG936" i="3"/>
  <c r="Y934" i="3"/>
  <c r="D936" i="3" l="1"/>
  <c r="F936" i="3" s="1"/>
  <c r="K936" i="3"/>
  <c r="AE936" i="3" s="1"/>
  <c r="G936" i="3" l="1"/>
  <c r="J936" i="3" s="1"/>
  <c r="V936" i="3"/>
  <c r="A937" i="3"/>
  <c r="B937" i="3" s="1"/>
  <c r="M936" i="3" l="1"/>
  <c r="N936" i="3" s="1"/>
  <c r="I936" i="3"/>
  <c r="W936" i="3" s="1"/>
  <c r="L936" i="3"/>
  <c r="AD937" i="3"/>
  <c r="P937" i="3"/>
  <c r="Q937" i="3" s="1"/>
  <c r="R937" i="3" s="1"/>
  <c r="S937" i="3" s="1"/>
  <c r="AA937" i="3"/>
  <c r="Z937" i="3"/>
  <c r="AC937" i="3"/>
  <c r="U936" i="3" l="1"/>
  <c r="Y935" i="3"/>
  <c r="T937" i="3"/>
  <c r="AG937" i="3" s="1"/>
  <c r="E937" i="3" l="1"/>
  <c r="H937" i="3" s="1"/>
  <c r="K937" i="3" s="1"/>
  <c r="AE937" i="3" s="1"/>
  <c r="D937" i="3"/>
  <c r="G937" i="3" s="1"/>
  <c r="AH937" i="3"/>
  <c r="F937" i="3" l="1"/>
  <c r="V937" i="3"/>
  <c r="A938" i="3"/>
  <c r="B938" i="3" s="1"/>
  <c r="I937" i="3"/>
  <c r="J937" i="3"/>
  <c r="M937" i="3"/>
  <c r="N937" i="3" s="1"/>
  <c r="W937" i="3" l="1"/>
  <c r="L937" i="3"/>
  <c r="Z938" i="3"/>
  <c r="P938" i="3"/>
  <c r="Q938" i="3" s="1"/>
  <c r="R938" i="3" s="1"/>
  <c r="S938" i="3" s="1"/>
  <c r="AA938" i="3"/>
  <c r="AC938" i="3"/>
  <c r="T938" i="3" l="1"/>
  <c r="AG938" i="3" s="1"/>
  <c r="U937" i="3"/>
  <c r="Y936" i="3"/>
  <c r="D938" i="3" l="1"/>
  <c r="AH938" i="3"/>
  <c r="E938" i="3"/>
  <c r="H938" i="3" s="1"/>
  <c r="F938" i="3" l="1"/>
  <c r="G938" i="3"/>
  <c r="J938" i="3" s="1"/>
  <c r="AD938" i="3" s="1"/>
  <c r="K938" i="3"/>
  <c r="AE938" i="3" s="1"/>
  <c r="I938" i="3" l="1"/>
  <c r="M938" i="3"/>
  <c r="N938" i="3" s="1"/>
  <c r="V938" i="3"/>
  <c r="A939" i="3"/>
  <c r="B939" i="3" s="1"/>
  <c r="L938" i="3"/>
  <c r="W938" i="3" l="1"/>
  <c r="U938" i="3"/>
  <c r="Y937" i="3"/>
  <c r="AA939" i="3"/>
  <c r="P939" i="3"/>
  <c r="Q939" i="3" s="1"/>
  <c r="R939" i="3" s="1"/>
  <c r="S939" i="3" s="1"/>
  <c r="Z939" i="3"/>
  <c r="AD939" i="3"/>
  <c r="AC939" i="3"/>
  <c r="T939" i="3" l="1"/>
  <c r="E939" i="3" s="1"/>
  <c r="H939" i="3" s="1"/>
  <c r="K939" i="3" l="1"/>
  <c r="AE939" i="3" s="1"/>
  <c r="AG939" i="3"/>
  <c r="D939" i="3"/>
  <c r="AH939" i="3"/>
  <c r="F939" i="3" l="1"/>
  <c r="G939" i="3"/>
  <c r="V939" i="3"/>
  <c r="A940" i="3"/>
  <c r="B940" i="3" s="1"/>
  <c r="AC940" i="3" l="1"/>
  <c r="Z940" i="3"/>
  <c r="P940" i="3"/>
  <c r="Q940" i="3" s="1"/>
  <c r="R940" i="3" s="1"/>
  <c r="S940" i="3" s="1"/>
  <c r="AA940" i="3"/>
  <c r="AD940" i="3"/>
  <c r="I939" i="3"/>
  <c r="W939" i="3" s="1"/>
  <c r="J939" i="3"/>
  <c r="M939" i="3"/>
  <c r="N939" i="3" s="1"/>
  <c r="T940" i="3" l="1"/>
  <c r="L939" i="3"/>
  <c r="AG940" i="3" l="1"/>
  <c r="AH940" i="3"/>
  <c r="U939" i="3"/>
  <c r="D940" i="3" s="1"/>
  <c r="Y938" i="3"/>
  <c r="E940" i="3" l="1"/>
  <c r="H940" i="3" s="1"/>
  <c r="K940" i="3" s="1"/>
  <c r="AE940" i="3" s="1"/>
  <c r="G940" i="3"/>
  <c r="F940" i="3" l="1"/>
  <c r="I940" i="3"/>
  <c r="J940" i="3"/>
  <c r="M940" i="3"/>
  <c r="N940" i="3" s="1"/>
  <c r="V940" i="3"/>
  <c r="A941" i="3"/>
  <c r="B941" i="3" s="1"/>
  <c r="W940" i="3" l="1"/>
  <c r="L940" i="3"/>
  <c r="AD941" i="3"/>
  <c r="P941" i="3"/>
  <c r="Q941" i="3" s="1"/>
  <c r="R941" i="3" s="1"/>
  <c r="S941" i="3" s="1"/>
  <c r="Z941" i="3"/>
  <c r="AC941" i="3"/>
  <c r="AA941" i="3"/>
  <c r="T941" i="3" l="1"/>
  <c r="U940" i="3"/>
  <c r="Y939" i="3"/>
  <c r="E941" i="3" l="1"/>
  <c r="H941" i="3" s="1"/>
  <c r="K941" i="3" s="1"/>
  <c r="AE941" i="3" s="1"/>
  <c r="AH941" i="3"/>
  <c r="AG941" i="3"/>
  <c r="D941" i="3"/>
  <c r="F941" i="3" l="1"/>
  <c r="G941" i="3"/>
  <c r="V941" i="3"/>
  <c r="A942" i="3"/>
  <c r="B942" i="3" s="1"/>
  <c r="Z942" i="3" l="1"/>
  <c r="AD942" i="3"/>
  <c r="AC942" i="3"/>
  <c r="AA942" i="3"/>
  <c r="P942" i="3"/>
  <c r="Q942" i="3" s="1"/>
  <c r="R942" i="3" s="1"/>
  <c r="S942" i="3" s="1"/>
  <c r="I941" i="3"/>
  <c r="W941" i="3" s="1"/>
  <c r="J941" i="3"/>
  <c r="M941" i="3"/>
  <c r="N941" i="3" s="1"/>
  <c r="T942" i="3" l="1"/>
  <c r="L941" i="3"/>
  <c r="U941" i="3" l="1"/>
  <c r="E942" i="3" s="1"/>
  <c r="H942" i="3" s="1"/>
  <c r="AG942" i="3"/>
  <c r="AH942" i="3"/>
  <c r="Y940" i="3"/>
  <c r="D942" i="3" l="1"/>
  <c r="G942" i="3" s="1"/>
  <c r="K942" i="3"/>
  <c r="AE942" i="3" s="1"/>
  <c r="F942" i="3" l="1"/>
  <c r="I942" i="3"/>
  <c r="J942" i="3"/>
  <c r="M942" i="3"/>
  <c r="N942" i="3" s="1"/>
  <c r="V942" i="3"/>
  <c r="A943" i="3"/>
  <c r="B943" i="3" s="1"/>
  <c r="W942" i="3" l="1"/>
  <c r="L942" i="3"/>
  <c r="AA943" i="3"/>
  <c r="AC943" i="3"/>
  <c r="P943" i="3"/>
  <c r="Q943" i="3" s="1"/>
  <c r="R943" i="3" s="1"/>
  <c r="S943" i="3" s="1"/>
  <c r="Z943" i="3"/>
  <c r="AD943" i="3"/>
  <c r="U942" i="3" l="1"/>
  <c r="Y941" i="3"/>
  <c r="T943" i="3"/>
  <c r="AG943" i="3" s="1"/>
  <c r="E943" i="3" l="1"/>
  <c r="H943" i="3" s="1"/>
  <c r="K943" i="3" s="1"/>
  <c r="AE943" i="3" s="1"/>
  <c r="D943" i="3"/>
  <c r="AH943" i="3"/>
  <c r="F943" i="3" l="1"/>
  <c r="G943" i="3"/>
  <c r="M943" i="3" s="1"/>
  <c r="N943" i="3" s="1"/>
  <c r="V943" i="3"/>
  <c r="A944" i="3"/>
  <c r="B944" i="3" s="1"/>
  <c r="I943" i="3" l="1"/>
  <c r="W943" i="3" s="1"/>
  <c r="J943" i="3"/>
  <c r="L943" i="3" s="1"/>
  <c r="P944" i="3"/>
  <c r="Q944" i="3" s="1"/>
  <c r="R944" i="3" s="1"/>
  <c r="S944" i="3" s="1"/>
  <c r="AC944" i="3"/>
  <c r="Z944" i="3"/>
  <c r="AA944" i="3"/>
  <c r="U943" i="3" l="1"/>
  <c r="Y942" i="3"/>
  <c r="T944" i="3"/>
  <c r="AH944" i="3" s="1"/>
  <c r="D944" i="3" l="1"/>
  <c r="E944" i="3"/>
  <c r="H944" i="3" s="1"/>
  <c r="AG944" i="3"/>
  <c r="F944" i="3" l="1"/>
  <c r="G944" i="3"/>
  <c r="K944" i="3"/>
  <c r="AE944" i="3" s="1"/>
  <c r="I944" i="3" l="1"/>
  <c r="J944" i="3"/>
  <c r="AD944" i="3" s="1"/>
  <c r="M944" i="3"/>
  <c r="N944" i="3" s="1"/>
  <c r="V944" i="3"/>
  <c r="A945" i="3"/>
  <c r="B945" i="3" s="1"/>
  <c r="W944" i="3" l="1"/>
  <c r="L944" i="3"/>
  <c r="P945" i="3"/>
  <c r="Q945" i="3" s="1"/>
  <c r="R945" i="3" s="1"/>
  <c r="S945" i="3" s="1"/>
  <c r="AC945" i="3"/>
  <c r="Z945" i="3"/>
  <c r="AD945" i="3"/>
  <c r="AA945" i="3"/>
  <c r="U944" i="3" l="1"/>
  <c r="Y943" i="3"/>
  <c r="T945" i="3"/>
  <c r="D945" i="3" l="1"/>
  <c r="G945" i="3" s="1"/>
  <c r="AH945" i="3"/>
  <c r="E945" i="3"/>
  <c r="H945" i="3" s="1"/>
  <c r="AG945" i="3"/>
  <c r="F945" i="3" l="1"/>
  <c r="I945" i="3"/>
  <c r="J945" i="3"/>
  <c r="M945" i="3"/>
  <c r="N945" i="3" s="1"/>
  <c r="K945" i="3"/>
  <c r="AE945" i="3" s="1"/>
  <c r="V945" i="3" l="1"/>
  <c r="W945" i="3" s="1"/>
  <c r="A946" i="3"/>
  <c r="B946" i="3" s="1"/>
  <c r="L945" i="3"/>
  <c r="U945" i="3" l="1"/>
  <c r="Y944" i="3"/>
  <c r="P946" i="3"/>
  <c r="Q946" i="3" s="1"/>
  <c r="R946" i="3" s="1"/>
  <c r="S946" i="3" s="1"/>
  <c r="AC946" i="3"/>
  <c r="AA946" i="3"/>
  <c r="AD946" i="3"/>
  <c r="Z946" i="3"/>
  <c r="T946" i="3" l="1"/>
  <c r="E946" i="3" s="1"/>
  <c r="H946" i="3" s="1"/>
  <c r="K946" i="3" l="1"/>
  <c r="AE946" i="3" s="1"/>
  <c r="AG946" i="3"/>
  <c r="D946" i="3"/>
  <c r="AH946" i="3"/>
  <c r="F946" i="3" l="1"/>
  <c r="G946" i="3"/>
  <c r="V946" i="3"/>
  <c r="A947" i="3"/>
  <c r="B947" i="3" s="1"/>
  <c r="Z947" i="3" l="1"/>
  <c r="AC947" i="3"/>
  <c r="P947" i="3"/>
  <c r="Q947" i="3" s="1"/>
  <c r="R947" i="3" s="1"/>
  <c r="S947" i="3" s="1"/>
  <c r="AA947" i="3"/>
  <c r="AD947" i="3"/>
  <c r="I946" i="3"/>
  <c r="W946" i="3" s="1"/>
  <c r="J946" i="3"/>
  <c r="M946" i="3"/>
  <c r="N946" i="3" s="1"/>
  <c r="L946" i="3" l="1"/>
  <c r="T947" i="3"/>
  <c r="AH947" i="3" l="1"/>
  <c r="AG947" i="3"/>
  <c r="U946" i="3"/>
  <c r="E947" i="3" s="1"/>
  <c r="H947" i="3" s="1"/>
  <c r="Y945" i="3"/>
  <c r="D947" i="3" l="1"/>
  <c r="G947" i="3" s="1"/>
  <c r="K947" i="3"/>
  <c r="AE947" i="3" s="1"/>
  <c r="F947" i="3" l="1"/>
  <c r="V947" i="3"/>
  <c r="A948" i="3"/>
  <c r="B948" i="3" s="1"/>
  <c r="I947" i="3"/>
  <c r="J947" i="3"/>
  <c r="M947" i="3"/>
  <c r="N947" i="3" s="1"/>
  <c r="W947" i="3" l="1"/>
  <c r="L947" i="3"/>
  <c r="P948" i="3"/>
  <c r="Q948" i="3" s="1"/>
  <c r="R948" i="3" s="1"/>
  <c r="S948" i="3" s="1"/>
  <c r="AA948" i="3"/>
  <c r="Z948" i="3"/>
  <c r="AC948" i="3"/>
  <c r="U947" i="3" l="1"/>
  <c r="Y946" i="3"/>
  <c r="T948" i="3"/>
  <c r="AH948" i="3" s="1"/>
  <c r="AG948" i="3" l="1"/>
  <c r="E948" i="3"/>
  <c r="H948" i="3" s="1"/>
  <c r="D948" i="3"/>
  <c r="K948" i="3" l="1"/>
  <c r="AE948" i="3" s="1"/>
  <c r="F948" i="3"/>
  <c r="G948" i="3"/>
  <c r="I948" i="3" l="1"/>
  <c r="J948" i="3"/>
  <c r="AD948" i="3" s="1"/>
  <c r="M948" i="3"/>
  <c r="N948" i="3" s="1"/>
  <c r="V948" i="3"/>
  <c r="A949" i="3"/>
  <c r="B949" i="3" s="1"/>
  <c r="W948" i="3" l="1"/>
  <c r="L948" i="3"/>
  <c r="AD949" i="3"/>
  <c r="AA949" i="3"/>
  <c r="AC949" i="3"/>
  <c r="Z949" i="3"/>
  <c r="P949" i="3"/>
  <c r="Q949" i="3" s="1"/>
  <c r="R949" i="3" s="1"/>
  <c r="S949" i="3" s="1"/>
  <c r="U948" i="3" l="1"/>
  <c r="Y947" i="3"/>
  <c r="T949" i="3"/>
  <c r="AH949" i="3" s="1"/>
  <c r="AG949" i="3" l="1"/>
  <c r="D949" i="3"/>
  <c r="G949" i="3" s="1"/>
  <c r="E949" i="3"/>
  <c r="H949" i="3" s="1"/>
  <c r="K949" i="3" s="1"/>
  <c r="AE949" i="3" s="1"/>
  <c r="F949" i="3" l="1"/>
  <c r="I949" i="3"/>
  <c r="J949" i="3"/>
  <c r="M949" i="3"/>
  <c r="N949" i="3" s="1"/>
  <c r="V949" i="3"/>
  <c r="A950" i="3"/>
  <c r="B950" i="3" s="1"/>
  <c r="W949" i="3" l="1"/>
  <c r="L949" i="3"/>
  <c r="Z950" i="3"/>
  <c r="AC950" i="3"/>
  <c r="P950" i="3"/>
  <c r="Q950" i="3" s="1"/>
  <c r="R950" i="3" s="1"/>
  <c r="S950" i="3" s="1"/>
  <c r="AD950" i="3"/>
  <c r="AA950" i="3"/>
  <c r="T950" i="3" l="1"/>
  <c r="U949" i="3"/>
  <c r="Y948" i="3"/>
  <c r="D950" i="3" l="1"/>
  <c r="G950" i="3" s="1"/>
  <c r="AG950" i="3"/>
  <c r="E950" i="3"/>
  <c r="H950" i="3" s="1"/>
  <c r="K950" i="3" s="1"/>
  <c r="AE950" i="3" s="1"/>
  <c r="AH950" i="3"/>
  <c r="F950" i="3" l="1"/>
  <c r="I950" i="3"/>
  <c r="J950" i="3"/>
  <c r="M950" i="3"/>
  <c r="N950" i="3" s="1"/>
  <c r="V950" i="3"/>
  <c r="A951" i="3"/>
  <c r="B951" i="3" s="1"/>
  <c r="W950" i="3" l="1"/>
  <c r="P951" i="3"/>
  <c r="Q951" i="3" s="1"/>
  <c r="R951" i="3" s="1"/>
  <c r="S951" i="3" s="1"/>
  <c r="AA951" i="3"/>
  <c r="AC951" i="3"/>
  <c r="AD951" i="3"/>
  <c r="Z951" i="3"/>
  <c r="L950" i="3"/>
  <c r="T951" i="3" l="1"/>
  <c r="U950" i="3"/>
  <c r="Y949" i="3"/>
  <c r="D951" i="3" l="1"/>
  <c r="G951" i="3" s="1"/>
  <c r="AH951" i="3"/>
  <c r="AG951" i="3"/>
  <c r="E951" i="3"/>
  <c r="H951" i="3" s="1"/>
  <c r="K951" i="3" s="1"/>
  <c r="AE951" i="3" s="1"/>
  <c r="F951" i="3" l="1"/>
  <c r="I951" i="3"/>
  <c r="J951" i="3"/>
  <c r="M951" i="3"/>
  <c r="N951" i="3" s="1"/>
  <c r="V951" i="3"/>
  <c r="A952" i="3"/>
  <c r="B952" i="3" s="1"/>
  <c r="AC952" i="3" l="1"/>
  <c r="Z952" i="3"/>
  <c r="AD952" i="3"/>
  <c r="P952" i="3"/>
  <c r="Q952" i="3" s="1"/>
  <c r="R952" i="3" s="1"/>
  <c r="S952" i="3" s="1"/>
  <c r="AA952" i="3"/>
  <c r="W951" i="3"/>
  <c r="L951" i="3"/>
  <c r="U951" i="3" l="1"/>
  <c r="Y950" i="3"/>
  <c r="T952" i="3"/>
  <c r="D952" i="3" l="1"/>
  <c r="G952" i="3" s="1"/>
  <c r="E952" i="3"/>
  <c r="H952" i="3" s="1"/>
  <c r="AH952" i="3"/>
  <c r="AG952" i="3"/>
  <c r="F952" i="3" l="1"/>
  <c r="I952" i="3"/>
  <c r="J952" i="3"/>
  <c r="M952" i="3"/>
  <c r="N952" i="3" s="1"/>
  <c r="K952" i="3"/>
  <c r="AE952" i="3" s="1"/>
  <c r="V952" i="3" l="1"/>
  <c r="W952" i="3" s="1"/>
  <c r="A953" i="3"/>
  <c r="B953" i="3" s="1"/>
  <c r="L952" i="3"/>
  <c r="U952" i="3" l="1"/>
  <c r="Y951" i="3"/>
  <c r="Z953" i="3"/>
  <c r="AA953" i="3"/>
  <c r="AD953" i="3"/>
  <c r="P953" i="3"/>
  <c r="Q953" i="3" s="1"/>
  <c r="R953" i="3" s="1"/>
  <c r="S953" i="3" s="1"/>
  <c r="AC953" i="3"/>
  <c r="T953" i="3" l="1"/>
  <c r="AG953" i="3" s="1"/>
  <c r="E953" i="3" l="1"/>
  <c r="H953" i="3" s="1"/>
  <c r="K953" i="3" s="1"/>
  <c r="AE953" i="3" s="1"/>
  <c r="AH953" i="3"/>
  <c r="D953" i="3"/>
  <c r="G953" i="3" s="1"/>
  <c r="F953" i="3" l="1"/>
  <c r="I953" i="3"/>
  <c r="J953" i="3"/>
  <c r="M953" i="3"/>
  <c r="N953" i="3" s="1"/>
  <c r="V953" i="3"/>
  <c r="A954" i="3"/>
  <c r="B954" i="3" s="1"/>
  <c r="W953" i="3" l="1"/>
  <c r="L953" i="3"/>
  <c r="AA954" i="3"/>
  <c r="P954" i="3"/>
  <c r="Q954" i="3" s="1"/>
  <c r="R954" i="3" s="1"/>
  <c r="S954" i="3" s="1"/>
  <c r="AC954" i="3"/>
  <c r="Z954" i="3"/>
  <c r="T954" i="3" l="1"/>
  <c r="U953" i="3"/>
  <c r="Y952" i="3"/>
  <c r="E954" i="3" l="1"/>
  <c r="H954" i="3" s="1"/>
  <c r="K954" i="3" s="1"/>
  <c r="AE954" i="3" s="1"/>
  <c r="AG954" i="3"/>
  <c r="AH954" i="3"/>
  <c r="D954" i="3"/>
  <c r="G954" i="3" s="1"/>
  <c r="F954" i="3" l="1"/>
  <c r="V954" i="3"/>
  <c r="A955" i="3"/>
  <c r="B955" i="3" s="1"/>
  <c r="I954" i="3"/>
  <c r="J954" i="3"/>
  <c r="AD954" i="3" s="1"/>
  <c r="M954" i="3"/>
  <c r="N954" i="3" s="1"/>
  <c r="W954" i="3" l="1"/>
  <c r="L954" i="3"/>
  <c r="P955" i="3"/>
  <c r="Q955" i="3" s="1"/>
  <c r="R955" i="3" s="1"/>
  <c r="S955" i="3" s="1"/>
  <c r="AA955" i="3"/>
  <c r="AC955" i="3"/>
  <c r="Z955" i="3"/>
  <c r="U954" i="3" l="1"/>
  <c r="Y953" i="3"/>
  <c r="T955" i="3"/>
  <c r="AG955" i="3" s="1"/>
  <c r="AH955" i="3" l="1"/>
  <c r="D955" i="3"/>
  <c r="E955" i="3"/>
  <c r="H955" i="3" s="1"/>
  <c r="F955" i="3" l="1"/>
  <c r="G955" i="3"/>
  <c r="K955" i="3"/>
  <c r="AE955" i="3" s="1"/>
  <c r="I955" i="3" l="1"/>
  <c r="J955" i="3"/>
  <c r="AD955" i="3" s="1"/>
  <c r="M955" i="3"/>
  <c r="N955" i="3" s="1"/>
  <c r="V955" i="3"/>
  <c r="A956" i="3"/>
  <c r="B956" i="3" s="1"/>
  <c r="W955" i="3" l="1"/>
  <c r="L955" i="3"/>
  <c r="AA956" i="3"/>
  <c r="P956" i="3"/>
  <c r="Q956" i="3" s="1"/>
  <c r="R956" i="3" s="1"/>
  <c r="S956" i="3" s="1"/>
  <c r="Z956" i="3"/>
  <c r="AC956" i="3"/>
  <c r="U955" i="3" l="1"/>
  <c r="Y954" i="3"/>
  <c r="T956" i="3"/>
  <c r="AH956" i="3" s="1"/>
  <c r="AG956" i="3" l="1"/>
  <c r="E956" i="3"/>
  <c r="H956" i="3" s="1"/>
  <c r="K956" i="3" s="1"/>
  <c r="AE956" i="3" s="1"/>
  <c r="D956" i="3"/>
  <c r="V956" i="3" l="1"/>
  <c r="A957" i="3"/>
  <c r="B957" i="3" s="1"/>
  <c r="F956" i="3"/>
  <c r="G956" i="3"/>
  <c r="I956" i="3" l="1"/>
  <c r="W956" i="3" s="1"/>
  <c r="J956" i="3"/>
  <c r="AD956" i="3" s="1"/>
  <c r="M956" i="3"/>
  <c r="N956" i="3" s="1"/>
  <c r="AA957" i="3"/>
  <c r="Z957" i="3"/>
  <c r="P957" i="3"/>
  <c r="Q957" i="3" s="1"/>
  <c r="R957" i="3" s="1"/>
  <c r="S957" i="3" s="1"/>
  <c r="AC957" i="3"/>
  <c r="T957" i="3" l="1"/>
  <c r="L956" i="3"/>
  <c r="AG957" i="3" l="1"/>
  <c r="U956" i="3"/>
  <c r="E957" i="3" s="1"/>
  <c r="H957" i="3" s="1"/>
  <c r="AH957" i="3"/>
  <c r="Y955" i="3"/>
  <c r="D957" i="3" l="1"/>
  <c r="G957" i="3" s="1"/>
  <c r="K957" i="3"/>
  <c r="AE957" i="3" s="1"/>
  <c r="F957" i="3" l="1"/>
  <c r="I957" i="3"/>
  <c r="J957" i="3"/>
  <c r="AD957" i="3" s="1"/>
  <c r="M957" i="3"/>
  <c r="N957" i="3" s="1"/>
  <c r="V957" i="3"/>
  <c r="A958" i="3"/>
  <c r="B958" i="3" s="1"/>
  <c r="W957" i="3" l="1"/>
  <c r="L957" i="3"/>
  <c r="AC958" i="3"/>
  <c r="AA958" i="3"/>
  <c r="P958" i="3"/>
  <c r="Q958" i="3" s="1"/>
  <c r="R958" i="3" s="1"/>
  <c r="S958" i="3" s="1"/>
  <c r="Z958" i="3"/>
  <c r="T958" i="3" l="1"/>
  <c r="AH958" i="3" s="1"/>
  <c r="U957" i="3"/>
  <c r="Y956" i="3"/>
  <c r="AG958" i="3" l="1"/>
  <c r="D958" i="3"/>
  <c r="E958" i="3"/>
  <c r="H958" i="3" s="1"/>
  <c r="K958" i="3" l="1"/>
  <c r="AE958" i="3" s="1"/>
  <c r="F958" i="3"/>
  <c r="G958" i="3"/>
  <c r="V958" i="3" l="1"/>
  <c r="A959" i="3"/>
  <c r="B959" i="3" s="1"/>
  <c r="I958" i="3"/>
  <c r="J958" i="3"/>
  <c r="AD958" i="3" s="1"/>
  <c r="M958" i="3"/>
  <c r="N958" i="3" s="1"/>
  <c r="W958" i="3" l="1"/>
  <c r="L958" i="3"/>
  <c r="Z959" i="3"/>
  <c r="AC959" i="3"/>
  <c r="P959" i="3"/>
  <c r="Q959" i="3" s="1"/>
  <c r="R959" i="3" s="1"/>
  <c r="S959" i="3" s="1"/>
  <c r="AA959" i="3"/>
  <c r="T959" i="3" l="1"/>
  <c r="AH959" i="3" s="1"/>
  <c r="U958" i="3"/>
  <c r="Y957" i="3"/>
  <c r="AG959" i="3" l="1"/>
  <c r="E959" i="3"/>
  <c r="H959" i="3" s="1"/>
  <c r="K959" i="3" s="1"/>
  <c r="AE959" i="3" s="1"/>
  <c r="D959" i="3"/>
  <c r="F959" i="3" l="1"/>
  <c r="G959" i="3"/>
  <c r="V959" i="3"/>
  <c r="A960" i="3"/>
  <c r="B960" i="3" s="1"/>
  <c r="Z960" i="3" l="1"/>
  <c r="AA960" i="3"/>
  <c r="P960" i="3"/>
  <c r="Q960" i="3" s="1"/>
  <c r="R960" i="3" s="1"/>
  <c r="S960" i="3" s="1"/>
  <c r="AC960" i="3"/>
  <c r="I959" i="3"/>
  <c r="W959" i="3" s="1"/>
  <c r="J959" i="3"/>
  <c r="AD959" i="3" s="1"/>
  <c r="M959" i="3"/>
  <c r="N959" i="3" s="1"/>
  <c r="T960" i="3" l="1"/>
  <c r="L959" i="3"/>
  <c r="U959" i="3" l="1"/>
  <c r="E960" i="3" s="1"/>
  <c r="H960" i="3" s="1"/>
  <c r="AG960" i="3"/>
  <c r="AH960" i="3"/>
  <c r="Y958" i="3"/>
  <c r="D960" i="3" l="1"/>
  <c r="G960" i="3" s="1"/>
  <c r="K960" i="3"/>
  <c r="AE960" i="3" s="1"/>
  <c r="F960" i="3" l="1"/>
  <c r="I960" i="3"/>
  <c r="J960" i="3"/>
  <c r="AD960" i="3" s="1"/>
  <c r="M960" i="3"/>
  <c r="N960" i="3" s="1"/>
  <c r="V960" i="3"/>
  <c r="A961" i="3"/>
  <c r="B961" i="3" s="1"/>
  <c r="W960" i="3" l="1"/>
  <c r="P961" i="3"/>
  <c r="Q961" i="3" s="1"/>
  <c r="R961" i="3" s="1"/>
  <c r="S961" i="3" s="1"/>
  <c r="AC961" i="3"/>
  <c r="Z961" i="3"/>
  <c r="AA961" i="3"/>
  <c r="L960" i="3"/>
  <c r="U960" i="3" l="1"/>
  <c r="Y959" i="3"/>
  <c r="T961" i="3"/>
  <c r="D961" i="3" l="1"/>
  <c r="G961" i="3" s="1"/>
  <c r="AH961" i="3"/>
  <c r="AG961" i="3"/>
  <c r="E961" i="3"/>
  <c r="H961" i="3" s="1"/>
  <c r="K961" i="3" l="1"/>
  <c r="AE961" i="3" s="1"/>
  <c r="I961" i="3"/>
  <c r="J961" i="3"/>
  <c r="AD961" i="3" s="1"/>
  <c r="M961" i="3"/>
  <c r="N961" i="3" s="1"/>
  <c r="F961" i="3"/>
  <c r="L961" i="3" l="1"/>
  <c r="V961" i="3"/>
  <c r="W961" i="3" s="1"/>
  <c r="A962" i="3"/>
  <c r="B962" i="3" s="1"/>
  <c r="Z962" i="3" l="1"/>
  <c r="AA962" i="3"/>
  <c r="P962" i="3"/>
  <c r="Q962" i="3" s="1"/>
  <c r="R962" i="3" s="1"/>
  <c r="S962" i="3" s="1"/>
  <c r="AC962" i="3"/>
  <c r="U961" i="3"/>
  <c r="Y960" i="3"/>
  <c r="T962" i="3" l="1"/>
  <c r="E962" i="3" s="1"/>
  <c r="H962" i="3" s="1"/>
  <c r="AH962" i="3" l="1"/>
  <c r="K962" i="3"/>
  <c r="AE962" i="3" s="1"/>
  <c r="D962" i="3"/>
  <c r="AG962" i="3"/>
  <c r="V962" i="3" l="1"/>
  <c r="A963" i="3"/>
  <c r="B963" i="3" s="1"/>
  <c r="F962" i="3"/>
  <c r="G962" i="3"/>
  <c r="P963" i="3" l="1"/>
  <c r="Q963" i="3" s="1"/>
  <c r="R963" i="3" s="1"/>
  <c r="S963" i="3" s="1"/>
  <c r="AC963" i="3"/>
  <c r="Z963" i="3"/>
  <c r="AA963" i="3"/>
  <c r="I962" i="3"/>
  <c r="W962" i="3" s="1"/>
  <c r="J962" i="3"/>
  <c r="AD962" i="3" s="1"/>
  <c r="M962" i="3"/>
  <c r="N962" i="3" s="1"/>
  <c r="T963" i="3" l="1"/>
  <c r="L962" i="3"/>
  <c r="U962" i="3" l="1"/>
  <c r="E963" i="3" s="1"/>
  <c r="H963" i="3" s="1"/>
  <c r="AG963" i="3"/>
  <c r="AH963" i="3"/>
  <c r="Y961" i="3"/>
  <c r="D963" i="3" l="1"/>
  <c r="G963" i="3" s="1"/>
  <c r="K963" i="3"/>
  <c r="AE963" i="3" s="1"/>
  <c r="F963" i="3" l="1"/>
  <c r="I963" i="3"/>
  <c r="J963" i="3"/>
  <c r="AD963" i="3" s="1"/>
  <c r="M963" i="3"/>
  <c r="N963" i="3" s="1"/>
  <c r="V963" i="3"/>
  <c r="A964" i="3"/>
  <c r="B964" i="3" s="1"/>
  <c r="W963" i="3" l="1"/>
  <c r="L963" i="3"/>
  <c r="Z964" i="3"/>
  <c r="P964" i="3"/>
  <c r="Q964" i="3" s="1"/>
  <c r="R964" i="3" s="1"/>
  <c r="S964" i="3" s="1"/>
  <c r="AA964" i="3"/>
  <c r="AC964" i="3"/>
  <c r="U963" i="3" l="1"/>
  <c r="Y962" i="3"/>
  <c r="T964" i="3"/>
  <c r="D964" i="3" l="1"/>
  <c r="G964" i="3" s="1"/>
  <c r="E964" i="3"/>
  <c r="H964" i="3" s="1"/>
  <c r="K964" i="3" s="1"/>
  <c r="AE964" i="3" s="1"/>
  <c r="AH964" i="3"/>
  <c r="AG964" i="3"/>
  <c r="F964" i="3" l="1"/>
  <c r="I964" i="3"/>
  <c r="J964" i="3"/>
  <c r="AD964" i="3" s="1"/>
  <c r="M964" i="3"/>
  <c r="N964" i="3" s="1"/>
  <c r="V964" i="3"/>
  <c r="A965" i="3"/>
  <c r="B965" i="3" s="1"/>
  <c r="W964" i="3" l="1"/>
  <c r="L964" i="3"/>
  <c r="AC965" i="3"/>
  <c r="AD965" i="3"/>
  <c r="P965" i="3"/>
  <c r="Q965" i="3" s="1"/>
  <c r="R965" i="3" s="1"/>
  <c r="S965" i="3" s="1"/>
  <c r="AA965" i="3"/>
  <c r="Z965" i="3"/>
  <c r="U964" i="3" l="1"/>
  <c r="Y963" i="3"/>
  <c r="T965" i="3"/>
  <c r="AH965" i="3" s="1"/>
  <c r="AG965" i="3" l="1"/>
  <c r="E965" i="3"/>
  <c r="H965" i="3" s="1"/>
  <c r="D965" i="3"/>
  <c r="F965" i="3" l="1"/>
  <c r="G965" i="3"/>
  <c r="K965" i="3"/>
  <c r="AE965" i="3" s="1"/>
  <c r="V965" i="3" l="1"/>
  <c r="A966" i="3"/>
  <c r="B966" i="3" s="1"/>
  <c r="I965" i="3"/>
  <c r="J965" i="3"/>
  <c r="M965" i="3"/>
  <c r="N965" i="3" s="1"/>
  <c r="L965" i="3" l="1"/>
  <c r="P966" i="3"/>
  <c r="Q966" i="3" s="1"/>
  <c r="R966" i="3" s="1"/>
  <c r="S966" i="3" s="1"/>
  <c r="AD966" i="3"/>
  <c r="AA966" i="3"/>
  <c r="Z966" i="3"/>
  <c r="AC966" i="3"/>
  <c r="W965" i="3"/>
  <c r="T966" i="3" l="1"/>
  <c r="AG966" i="3" s="1"/>
  <c r="U965" i="3"/>
  <c r="Y964" i="3"/>
  <c r="E966" i="3" l="1"/>
  <c r="H966" i="3" s="1"/>
  <c r="D966" i="3"/>
  <c r="AH966" i="3"/>
  <c r="K966" i="3" l="1"/>
  <c r="AE966" i="3" s="1"/>
  <c r="F966" i="3"/>
  <c r="G966" i="3"/>
  <c r="I966" i="3" l="1"/>
  <c r="J966" i="3"/>
  <c r="M966" i="3"/>
  <c r="N966" i="3" s="1"/>
  <c r="V966" i="3"/>
  <c r="A967" i="3"/>
  <c r="B967" i="3" s="1"/>
  <c r="W966" i="3" l="1"/>
  <c r="L966" i="3"/>
  <c r="AA967" i="3"/>
  <c r="P967" i="3"/>
  <c r="Q967" i="3" s="1"/>
  <c r="R967" i="3" s="1"/>
  <c r="S967" i="3" s="1"/>
  <c r="AC967" i="3"/>
  <c r="Z967" i="3"/>
  <c r="AD967" i="3"/>
  <c r="U966" i="3" l="1"/>
  <c r="Y965" i="3"/>
  <c r="T967" i="3"/>
  <c r="E967" i="3" l="1"/>
  <c r="H967" i="3" s="1"/>
  <c r="K967" i="3" s="1"/>
  <c r="AE967" i="3" s="1"/>
  <c r="AH967" i="3"/>
  <c r="AG967" i="3"/>
  <c r="D967" i="3"/>
  <c r="V967" i="3" l="1"/>
  <c r="A968" i="3"/>
  <c r="B968" i="3" s="1"/>
  <c r="F967" i="3"/>
  <c r="G967" i="3"/>
  <c r="I967" i="3" l="1"/>
  <c r="W967" i="3" s="1"/>
  <c r="J967" i="3"/>
  <c r="M967" i="3"/>
  <c r="N967" i="3" s="1"/>
  <c r="Z968" i="3"/>
  <c r="AA968" i="3"/>
  <c r="P968" i="3"/>
  <c r="Q968" i="3" s="1"/>
  <c r="R968" i="3" s="1"/>
  <c r="S968" i="3" s="1"/>
  <c r="AC968" i="3"/>
  <c r="L967" i="3" l="1"/>
  <c r="T968" i="3"/>
  <c r="AH968" i="3" l="1"/>
  <c r="AG968" i="3"/>
  <c r="U967" i="3"/>
  <c r="E968" i="3" s="1"/>
  <c r="H968" i="3" s="1"/>
  <c r="Y966" i="3"/>
  <c r="K968" i="3" l="1"/>
  <c r="AE968" i="3" s="1"/>
  <c r="D968" i="3"/>
  <c r="V968" i="3" l="1"/>
  <c r="A969" i="3"/>
  <c r="B969" i="3" s="1"/>
  <c r="F968" i="3"/>
  <c r="G968" i="3"/>
  <c r="I968" i="3" l="1"/>
  <c r="W968" i="3" s="1"/>
  <c r="J968" i="3"/>
  <c r="AD968" i="3" s="1"/>
  <c r="M968" i="3"/>
  <c r="N968" i="3" s="1"/>
  <c r="AA969" i="3"/>
  <c r="Z969" i="3"/>
  <c r="AD969" i="3"/>
  <c r="P969" i="3"/>
  <c r="Q969" i="3" s="1"/>
  <c r="R969" i="3" s="1"/>
  <c r="S969" i="3" s="1"/>
  <c r="AC969" i="3"/>
  <c r="T969" i="3" l="1"/>
  <c r="L968" i="3"/>
  <c r="AH969" i="3" l="1"/>
  <c r="U968" i="3"/>
  <c r="D969" i="3" s="1"/>
  <c r="AG969" i="3"/>
  <c r="Y967" i="3"/>
  <c r="G969" i="3" l="1"/>
  <c r="E969" i="3"/>
  <c r="H969" i="3" s="1"/>
  <c r="F969" i="3" l="1"/>
  <c r="I969" i="3"/>
  <c r="J969" i="3"/>
  <c r="M969" i="3"/>
  <c r="N969" i="3" s="1"/>
  <c r="K969" i="3"/>
  <c r="AE969" i="3" s="1"/>
  <c r="V969" i="3" l="1"/>
  <c r="W969" i="3" s="1"/>
  <c r="A970" i="3"/>
  <c r="B970" i="3" s="1"/>
  <c r="L969" i="3"/>
  <c r="U969" i="3" l="1"/>
  <c r="Y968" i="3"/>
  <c r="AA970" i="3"/>
  <c r="P970" i="3"/>
  <c r="Q970" i="3" s="1"/>
  <c r="R970" i="3" s="1"/>
  <c r="S970" i="3" s="1"/>
  <c r="AC970" i="3"/>
  <c r="Z970" i="3"/>
  <c r="AD970" i="3"/>
  <c r="T970" i="3" l="1"/>
  <c r="E970" i="3" s="1"/>
  <c r="H970" i="3" s="1"/>
  <c r="AH970" i="3" l="1"/>
  <c r="K970" i="3"/>
  <c r="AE970" i="3" s="1"/>
  <c r="D970" i="3"/>
  <c r="AG970" i="3"/>
  <c r="V970" i="3" l="1"/>
  <c r="A971" i="3"/>
  <c r="B971" i="3" s="1"/>
  <c r="F970" i="3"/>
  <c r="G970" i="3"/>
  <c r="I970" i="3" l="1"/>
  <c r="W970" i="3" s="1"/>
  <c r="J970" i="3"/>
  <c r="M970" i="3"/>
  <c r="N970" i="3" s="1"/>
  <c r="P971" i="3"/>
  <c r="Q971" i="3" s="1"/>
  <c r="R971" i="3" s="1"/>
  <c r="S971" i="3" s="1"/>
  <c r="AD971" i="3"/>
  <c r="Z971" i="3"/>
  <c r="AC971" i="3"/>
  <c r="AA971" i="3"/>
  <c r="T971" i="3" l="1"/>
  <c r="L970" i="3"/>
  <c r="U970" i="3" l="1"/>
  <c r="E971" i="3" s="1"/>
  <c r="H971" i="3" s="1"/>
  <c r="AH971" i="3"/>
  <c r="AG971" i="3"/>
  <c r="Y969" i="3"/>
  <c r="K971" i="3" l="1"/>
  <c r="AE971" i="3" s="1"/>
  <c r="D971" i="3"/>
  <c r="V971" i="3" l="1"/>
  <c r="A972" i="3"/>
  <c r="B972" i="3" s="1"/>
  <c r="F971" i="3"/>
  <c r="G971" i="3"/>
  <c r="I971" i="3" l="1"/>
  <c r="W971" i="3" s="1"/>
  <c r="J971" i="3"/>
  <c r="M971" i="3"/>
  <c r="N971" i="3" s="1"/>
  <c r="AC972" i="3"/>
  <c r="AD972" i="3"/>
  <c r="Z972" i="3"/>
  <c r="P972" i="3"/>
  <c r="Q972" i="3" s="1"/>
  <c r="R972" i="3" s="1"/>
  <c r="S972" i="3" s="1"/>
  <c r="AA972" i="3"/>
  <c r="T972" i="3" l="1"/>
  <c r="L971" i="3"/>
  <c r="U971" i="3" l="1"/>
  <c r="D972" i="3" s="1"/>
  <c r="AH972" i="3"/>
  <c r="AG972" i="3"/>
  <c r="Y970" i="3"/>
  <c r="E972" i="3" l="1"/>
  <c r="H972" i="3" s="1"/>
  <c r="K972" i="3" s="1"/>
  <c r="AE972" i="3" s="1"/>
  <c r="G972" i="3"/>
  <c r="F972" i="3" l="1"/>
  <c r="V972" i="3"/>
  <c r="A973" i="3"/>
  <c r="B973" i="3" s="1"/>
  <c r="I972" i="3"/>
  <c r="J972" i="3"/>
  <c r="M972" i="3"/>
  <c r="N972" i="3" s="1"/>
  <c r="W972" i="3" l="1"/>
  <c r="L972" i="3"/>
  <c r="AC973" i="3"/>
  <c r="P973" i="3"/>
  <c r="Q973" i="3" s="1"/>
  <c r="R973" i="3" s="1"/>
  <c r="S973" i="3" s="1"/>
  <c r="Z973" i="3"/>
  <c r="AD973" i="3"/>
  <c r="AA973" i="3"/>
  <c r="U972" i="3" l="1"/>
  <c r="Y971" i="3"/>
  <c r="T973" i="3"/>
  <c r="AG973" i="3" s="1"/>
  <c r="D973" i="3" l="1"/>
  <c r="G973" i="3" s="1"/>
  <c r="E973" i="3"/>
  <c r="H973" i="3" s="1"/>
  <c r="K973" i="3" s="1"/>
  <c r="AE973" i="3" s="1"/>
  <c r="AH973" i="3"/>
  <c r="F973" i="3" l="1"/>
  <c r="I973" i="3"/>
  <c r="J973" i="3"/>
  <c r="M973" i="3"/>
  <c r="N973" i="3" s="1"/>
  <c r="V973" i="3"/>
  <c r="A974" i="3"/>
  <c r="B974" i="3" s="1"/>
  <c r="W973" i="3" l="1"/>
  <c r="L973" i="3"/>
  <c r="P974" i="3"/>
  <c r="Q974" i="3" s="1"/>
  <c r="R974" i="3" s="1"/>
  <c r="S974" i="3" s="1"/>
  <c r="AA974" i="3"/>
  <c r="Z974" i="3"/>
  <c r="AC974" i="3"/>
  <c r="T974" i="3" l="1"/>
  <c r="AG974" i="3" s="1"/>
  <c r="U973" i="3"/>
  <c r="Y972" i="3"/>
  <c r="AH974" i="3" l="1"/>
  <c r="E974" i="3"/>
  <c r="H974" i="3" s="1"/>
  <c r="D974" i="3"/>
  <c r="K974" i="3" l="1"/>
  <c r="AE974" i="3" s="1"/>
  <c r="F974" i="3"/>
  <c r="G974" i="3"/>
  <c r="I974" i="3" l="1"/>
  <c r="J974" i="3"/>
  <c r="AD974" i="3" s="1"/>
  <c r="M974" i="3"/>
  <c r="N974" i="3" s="1"/>
  <c r="V974" i="3"/>
  <c r="A975" i="3"/>
  <c r="B975" i="3" s="1"/>
  <c r="W974" i="3" l="1"/>
  <c r="L974" i="3"/>
  <c r="AD975" i="3"/>
  <c r="P975" i="3"/>
  <c r="Q975" i="3" s="1"/>
  <c r="R975" i="3" s="1"/>
  <c r="S975" i="3" s="1"/>
  <c r="AC975" i="3"/>
  <c r="Z975" i="3"/>
  <c r="AA975" i="3"/>
  <c r="U974" i="3" l="1"/>
  <c r="Y973" i="3"/>
  <c r="T975" i="3"/>
  <c r="D975" i="3" l="1"/>
  <c r="G975" i="3" s="1"/>
  <c r="AH975" i="3"/>
  <c r="E975" i="3"/>
  <c r="H975" i="3" s="1"/>
  <c r="K975" i="3" s="1"/>
  <c r="AE975" i="3" s="1"/>
  <c r="AG975" i="3"/>
  <c r="F975" i="3" l="1"/>
  <c r="V975" i="3"/>
  <c r="A976" i="3"/>
  <c r="B976" i="3" s="1"/>
  <c r="I975" i="3"/>
  <c r="J975" i="3"/>
  <c r="M975" i="3"/>
  <c r="N975" i="3" s="1"/>
  <c r="W975" i="3" l="1"/>
  <c r="L975" i="3"/>
  <c r="AA976" i="3"/>
  <c r="AC976" i="3"/>
  <c r="Z976" i="3"/>
  <c r="AD976" i="3"/>
  <c r="P976" i="3"/>
  <c r="Q976" i="3" s="1"/>
  <c r="R976" i="3" s="1"/>
  <c r="S976" i="3" s="1"/>
  <c r="U975" i="3" l="1"/>
  <c r="Y974" i="3"/>
  <c r="T976" i="3"/>
  <c r="AG976" i="3" s="1"/>
  <c r="AH976" i="3" l="1"/>
  <c r="E976" i="3"/>
  <c r="H976" i="3" s="1"/>
  <c r="D976" i="3"/>
  <c r="K976" i="3" l="1"/>
  <c r="AE976" i="3" s="1"/>
  <c r="F976" i="3"/>
  <c r="G976" i="3"/>
  <c r="I976" i="3" l="1"/>
  <c r="J976" i="3"/>
  <c r="M976" i="3"/>
  <c r="N976" i="3" s="1"/>
  <c r="V976" i="3"/>
  <c r="A977" i="3"/>
  <c r="B977" i="3" s="1"/>
  <c r="W976" i="3" l="1"/>
  <c r="L976" i="3"/>
  <c r="Z977" i="3"/>
  <c r="P977" i="3"/>
  <c r="Q977" i="3" s="1"/>
  <c r="R977" i="3" s="1"/>
  <c r="S977" i="3" s="1"/>
  <c r="AC977" i="3"/>
  <c r="AA977" i="3"/>
  <c r="AD977" i="3"/>
  <c r="T977" i="3" l="1"/>
  <c r="U976" i="3"/>
  <c r="Y975" i="3"/>
  <c r="E977" i="3" l="1"/>
  <c r="H977" i="3" s="1"/>
  <c r="K977" i="3" s="1"/>
  <c r="AE977" i="3" s="1"/>
  <c r="AG977" i="3"/>
  <c r="D977" i="3"/>
  <c r="G977" i="3" s="1"/>
  <c r="AH977" i="3"/>
  <c r="F977" i="3" l="1"/>
  <c r="I977" i="3"/>
  <c r="J977" i="3"/>
  <c r="M977" i="3"/>
  <c r="N977" i="3" s="1"/>
  <c r="V977" i="3"/>
  <c r="A978" i="3"/>
  <c r="B978" i="3" s="1"/>
  <c r="W977" i="3" l="1"/>
  <c r="L977" i="3"/>
  <c r="AC978" i="3"/>
  <c r="Z978" i="3"/>
  <c r="AA978" i="3"/>
  <c r="P978" i="3"/>
  <c r="Q978" i="3" s="1"/>
  <c r="R978" i="3" s="1"/>
  <c r="S978" i="3" s="1"/>
  <c r="T978" i="3" l="1"/>
  <c r="U977" i="3"/>
  <c r="Y976" i="3"/>
  <c r="D978" i="3" l="1"/>
  <c r="G978" i="3" s="1"/>
  <c r="E978" i="3"/>
  <c r="H978" i="3" s="1"/>
  <c r="K978" i="3" s="1"/>
  <c r="AE978" i="3" s="1"/>
  <c r="AH978" i="3"/>
  <c r="AG978" i="3"/>
  <c r="F978" i="3" l="1"/>
  <c r="I978" i="3"/>
  <c r="J978" i="3"/>
  <c r="AD978" i="3" s="1"/>
  <c r="M978" i="3"/>
  <c r="N978" i="3" s="1"/>
  <c r="V978" i="3"/>
  <c r="A979" i="3"/>
  <c r="B979" i="3" s="1"/>
  <c r="W978" i="3" l="1"/>
  <c r="L978" i="3"/>
  <c r="AC979" i="3"/>
  <c r="AA979" i="3"/>
  <c r="AD979" i="3"/>
  <c r="Z979" i="3"/>
  <c r="P979" i="3"/>
  <c r="Q979" i="3" s="1"/>
  <c r="R979" i="3" s="1"/>
  <c r="S979" i="3" s="1"/>
  <c r="T979" i="3" l="1"/>
  <c r="U978" i="3"/>
  <c r="Y977" i="3"/>
  <c r="D979" i="3" l="1"/>
  <c r="G979" i="3" s="1"/>
  <c r="AH979" i="3"/>
  <c r="E979" i="3"/>
  <c r="H979" i="3" s="1"/>
  <c r="K979" i="3" s="1"/>
  <c r="AE979" i="3" s="1"/>
  <c r="AG979" i="3"/>
  <c r="F979" i="3" l="1"/>
  <c r="V979" i="3"/>
  <c r="A980" i="3"/>
  <c r="B980" i="3" s="1"/>
  <c r="I979" i="3"/>
  <c r="J979" i="3"/>
  <c r="M979" i="3"/>
  <c r="N979" i="3" s="1"/>
  <c r="W979" i="3" l="1"/>
  <c r="L979" i="3"/>
  <c r="P980" i="3"/>
  <c r="Q980" i="3" s="1"/>
  <c r="R980" i="3" s="1"/>
  <c r="S980" i="3" s="1"/>
  <c r="AA980" i="3"/>
  <c r="AD980" i="3"/>
  <c r="AC980" i="3"/>
  <c r="Z980" i="3"/>
  <c r="U979" i="3" l="1"/>
  <c r="Y978" i="3"/>
  <c r="T980" i="3"/>
  <c r="AH980" i="3" s="1"/>
  <c r="D980" i="3" l="1"/>
  <c r="G980" i="3" s="1"/>
  <c r="E980" i="3"/>
  <c r="H980" i="3" s="1"/>
  <c r="K980" i="3" s="1"/>
  <c r="AE980" i="3" s="1"/>
  <c r="AG980" i="3"/>
  <c r="F980" i="3" l="1"/>
  <c r="I980" i="3"/>
  <c r="J980" i="3"/>
  <c r="M980" i="3"/>
  <c r="N980" i="3" s="1"/>
  <c r="V980" i="3"/>
  <c r="A981" i="3"/>
  <c r="B981" i="3" s="1"/>
  <c r="W980" i="3" l="1"/>
  <c r="L980" i="3"/>
  <c r="AD981" i="3"/>
  <c r="AA981" i="3"/>
  <c r="AC981" i="3"/>
  <c r="Z981" i="3"/>
  <c r="P981" i="3"/>
  <c r="Q981" i="3" s="1"/>
  <c r="R981" i="3" s="1"/>
  <c r="S981" i="3" s="1"/>
  <c r="U980" i="3" l="1"/>
  <c r="Y979" i="3"/>
  <c r="T981" i="3"/>
  <c r="AH981" i="3" s="1"/>
  <c r="D981" i="3" l="1"/>
  <c r="G981" i="3" s="1"/>
  <c r="AG981" i="3"/>
  <c r="E981" i="3"/>
  <c r="H981" i="3" s="1"/>
  <c r="F981" i="3" l="1"/>
  <c r="I981" i="3"/>
  <c r="J981" i="3"/>
  <c r="M981" i="3"/>
  <c r="N981" i="3" s="1"/>
  <c r="K981" i="3"/>
  <c r="AE981" i="3" s="1"/>
  <c r="V981" i="3" l="1"/>
  <c r="W981" i="3" s="1"/>
  <c r="A982" i="3"/>
  <c r="B982" i="3" s="1"/>
  <c r="L981" i="3"/>
  <c r="U981" i="3" l="1"/>
  <c r="Y980" i="3"/>
  <c r="P982" i="3"/>
  <c r="Q982" i="3" s="1"/>
  <c r="R982" i="3" s="1"/>
  <c r="S982" i="3" s="1"/>
  <c r="AD982" i="3"/>
  <c r="AC982" i="3"/>
  <c r="AA982" i="3"/>
  <c r="Z982" i="3"/>
  <c r="T982" i="3" l="1"/>
  <c r="E982" i="3" s="1"/>
  <c r="H982" i="3" s="1"/>
  <c r="AG982" i="3" l="1"/>
  <c r="AH982" i="3"/>
  <c r="D982" i="3"/>
  <c r="G982" i="3" s="1"/>
  <c r="K982" i="3"/>
  <c r="AE982" i="3" s="1"/>
  <c r="F982" i="3" l="1"/>
  <c r="I982" i="3"/>
  <c r="J982" i="3"/>
  <c r="M982" i="3"/>
  <c r="N982" i="3" s="1"/>
  <c r="V982" i="3"/>
  <c r="A983" i="3"/>
  <c r="B983" i="3" s="1"/>
  <c r="W982" i="3" l="1"/>
  <c r="L982" i="3"/>
  <c r="AD983" i="3"/>
  <c r="Z983" i="3"/>
  <c r="P983" i="3"/>
  <c r="Q983" i="3" s="1"/>
  <c r="R983" i="3" s="1"/>
  <c r="S983" i="3" s="1"/>
  <c r="AA983" i="3"/>
  <c r="AC983" i="3"/>
  <c r="U982" i="3" l="1"/>
  <c r="Y981" i="3"/>
  <c r="T983" i="3"/>
  <c r="AG983" i="3" s="1"/>
  <c r="E983" i="3" l="1"/>
  <c r="H983" i="3" s="1"/>
  <c r="K983" i="3" s="1"/>
  <c r="AE983" i="3" s="1"/>
  <c r="D983" i="3"/>
  <c r="AH983" i="3"/>
  <c r="F983" i="3" l="1"/>
  <c r="G983" i="3"/>
  <c r="M983" i="3" s="1"/>
  <c r="N983" i="3" s="1"/>
  <c r="V983" i="3"/>
  <c r="A984" i="3"/>
  <c r="B984" i="3" s="1"/>
  <c r="I983" i="3" l="1"/>
  <c r="W983" i="3" s="1"/>
  <c r="J983" i="3"/>
  <c r="L983" i="3" s="1"/>
  <c r="P984" i="3"/>
  <c r="Q984" i="3" s="1"/>
  <c r="R984" i="3" s="1"/>
  <c r="S984" i="3" s="1"/>
  <c r="AA984" i="3"/>
  <c r="Z984" i="3"/>
  <c r="AC984" i="3"/>
  <c r="U983" i="3" l="1"/>
  <c r="Y982" i="3"/>
  <c r="T984" i="3"/>
  <c r="E984" i="3" l="1"/>
  <c r="H984" i="3" s="1"/>
  <c r="K984" i="3" s="1"/>
  <c r="AE984" i="3" s="1"/>
  <c r="AG984" i="3"/>
  <c r="D984" i="3"/>
  <c r="AH984" i="3"/>
  <c r="F984" i="3" l="1"/>
  <c r="G984" i="3"/>
  <c r="V984" i="3"/>
  <c r="A985" i="3"/>
  <c r="B985" i="3" s="1"/>
  <c r="AA985" i="3" l="1"/>
  <c r="Z985" i="3"/>
  <c r="P985" i="3"/>
  <c r="Q985" i="3" s="1"/>
  <c r="R985" i="3" s="1"/>
  <c r="S985" i="3" s="1"/>
  <c r="AD985" i="3"/>
  <c r="AC985" i="3"/>
  <c r="I984" i="3"/>
  <c r="W984" i="3" s="1"/>
  <c r="J984" i="3"/>
  <c r="AD984" i="3" s="1"/>
  <c r="M984" i="3"/>
  <c r="N984" i="3" s="1"/>
  <c r="T985" i="3" l="1"/>
  <c r="L984" i="3"/>
  <c r="AG985" i="3" l="1"/>
  <c r="AH985" i="3"/>
  <c r="U984" i="3"/>
  <c r="D985" i="3" s="1"/>
  <c r="Y983" i="3"/>
  <c r="G985" i="3" l="1"/>
  <c r="E985" i="3"/>
  <c r="H985" i="3" s="1"/>
  <c r="I985" i="3" l="1"/>
  <c r="J985" i="3"/>
  <c r="M985" i="3"/>
  <c r="N985" i="3" s="1"/>
  <c r="F985" i="3"/>
  <c r="K985" i="3"/>
  <c r="AE985" i="3" s="1"/>
  <c r="L985" i="3" l="1"/>
  <c r="V985" i="3"/>
  <c r="W985" i="3" s="1"/>
  <c r="A986" i="3"/>
  <c r="B986" i="3" s="1"/>
  <c r="U985" i="3" l="1"/>
  <c r="Y984" i="3"/>
  <c r="AC986" i="3"/>
  <c r="P986" i="3"/>
  <c r="Q986" i="3" s="1"/>
  <c r="R986" i="3" s="1"/>
  <c r="S986" i="3" s="1"/>
  <c r="Z986" i="3"/>
  <c r="AD986" i="3"/>
  <c r="AA986" i="3"/>
  <c r="T986" i="3" l="1"/>
  <c r="E986" i="3" s="1"/>
  <c r="H986" i="3" s="1"/>
  <c r="AG986" i="3" l="1"/>
  <c r="K986" i="3"/>
  <c r="AE986" i="3" s="1"/>
  <c r="AH986" i="3"/>
  <c r="D986" i="3"/>
  <c r="F986" i="3" l="1"/>
  <c r="G986" i="3"/>
  <c r="V986" i="3"/>
  <c r="A987" i="3"/>
  <c r="B987" i="3" s="1"/>
  <c r="Z987" i="3" l="1"/>
  <c r="AC987" i="3"/>
  <c r="P987" i="3"/>
  <c r="Q987" i="3" s="1"/>
  <c r="R987" i="3" s="1"/>
  <c r="S987" i="3" s="1"/>
  <c r="AD987" i="3"/>
  <c r="AA987" i="3"/>
  <c r="I986" i="3"/>
  <c r="W986" i="3" s="1"/>
  <c r="J986" i="3"/>
  <c r="M986" i="3"/>
  <c r="N986" i="3" s="1"/>
  <c r="L986" i="3" l="1"/>
  <c r="T987" i="3"/>
  <c r="U986" i="3" l="1"/>
  <c r="E987" i="3" s="1"/>
  <c r="H987" i="3" s="1"/>
  <c r="AH987" i="3"/>
  <c r="AG987" i="3"/>
  <c r="Y985" i="3"/>
  <c r="K987" i="3" l="1"/>
  <c r="AE987" i="3" s="1"/>
  <c r="D987" i="3"/>
  <c r="V987" i="3" l="1"/>
  <c r="A988" i="3"/>
  <c r="B988" i="3" s="1"/>
  <c r="F987" i="3"/>
  <c r="G987" i="3"/>
  <c r="I987" i="3" l="1"/>
  <c r="W987" i="3" s="1"/>
  <c r="J987" i="3"/>
  <c r="M987" i="3"/>
  <c r="N987" i="3" s="1"/>
  <c r="AC988" i="3"/>
  <c r="Z988" i="3"/>
  <c r="AA988" i="3"/>
  <c r="P988" i="3"/>
  <c r="Q988" i="3" s="1"/>
  <c r="R988" i="3" s="1"/>
  <c r="S988" i="3" s="1"/>
  <c r="L987" i="3" l="1"/>
  <c r="T988" i="3"/>
  <c r="AH988" i="3" l="1"/>
  <c r="U987" i="3"/>
  <c r="E988" i="3" s="1"/>
  <c r="H988" i="3" s="1"/>
  <c r="AG988" i="3"/>
  <c r="Y986" i="3"/>
  <c r="D988" i="3" l="1"/>
  <c r="G988" i="3" s="1"/>
  <c r="K988" i="3"/>
  <c r="AE988" i="3" s="1"/>
  <c r="F988" i="3" l="1"/>
  <c r="I988" i="3"/>
  <c r="J988" i="3"/>
  <c r="AD988" i="3" s="1"/>
  <c r="M988" i="3"/>
  <c r="N988" i="3" s="1"/>
  <c r="V988" i="3"/>
  <c r="A989" i="3"/>
  <c r="B989" i="3" s="1"/>
  <c r="W988" i="3" l="1"/>
  <c r="L988" i="3"/>
  <c r="AC989" i="3"/>
  <c r="AD989" i="3"/>
  <c r="P989" i="3"/>
  <c r="Q989" i="3" s="1"/>
  <c r="R989" i="3" s="1"/>
  <c r="S989" i="3" s="1"/>
  <c r="Z989" i="3"/>
  <c r="AA989" i="3"/>
  <c r="T989" i="3" l="1"/>
  <c r="U988" i="3"/>
  <c r="Y987" i="3"/>
  <c r="D989" i="3" l="1"/>
  <c r="G989" i="3" s="1"/>
  <c r="AG989" i="3"/>
  <c r="E989" i="3"/>
  <c r="H989" i="3" s="1"/>
  <c r="AH989" i="3"/>
  <c r="F989" i="3" l="1"/>
  <c r="I989" i="3"/>
  <c r="J989" i="3"/>
  <c r="M989" i="3"/>
  <c r="N989" i="3" s="1"/>
  <c r="K989" i="3"/>
  <c r="AE989" i="3" s="1"/>
  <c r="L989" i="3" l="1"/>
  <c r="V989" i="3"/>
  <c r="W989" i="3" s="1"/>
  <c r="A990" i="3"/>
  <c r="B990" i="3" s="1"/>
  <c r="U989" i="3" l="1"/>
  <c r="Y988" i="3"/>
  <c r="AC990" i="3"/>
  <c r="AD990" i="3"/>
  <c r="AA990" i="3"/>
  <c r="Z990" i="3"/>
  <c r="P990" i="3"/>
  <c r="Q990" i="3" s="1"/>
  <c r="R990" i="3" s="1"/>
  <c r="S990" i="3" s="1"/>
  <c r="T990" i="3" l="1"/>
  <c r="E990" i="3" s="1"/>
  <c r="H990" i="3" s="1"/>
  <c r="AH990" i="3" l="1"/>
  <c r="D990" i="3"/>
  <c r="G990" i="3" s="1"/>
  <c r="AG990" i="3"/>
  <c r="K990" i="3"/>
  <c r="AE990" i="3" s="1"/>
  <c r="F990" i="3" l="1"/>
  <c r="V990" i="3"/>
  <c r="A991" i="3"/>
  <c r="B991" i="3" s="1"/>
  <c r="I990" i="3"/>
  <c r="J990" i="3"/>
  <c r="M990" i="3"/>
  <c r="N990" i="3" s="1"/>
  <c r="L990" i="3" l="1"/>
  <c r="W990" i="3"/>
  <c r="AA991" i="3"/>
  <c r="AD991" i="3"/>
  <c r="P991" i="3"/>
  <c r="Q991" i="3" s="1"/>
  <c r="R991" i="3" s="1"/>
  <c r="S991" i="3" s="1"/>
  <c r="Z991" i="3"/>
  <c r="AC991" i="3"/>
  <c r="U990" i="3" l="1"/>
  <c r="Y989" i="3"/>
  <c r="T991" i="3"/>
  <c r="D991" i="3" l="1"/>
  <c r="G991" i="3" s="1"/>
  <c r="E991" i="3"/>
  <c r="H991" i="3" s="1"/>
  <c r="K991" i="3" s="1"/>
  <c r="AE991" i="3" s="1"/>
  <c r="AG991" i="3"/>
  <c r="AH991" i="3"/>
  <c r="F991" i="3" l="1"/>
  <c r="V991" i="3"/>
  <c r="A992" i="3"/>
  <c r="B992" i="3" s="1"/>
  <c r="I991" i="3"/>
  <c r="J991" i="3"/>
  <c r="M991" i="3"/>
  <c r="N991" i="3" s="1"/>
  <c r="W991" i="3" l="1"/>
  <c r="L991" i="3"/>
  <c r="AC992" i="3"/>
  <c r="AD992" i="3"/>
  <c r="Z992" i="3"/>
  <c r="AA992" i="3"/>
  <c r="P992" i="3"/>
  <c r="Q992" i="3" s="1"/>
  <c r="R992" i="3" s="1"/>
  <c r="S992" i="3" s="1"/>
  <c r="U991" i="3" l="1"/>
  <c r="Y990" i="3"/>
  <c r="T992" i="3"/>
  <c r="AG992" i="3" s="1"/>
  <c r="D992" i="3" l="1"/>
  <c r="AH992" i="3"/>
  <c r="E992" i="3"/>
  <c r="H992" i="3" s="1"/>
  <c r="K992" i="3" s="1"/>
  <c r="AE992" i="3" s="1"/>
  <c r="F992" i="3" l="1"/>
  <c r="G992" i="3"/>
  <c r="M992" i="3" s="1"/>
  <c r="N992" i="3" s="1"/>
  <c r="V992" i="3"/>
  <c r="A993" i="3"/>
  <c r="B993" i="3" s="1"/>
  <c r="I992" i="3" l="1"/>
  <c r="W992" i="3" s="1"/>
  <c r="J992" i="3"/>
  <c r="L992" i="3" s="1"/>
  <c r="AD993" i="3"/>
  <c r="Z993" i="3"/>
  <c r="AA993" i="3"/>
  <c r="P993" i="3"/>
  <c r="Q993" i="3" s="1"/>
  <c r="R993" i="3" s="1"/>
  <c r="S993" i="3" s="1"/>
  <c r="AC993" i="3"/>
  <c r="U992" i="3" l="1"/>
  <c r="Y991" i="3"/>
  <c r="T993" i="3"/>
  <c r="AH993" i="3" s="1"/>
  <c r="D993" i="3" l="1"/>
  <c r="G993" i="3" s="1"/>
  <c r="E993" i="3"/>
  <c r="H993" i="3" s="1"/>
  <c r="K993" i="3" s="1"/>
  <c r="AE993" i="3" s="1"/>
  <c r="AG993" i="3"/>
  <c r="F993" i="3" l="1"/>
  <c r="V993" i="3"/>
  <c r="A994" i="3"/>
  <c r="B994" i="3" s="1"/>
  <c r="I993" i="3"/>
  <c r="J993" i="3"/>
  <c r="M993" i="3"/>
  <c r="N993" i="3" s="1"/>
  <c r="L993" i="3" l="1"/>
  <c r="W993" i="3"/>
  <c r="AA994" i="3"/>
  <c r="P994" i="3"/>
  <c r="Q994" i="3" s="1"/>
  <c r="R994" i="3" s="1"/>
  <c r="S994" i="3" s="1"/>
  <c r="Z994" i="3"/>
  <c r="AC994" i="3"/>
  <c r="U993" i="3" l="1"/>
  <c r="Y992" i="3"/>
  <c r="T994" i="3"/>
  <c r="AH994" i="3" s="1"/>
  <c r="E994" i="3" l="1"/>
  <c r="H994" i="3" s="1"/>
  <c r="K994" i="3" s="1"/>
  <c r="AE994" i="3" s="1"/>
  <c r="D994" i="3"/>
  <c r="AG994" i="3"/>
  <c r="F994" i="3" l="1"/>
  <c r="G994" i="3"/>
  <c r="J994" i="3" s="1"/>
  <c r="AD994" i="3" s="1"/>
  <c r="V994" i="3"/>
  <c r="A995" i="3"/>
  <c r="B995" i="3" s="1"/>
  <c r="M994" i="3" l="1"/>
  <c r="N994" i="3" s="1"/>
  <c r="I994" i="3"/>
  <c r="W994" i="3" s="1"/>
  <c r="L994" i="3"/>
  <c r="AA995" i="3"/>
  <c r="AD995" i="3"/>
  <c r="P995" i="3"/>
  <c r="Q995" i="3" s="1"/>
  <c r="R995" i="3" s="1"/>
  <c r="S995" i="3" s="1"/>
  <c r="AC995" i="3"/>
  <c r="Z995" i="3"/>
  <c r="T995" i="3" l="1"/>
  <c r="U994" i="3"/>
  <c r="Y993" i="3"/>
  <c r="D995" i="3" l="1"/>
  <c r="G995" i="3" s="1"/>
  <c r="E995" i="3"/>
  <c r="H995" i="3" s="1"/>
  <c r="K995" i="3" s="1"/>
  <c r="AE995" i="3" s="1"/>
  <c r="AH995" i="3"/>
  <c r="AG995" i="3"/>
  <c r="F995" i="3" l="1"/>
  <c r="I995" i="3"/>
  <c r="J995" i="3"/>
  <c r="M995" i="3"/>
  <c r="N995" i="3" s="1"/>
  <c r="V995" i="3"/>
  <c r="A996" i="3"/>
  <c r="B996" i="3" s="1"/>
  <c r="W995" i="3" l="1"/>
  <c r="L995" i="3"/>
  <c r="Z996" i="3"/>
  <c r="AD996" i="3"/>
  <c r="P996" i="3"/>
  <c r="Q996" i="3" s="1"/>
  <c r="R996" i="3" s="1"/>
  <c r="S996" i="3" s="1"/>
  <c r="AA996" i="3"/>
  <c r="AC996" i="3"/>
  <c r="U995" i="3" l="1"/>
  <c r="Y994" i="3"/>
  <c r="T996" i="3"/>
  <c r="D996" i="3" l="1"/>
  <c r="G996" i="3" s="1"/>
  <c r="AG996" i="3"/>
  <c r="E996" i="3"/>
  <c r="H996" i="3" s="1"/>
  <c r="K996" i="3" s="1"/>
  <c r="AE996" i="3" s="1"/>
  <c r="AH996" i="3"/>
  <c r="F996" i="3" l="1"/>
  <c r="I996" i="3"/>
  <c r="J996" i="3"/>
  <c r="M996" i="3"/>
  <c r="N996" i="3" s="1"/>
  <c r="V996" i="3"/>
  <c r="A997" i="3"/>
  <c r="B997" i="3" s="1"/>
  <c r="AD997" i="3" l="1"/>
  <c r="P997" i="3"/>
  <c r="Q997" i="3" s="1"/>
  <c r="R997" i="3" s="1"/>
  <c r="S997" i="3" s="1"/>
  <c r="Z997" i="3"/>
  <c r="AA997" i="3"/>
  <c r="AC997" i="3"/>
  <c r="L996" i="3"/>
  <c r="W996" i="3"/>
  <c r="U996" i="3" l="1"/>
  <c r="Y995" i="3"/>
  <c r="T997" i="3"/>
  <c r="AH997" i="3" s="1"/>
  <c r="AG997" i="3" l="1"/>
  <c r="D997" i="3"/>
  <c r="E997" i="3"/>
  <c r="H997" i="3" s="1"/>
  <c r="K997" i="3" s="1"/>
  <c r="AE997" i="3" s="1"/>
  <c r="F997" i="3" l="1"/>
  <c r="G997" i="3"/>
  <c r="I997" i="3" s="1"/>
  <c r="V997" i="3"/>
  <c r="A998" i="3"/>
  <c r="B998" i="3" s="1"/>
  <c r="J997" i="3" l="1"/>
  <c r="L997" i="3" s="1"/>
  <c r="M997" i="3"/>
  <c r="N997" i="3" s="1"/>
  <c r="W997" i="3"/>
  <c r="Z998" i="3"/>
  <c r="P998" i="3"/>
  <c r="Q998" i="3" s="1"/>
  <c r="R998" i="3" s="1"/>
  <c r="S998" i="3" s="1"/>
  <c r="AC998" i="3"/>
  <c r="AA998" i="3"/>
  <c r="T998" i="3" l="1"/>
  <c r="AG998" i="3" s="1"/>
  <c r="U997" i="3"/>
  <c r="Y996" i="3"/>
  <c r="E998" i="3" l="1"/>
  <c r="H998" i="3" s="1"/>
  <c r="K998" i="3" s="1"/>
  <c r="AE998" i="3" s="1"/>
  <c r="AH998" i="3"/>
  <c r="D998" i="3"/>
  <c r="V998" i="3" l="1"/>
  <c r="A999" i="3"/>
  <c r="B999" i="3" s="1"/>
  <c r="F998" i="3"/>
  <c r="G998" i="3"/>
  <c r="I998" i="3" l="1"/>
  <c r="W998" i="3" s="1"/>
  <c r="J998" i="3"/>
  <c r="AD998" i="3" s="1"/>
  <c r="M998" i="3"/>
  <c r="N998" i="3" s="1"/>
  <c r="AD999" i="3"/>
  <c r="Z999" i="3"/>
  <c r="AC999" i="3"/>
  <c r="AA999" i="3"/>
  <c r="P999" i="3"/>
  <c r="Q999" i="3" s="1"/>
  <c r="R999" i="3" s="1"/>
  <c r="S999" i="3" s="1"/>
  <c r="T999" i="3" l="1"/>
  <c r="L998" i="3"/>
  <c r="AG999" i="3" l="1"/>
  <c r="U998" i="3"/>
  <c r="D999" i="3" s="1"/>
  <c r="AH999" i="3"/>
  <c r="Y997" i="3"/>
  <c r="E999" i="3" l="1"/>
  <c r="H999" i="3" s="1"/>
  <c r="K999" i="3" s="1"/>
  <c r="AE999" i="3" s="1"/>
  <c r="G999" i="3"/>
  <c r="F999" i="3" l="1"/>
  <c r="I999" i="3"/>
  <c r="J999" i="3"/>
  <c r="M999" i="3"/>
  <c r="N999" i="3" s="1"/>
  <c r="V999" i="3"/>
  <c r="A1000" i="3"/>
  <c r="B1000" i="3" s="1"/>
  <c r="W999" i="3" l="1"/>
  <c r="L999" i="3"/>
  <c r="AC1000" i="3"/>
  <c r="AD1000" i="3"/>
  <c r="P1000" i="3"/>
  <c r="Q1000" i="3" s="1"/>
  <c r="R1000" i="3" s="1"/>
  <c r="S1000" i="3" s="1"/>
  <c r="Z1000" i="3"/>
  <c r="AA1000" i="3"/>
  <c r="U999" i="3" l="1"/>
  <c r="Y998" i="3"/>
  <c r="T1000" i="3"/>
  <c r="AG1000" i="3" s="1"/>
  <c r="D1000" i="3" l="1"/>
  <c r="G1000" i="3" s="1"/>
  <c r="AH1000" i="3"/>
  <c r="E1000" i="3"/>
  <c r="H1000" i="3" s="1"/>
  <c r="K1000" i="3" s="1"/>
  <c r="AE1000" i="3" s="1"/>
  <c r="F1000" i="3" l="1"/>
  <c r="I1000" i="3"/>
  <c r="J1000" i="3"/>
  <c r="M1000" i="3"/>
  <c r="N1000" i="3" s="1"/>
  <c r="V1000" i="3"/>
  <c r="A1001" i="3"/>
  <c r="B1001" i="3" s="1"/>
  <c r="W1000" i="3" l="1"/>
  <c r="L1000" i="3"/>
  <c r="P1001" i="3"/>
  <c r="Q1001" i="3" s="1"/>
  <c r="R1001" i="3" s="1"/>
  <c r="S1001" i="3" s="1"/>
  <c r="Z1001" i="3"/>
  <c r="AC1001" i="3"/>
  <c r="AA1001" i="3"/>
  <c r="AD1001" i="3"/>
  <c r="U1000" i="3" l="1"/>
  <c r="Y999" i="3"/>
  <c r="T1001" i="3"/>
  <c r="D1001" i="3" l="1"/>
  <c r="G1001" i="3" s="1"/>
  <c r="E1001" i="3"/>
  <c r="H1001" i="3" s="1"/>
  <c r="AG1001" i="3"/>
  <c r="AH1001" i="3"/>
  <c r="F1001" i="3" l="1"/>
  <c r="I1001" i="3"/>
  <c r="J1001" i="3"/>
  <c r="M1001" i="3"/>
  <c r="N1001" i="3" s="1"/>
  <c r="K1001" i="3"/>
  <c r="AE1001" i="3" s="1"/>
  <c r="V1001" i="3" l="1"/>
  <c r="W1001" i="3" s="1"/>
  <c r="A1002" i="3"/>
  <c r="B1002" i="3" s="1"/>
  <c r="L1001" i="3"/>
  <c r="U1001" i="3" l="1"/>
  <c r="Y1000" i="3"/>
  <c r="AD1002" i="3"/>
  <c r="AA1002" i="3"/>
  <c r="Z1002" i="3"/>
  <c r="AC1002" i="3"/>
  <c r="P1002" i="3"/>
  <c r="Q1002" i="3" s="1"/>
  <c r="R1002" i="3" s="1"/>
  <c r="S1002" i="3" s="1"/>
  <c r="T1002" i="3" l="1"/>
  <c r="AG1002" i="3" s="1"/>
  <c r="AH1002" i="3" l="1"/>
  <c r="D1002" i="3"/>
  <c r="G1002" i="3" s="1"/>
  <c r="E1002" i="3"/>
  <c r="H1002" i="3" s="1"/>
  <c r="K1002" i="3" s="1"/>
  <c r="AE1002" i="3" s="1"/>
  <c r="F1002" i="3" l="1"/>
  <c r="I1002" i="3"/>
  <c r="J1002" i="3"/>
  <c r="M1002" i="3"/>
  <c r="N1002" i="3" s="1"/>
  <c r="V1002" i="3"/>
  <c r="A1003" i="3"/>
  <c r="B1003" i="3" s="1"/>
  <c r="W1002" i="3" l="1"/>
  <c r="L1002" i="3"/>
  <c r="AC1003" i="3"/>
  <c r="P1003" i="3"/>
  <c r="Q1003" i="3" s="1"/>
  <c r="R1003" i="3" s="1"/>
  <c r="S1003" i="3" s="1"/>
  <c r="AA1003" i="3"/>
  <c r="Z1003" i="3"/>
  <c r="AD1003" i="3"/>
  <c r="T1003" i="3" l="1"/>
  <c r="AH1003" i="3" s="1"/>
  <c r="U1002" i="3"/>
  <c r="Y1001" i="3"/>
  <c r="D1003" i="3" l="1"/>
  <c r="G1003" i="3" s="1"/>
  <c r="E1003" i="3"/>
  <c r="H1003" i="3" s="1"/>
  <c r="K1003" i="3" s="1"/>
  <c r="AE1003" i="3" s="1"/>
  <c r="AG1003" i="3"/>
  <c r="F1003" i="3" l="1"/>
  <c r="I1003" i="3"/>
  <c r="J1003" i="3"/>
  <c r="M1003" i="3"/>
  <c r="N1003" i="3" s="1"/>
  <c r="V1003" i="3"/>
  <c r="A1004" i="3"/>
  <c r="B1004" i="3" s="1"/>
  <c r="W1003" i="3" l="1"/>
  <c r="L1003" i="3"/>
  <c r="P1004" i="3"/>
  <c r="Q1004" i="3" s="1"/>
  <c r="R1004" i="3" s="1"/>
  <c r="S1004" i="3" s="1"/>
  <c r="T1004" i="3" s="1"/>
  <c r="AA1004" i="3"/>
  <c r="Z1004" i="3"/>
  <c r="AC1004" i="3"/>
  <c r="AG1004" i="3" l="1"/>
  <c r="AH1004" i="3"/>
  <c r="U1003" i="3"/>
  <c r="D1004" i="3" s="1"/>
  <c r="Y1002" i="3"/>
  <c r="J50" i="1"/>
  <c r="L50" i="1"/>
  <c r="I50" i="1"/>
  <c r="J26" i="1"/>
  <c r="K50" i="1"/>
  <c r="M50" i="1"/>
  <c r="K26" i="1"/>
  <c r="I26" i="1"/>
  <c r="K28" i="1"/>
  <c r="I48" i="1"/>
  <c r="L48" i="1"/>
  <c r="M48" i="1"/>
  <c r="K48" i="1"/>
  <c r="J48" i="1"/>
  <c r="I28" i="1"/>
  <c r="J28" i="1"/>
  <c r="E1004" i="3" l="1"/>
  <c r="H1004" i="3" s="1"/>
  <c r="K1004" i="3" s="1"/>
  <c r="AE1004" i="3" s="1"/>
  <c r="C125" i="1"/>
  <c r="C158" i="1"/>
  <c r="C33" i="1"/>
  <c r="C129" i="1"/>
  <c r="C124" i="1"/>
  <c r="C127" i="1"/>
  <c r="C35" i="1"/>
  <c r="J49" i="1" s="1"/>
  <c r="C132" i="1"/>
  <c r="C133" i="1" s="1"/>
  <c r="M26" i="1"/>
  <c r="I72" i="7"/>
  <c r="I73" i="7" s="1"/>
  <c r="I70" i="7"/>
  <c r="G1004" i="3"/>
  <c r="B129" i="1"/>
  <c r="B124" i="1"/>
  <c r="B128" i="1"/>
  <c r="D158" i="1"/>
  <c r="B125" i="1"/>
  <c r="B127" i="1"/>
  <c r="B130" i="1"/>
  <c r="B126" i="1"/>
  <c r="D33" i="1"/>
  <c r="D35" i="1"/>
  <c r="J51" i="1" s="1"/>
  <c r="C149" i="1"/>
  <c r="C150" i="1" s="1"/>
  <c r="C141" i="1"/>
  <c r="C144" i="1"/>
  <c r="C146" i="1"/>
  <c r="C142" i="1"/>
  <c r="B141" i="1"/>
  <c r="B144" i="1"/>
  <c r="B143" i="1"/>
  <c r="B147" i="1"/>
  <c r="B145" i="1"/>
  <c r="B142" i="1"/>
  <c r="B146" i="1"/>
  <c r="M28" i="1"/>
  <c r="H72" i="7"/>
  <c r="H73" i="7" s="1"/>
  <c r="H70" i="7"/>
  <c r="F1004" i="3" l="1"/>
  <c r="L25" i="1" s="1"/>
  <c r="H51" i="1"/>
  <c r="D34" i="1"/>
  <c r="L44" i="1"/>
  <c r="I1004" i="3"/>
  <c r="J1004" i="3"/>
  <c r="M1004" i="3"/>
  <c r="N1004" i="3" s="1"/>
  <c r="E31" i="7"/>
  <c r="H49" i="1"/>
  <c r="C34" i="1"/>
  <c r="V1004" i="3"/>
  <c r="L1004" i="3" l="1"/>
  <c r="Y1004" i="3" s="1"/>
  <c r="AD1004" i="3"/>
  <c r="W1004" i="3"/>
  <c r="B136" i="1"/>
  <c r="B138" i="1"/>
  <c r="B134" i="1"/>
  <c r="B133" i="1" s="1"/>
  <c r="F137" i="1"/>
  <c r="F138" i="1"/>
  <c r="C136" i="1"/>
  <c r="C138" i="1"/>
  <c r="K25" i="1"/>
  <c r="K44" i="1"/>
  <c r="B151" i="1"/>
  <c r="B150" i="1" s="1"/>
  <c r="B155" i="1"/>
  <c r="B153" i="1"/>
  <c r="H117" i="7"/>
  <c r="E62" i="7"/>
  <c r="F62" i="7" s="1"/>
  <c r="E120" i="7"/>
  <c r="F120" i="7" s="1"/>
  <c r="E119" i="7"/>
  <c r="F119" i="7" s="1"/>
  <c r="E133" i="7"/>
  <c r="E63" i="7"/>
  <c r="F63" i="7" s="1"/>
  <c r="H59" i="7"/>
  <c r="L31" i="7"/>
  <c r="E65" i="7"/>
  <c r="F65" i="7" s="1"/>
  <c r="Y1003" i="3" l="1"/>
  <c r="M43" i="1" s="1"/>
  <c r="U1004" i="3"/>
  <c r="J45" i="1"/>
  <c r="I43" i="1"/>
  <c r="K43" i="1"/>
  <c r="H27" i="1"/>
  <c r="J31" i="7" s="1"/>
  <c r="L45" i="1"/>
  <c r="M45" i="1"/>
  <c r="K45" i="1"/>
  <c r="H45" i="1"/>
  <c r="I46" i="1"/>
  <c r="H46" i="1"/>
  <c r="J27" i="1"/>
  <c r="D164" i="1" s="1"/>
  <c r="M46" i="1"/>
  <c r="K27" i="1"/>
  <c r="K31" i="7" s="1"/>
  <c r="K24" i="1"/>
  <c r="S26" i="6" s="1"/>
  <c r="L43" i="1"/>
  <c r="L46" i="1"/>
  <c r="I27" i="1"/>
  <c r="B164" i="1" s="1"/>
  <c r="J43" i="1"/>
  <c r="I45" i="1"/>
  <c r="J46" i="1"/>
  <c r="H29" i="1"/>
  <c r="F155" i="1" s="1"/>
  <c r="M31" i="7"/>
  <c r="E121" i="7"/>
  <c r="F121" i="7" s="1"/>
  <c r="H116" i="7"/>
  <c r="H58" i="7"/>
  <c r="E64" i="7"/>
  <c r="F64" i="7" s="1"/>
  <c r="H55" i="7" l="1"/>
  <c r="H112" i="7"/>
  <c r="H53" i="7"/>
  <c r="P32" i="1"/>
  <c r="P33" i="1"/>
  <c r="I67" i="7"/>
  <c r="H43" i="1"/>
  <c r="K46" i="1"/>
  <c r="H47" i="1"/>
  <c r="M47" i="1"/>
  <c r="L47" i="1"/>
  <c r="K47" i="1"/>
  <c r="K29" i="1" s="1"/>
  <c r="M29" i="1" s="1"/>
  <c r="J47" i="1"/>
  <c r="J29" i="1"/>
  <c r="P31" i="1"/>
  <c r="F197" i="1"/>
  <c r="F194" i="1"/>
  <c r="F175" i="1"/>
  <c r="D189" i="1"/>
  <c r="F165" i="1"/>
  <c r="F167" i="1"/>
  <c r="D169" i="1"/>
  <c r="D195" i="1"/>
  <c r="D197" i="1"/>
  <c r="D199" i="1"/>
  <c r="D176" i="1"/>
  <c r="D171" i="1"/>
  <c r="D200" i="1"/>
  <c r="D162" i="1"/>
  <c r="D188" i="1"/>
  <c r="F198" i="1"/>
  <c r="D168" i="1"/>
  <c r="D194" i="1"/>
  <c r="F187" i="1"/>
  <c r="F166" i="1"/>
  <c r="F174" i="1"/>
  <c r="F188" i="1"/>
  <c r="F172" i="1"/>
  <c r="F173" i="1"/>
  <c r="D167" i="1"/>
  <c r="F22" i="1"/>
  <c r="D180" i="1"/>
  <c r="F201" i="1"/>
  <c r="D163" i="1"/>
  <c r="F200" i="1"/>
  <c r="D165" i="1"/>
  <c r="D173" i="1"/>
  <c r="D184" i="1"/>
  <c r="F168" i="1"/>
  <c r="F169" i="1"/>
  <c r="D193" i="1"/>
  <c r="F186" i="1"/>
  <c r="F170" i="1"/>
  <c r="H44" i="7"/>
  <c r="D174" i="1"/>
  <c r="D172" i="1"/>
  <c r="F176" i="1"/>
  <c r="D182" i="1"/>
  <c r="D192" i="1"/>
  <c r="D186" i="1"/>
  <c r="F164" i="1"/>
  <c r="F199" i="1"/>
  <c r="D196" i="1"/>
  <c r="F183" i="1"/>
  <c r="D191" i="1"/>
  <c r="F189" i="1"/>
  <c r="F163" i="1"/>
  <c r="F177" i="1"/>
  <c r="D166" i="1"/>
  <c r="D187" i="1"/>
  <c r="D198" i="1"/>
  <c r="F195" i="1"/>
  <c r="H11" i="7"/>
  <c r="F185" i="1"/>
  <c r="D183" i="1"/>
  <c r="F190" i="1"/>
  <c r="F184" i="1"/>
  <c r="F191" i="1"/>
  <c r="F182" i="1"/>
  <c r="D181" i="1"/>
  <c r="D185" i="1"/>
  <c r="F196" i="1"/>
  <c r="D177" i="1"/>
  <c r="F193" i="1"/>
  <c r="F171" i="1"/>
  <c r="D190" i="1"/>
  <c r="F192" i="1"/>
  <c r="D175" i="1"/>
  <c r="F178" i="1"/>
  <c r="F181" i="1"/>
  <c r="D170" i="1"/>
  <c r="B172" i="1"/>
  <c r="B182" i="1"/>
  <c r="B171" i="1"/>
  <c r="B187" i="1"/>
  <c r="B165" i="1"/>
  <c r="B176" i="1"/>
  <c r="B167" i="1"/>
  <c r="B175" i="1"/>
  <c r="B173" i="1"/>
  <c r="B185" i="1"/>
  <c r="H113" i="7"/>
  <c r="B181" i="1"/>
  <c r="B200" i="1"/>
  <c r="B189" i="1"/>
  <c r="B166" i="1"/>
  <c r="B186" i="1"/>
  <c r="B169" i="1"/>
  <c r="H114" i="7"/>
  <c r="B199" i="1"/>
  <c r="B198" i="1"/>
  <c r="B180" i="1"/>
  <c r="B192" i="1"/>
  <c r="C159" i="1"/>
  <c r="B193" i="1"/>
  <c r="E128" i="7"/>
  <c r="F128" i="7" s="1"/>
  <c r="B195" i="1"/>
  <c r="B174" i="1"/>
  <c r="B183" i="1"/>
  <c r="B191" i="1"/>
  <c r="B194" i="1"/>
  <c r="B177" i="1"/>
  <c r="B184" i="1"/>
  <c r="B196" i="1"/>
  <c r="F136" i="1"/>
  <c r="C137" i="1" s="1"/>
  <c r="B190" i="1"/>
  <c r="B163" i="1"/>
  <c r="B170" i="1"/>
  <c r="B197" i="1"/>
  <c r="H31" i="7"/>
  <c r="B162" i="1"/>
  <c r="B168" i="1"/>
  <c r="H54" i="7"/>
  <c r="B188" i="1"/>
  <c r="B159" i="1"/>
  <c r="H57" i="7"/>
  <c r="F154" i="1"/>
  <c r="B152" i="1" l="1"/>
  <c r="H115" i="7"/>
  <c r="S25" i="6"/>
  <c r="D31" i="7"/>
  <c r="D159" i="1"/>
  <c r="H19" i="7"/>
  <c r="C121" i="1"/>
  <c r="P30" i="1"/>
  <c r="B121" i="1"/>
  <c r="H56" i="7"/>
  <c r="E129" i="7"/>
  <c r="F129" i="7" s="1"/>
  <c r="B154" i="1"/>
  <c r="C135" i="1"/>
  <c r="C154" i="1"/>
  <c r="C152" i="1"/>
  <c r="B135" i="1"/>
  <c r="B137" i="1"/>
  <c r="C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M363040</author>
    <author>Léo Côme</author>
    <author>collectif</author>
  </authors>
  <commentList>
    <comment ref="M5" authorId="0" shapeId="0" xr:uid="{00000000-0006-0000-0000-000001000000}">
      <text>
        <r>
          <rPr>
            <sz val="8"/>
            <color indexed="8"/>
            <rFont val="Tahoma"/>
            <family val="2"/>
          </rPr>
          <t xml:space="preserve">Définir les propriétés du 1er changement de diamètre.
Laisser cette colonne vide si la fusée n'a pas de Jupe ou Rétreint.
</t>
        </r>
        <r>
          <rPr>
            <i/>
            <sz val="8"/>
            <color indexed="8"/>
            <rFont val="Tahoma"/>
            <family val="2"/>
          </rPr>
          <t>Set properties of the 1st diameter transition.
Leave this column blank if no skirt/shrink on the rocket.</t>
        </r>
      </text>
    </comment>
    <comment ref="O5" authorId="0" shapeId="0" xr:uid="{00000000-0006-0000-0000-000002000000}">
      <text>
        <r>
          <rPr>
            <sz val="8"/>
            <color indexed="8"/>
            <rFont val="Tahoma"/>
            <family val="2"/>
          </rPr>
          <t xml:space="preserve">Définir les propriétés du 2e changement de diamètre.
Laisser cette colonne vide si la fusée n'a pas de 2e Jupe ou Rétreint.
</t>
        </r>
        <r>
          <rPr>
            <i/>
            <sz val="8"/>
            <color indexed="8"/>
            <rFont val="Tahoma"/>
            <family val="2"/>
          </rPr>
          <t>Set properties of the 2nd diameter transition.
Leave this column blank if no 2nd skirt/shrink on the rocket.</t>
        </r>
      </text>
    </comment>
    <comment ref="L6" authorId="1" shapeId="0" xr:uid="{00000000-0006-0000-0000-000003000000}">
      <text>
        <r>
          <rPr>
            <b/>
            <sz val="8"/>
            <color indexed="8"/>
            <rFont val="Tahoma"/>
            <family val="2"/>
          </rPr>
          <t>Hauteur</t>
        </r>
        <r>
          <rPr>
            <sz val="8"/>
            <color indexed="8"/>
            <rFont val="Tahoma"/>
            <family val="2"/>
          </rPr>
          <t xml:space="preserve"> du changement de diamètre (cf. schéma sur fond bleu).
</t>
        </r>
        <r>
          <rPr>
            <i/>
            <sz val="8"/>
            <color indexed="8"/>
            <rFont val="Tahoma"/>
            <family val="2"/>
          </rPr>
          <t>Height of the tronconical transition (cf. blue schematic).</t>
        </r>
      </text>
    </comment>
    <comment ref="L7" authorId="1" shapeId="0" xr:uid="{00000000-0006-0000-0000-000004000000}">
      <text>
        <r>
          <rPr>
            <sz val="8"/>
            <color indexed="8"/>
            <rFont val="Tahoma"/>
            <family val="2"/>
          </rPr>
          <t xml:space="preserve">Diamètre de la partie située </t>
        </r>
        <r>
          <rPr>
            <b/>
            <sz val="8"/>
            <color indexed="8"/>
            <rFont val="Tahoma"/>
            <family val="2"/>
          </rPr>
          <t>au dessus</t>
        </r>
        <r>
          <rPr>
            <sz val="8"/>
            <color indexed="8"/>
            <rFont val="Tahoma"/>
            <family val="2"/>
          </rPr>
          <t xml:space="preserve"> du changement de diamètre.
</t>
        </r>
        <r>
          <rPr>
            <i/>
            <sz val="8"/>
            <color indexed="8"/>
            <rFont val="Tahoma"/>
            <family val="2"/>
          </rPr>
          <t>Upper Diameter (cf. blue schematic).</t>
        </r>
      </text>
    </comment>
    <comment ref="L8" authorId="1" shapeId="0" xr:uid="{00000000-0006-0000-0000-000005000000}">
      <text>
        <r>
          <rPr>
            <sz val="8"/>
            <color indexed="8"/>
            <rFont val="Tahoma"/>
            <family val="2"/>
          </rPr>
          <t xml:space="preserve">Diamètre de la partie située </t>
        </r>
        <r>
          <rPr>
            <b/>
            <sz val="8"/>
            <color indexed="8"/>
            <rFont val="Tahoma"/>
            <family val="2"/>
          </rPr>
          <t>en dessous</t>
        </r>
        <r>
          <rPr>
            <sz val="8"/>
            <color indexed="8"/>
            <rFont val="Tahoma"/>
            <family val="2"/>
          </rPr>
          <t xml:space="preserve"> du changement de diamètre.
</t>
        </r>
        <r>
          <rPr>
            <i/>
            <sz val="8"/>
            <color indexed="8"/>
            <rFont val="Tahoma"/>
            <family val="2"/>
          </rPr>
          <t>Lower Diameter (cf. blue schematic).</t>
        </r>
      </text>
    </comment>
    <comment ref="L9" authorId="0" shapeId="0" xr:uid="{00000000-0006-0000-0000-000006000000}">
      <text>
        <r>
          <rPr>
            <sz val="8"/>
            <color indexed="8"/>
            <rFont val="Tahoma"/>
            <family val="2"/>
          </rPr>
          <t xml:space="preserve">Distance entre la pointe de l'ogive et le haut du changement de diamètre.
</t>
        </r>
        <r>
          <rPr>
            <i/>
            <sz val="8"/>
            <color indexed="8"/>
            <rFont val="Tahoma"/>
            <family val="2"/>
          </rPr>
          <t>Distance betwenn the tip of the nose cone and the top of the skirt/shrink.</t>
        </r>
      </text>
    </comment>
    <comment ref="S12" authorId="0" shapeId="0" xr:uid="{00000000-0006-0000-0000-000008000000}">
      <text>
        <r>
          <rPr>
            <sz val="8"/>
            <color indexed="8"/>
            <rFont val="Tahoma"/>
            <family val="2"/>
          </rPr>
          <t xml:space="preserve">Distance entre la pointe de l'ogive et le </t>
        </r>
        <r>
          <rPr>
            <b/>
            <sz val="8"/>
            <color indexed="8"/>
            <rFont val="Tahoma"/>
            <family val="2"/>
          </rPr>
          <t>haut</t>
        </r>
        <r>
          <rPr>
            <sz val="8"/>
            <color indexed="8"/>
            <rFont val="Tahoma"/>
            <family val="2"/>
          </rPr>
          <t xml:space="preserve"> du propulseur (hors ergot).
</t>
        </r>
        <r>
          <rPr>
            <i/>
            <sz val="8"/>
            <color indexed="8"/>
            <rFont val="Tahoma"/>
            <family val="2"/>
          </rPr>
          <t xml:space="preserve">Distance between the tip of the nose cone and the </t>
        </r>
        <r>
          <rPr>
            <b/>
            <i/>
            <sz val="8"/>
            <color indexed="8"/>
            <rFont val="Tahoma"/>
            <family val="2"/>
          </rPr>
          <t xml:space="preserve">top </t>
        </r>
        <r>
          <rPr>
            <i/>
            <sz val="8"/>
            <color indexed="8"/>
            <rFont val="Tahoma"/>
            <family val="2"/>
          </rPr>
          <t>of the motor.</t>
        </r>
      </text>
    </comment>
    <comment ref="B13" authorId="0" shapeId="0" xr:uid="{00000000-0006-0000-0000-000007000000}">
      <text>
        <r>
          <rPr>
            <sz val="8"/>
            <color indexed="8"/>
            <rFont val="Tahoma"/>
            <family val="2"/>
          </rPr>
          <t xml:space="preserve">Position du </t>
        </r>
        <r>
          <rPr>
            <b/>
            <sz val="8"/>
            <color indexed="8"/>
            <rFont val="Tahoma"/>
            <family val="2"/>
          </rPr>
          <t>Centre de Masse</t>
        </r>
        <r>
          <rPr>
            <sz val="8"/>
            <color indexed="8"/>
            <rFont val="Tahoma"/>
            <family val="2"/>
          </rPr>
          <t xml:space="preserve"> (CdG) par rapport à la pointe de l'ogive,
à mesurer ou estimer sur votre fusée.
</t>
        </r>
        <r>
          <rPr>
            <i/>
            <sz val="8"/>
            <color indexed="8"/>
            <rFont val="Tahoma"/>
            <family val="2"/>
          </rPr>
          <t>Position of Center of Mass (CoG) from the top of the nose cone.</t>
        </r>
      </text>
    </comment>
    <comment ref="L13" authorId="1" shapeId="0" xr:uid="{00000000-0006-0000-0000-00000A000000}">
      <text>
        <r>
          <rPr>
            <sz val="8"/>
            <color indexed="8"/>
            <rFont val="Tahoma"/>
            <family val="2"/>
          </rPr>
          <t xml:space="preserve">Centre de Masse du propulseur par rapport au haut du propulseur.
</t>
        </r>
        <r>
          <rPr>
            <i/>
            <sz val="8"/>
            <color indexed="8"/>
            <rFont val="Tahoma"/>
            <family val="2"/>
          </rPr>
          <t>Motor Center of Mass, mesured from top of motor.</t>
        </r>
      </text>
    </comment>
    <comment ref="B14" authorId="0" shapeId="0" xr:uid="{00000000-0006-0000-0000-000009000000}">
      <text>
        <r>
          <rPr>
            <sz val="8"/>
            <color indexed="8"/>
            <rFont val="Tahoma"/>
            <family val="2"/>
          </rPr>
          <t xml:space="preserve">Longueur totale du fuselage avec l'ogive,
hors propu hors antenne hors ailerons.
</t>
        </r>
        <r>
          <rPr>
            <i/>
            <sz val="8"/>
            <color indexed="8"/>
            <rFont val="Tahoma"/>
            <family val="2"/>
          </rPr>
          <t>Total length of the body including nose cone.</t>
        </r>
      </text>
    </comment>
    <comment ref="S14" authorId="0" shapeId="0" xr:uid="{00000000-0006-0000-0000-00000C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B15" authorId="0" shapeId="0" xr:uid="{00000000-0006-0000-0000-00000B000000}">
      <text>
        <r>
          <rPr>
            <sz val="8"/>
            <color indexed="8"/>
            <rFont val="Tahoma"/>
            <family val="2"/>
          </rPr>
          <t xml:space="preserve">Diamètre de référence, utilisé pour calculer : Cnα, Finesse, Marge Statique.
Par défaut D_réf = D_ogive ; on peux écraser avec le diamètre "principal".
</t>
        </r>
        <r>
          <rPr>
            <i/>
            <sz val="8"/>
            <color indexed="8"/>
            <rFont val="Tahoma"/>
            <family val="2"/>
          </rPr>
          <t>Reference Diameter, used to compute: Cnα, Finesse, Static Margin.
By default D_ref = D_ogive ; one can overwrtie with the "main" diameter.</t>
        </r>
      </text>
    </comment>
    <comment ref="L15" authorId="1" shapeId="0" xr:uid="{00000000-0006-0000-0000-00000D000000}">
      <text>
        <r>
          <rPr>
            <sz val="8"/>
            <color indexed="8"/>
            <rFont val="Tahoma"/>
            <family val="2"/>
          </rPr>
          <t xml:space="preserve">Les positions des </t>
        </r>
        <r>
          <rPr>
            <sz val="8"/>
            <color indexed="12"/>
            <rFont val="Tahoma"/>
            <family val="2"/>
          </rPr>
          <t>Centres de Masse</t>
        </r>
        <r>
          <rPr>
            <sz val="8"/>
            <color indexed="8"/>
            <rFont val="Tahoma"/>
            <family val="2"/>
          </rPr>
          <t xml:space="preserve"> de la fusée avec propulseur plein et vide
sont représentées sur le schéma de la fusée par un </t>
        </r>
        <r>
          <rPr>
            <sz val="8"/>
            <color indexed="12"/>
            <rFont val="Tahoma"/>
            <family val="2"/>
          </rPr>
          <t>segment vertical bleu</t>
        </r>
        <r>
          <rPr>
            <sz val="8"/>
            <color indexed="8"/>
            <rFont val="Tahoma"/>
            <family val="2"/>
          </rPr>
          <t xml:space="preserve">.
</t>
        </r>
        <r>
          <rPr>
            <i/>
            <sz val="8"/>
            <color indexed="8"/>
            <rFont val="Tahoma"/>
            <family val="2"/>
          </rPr>
          <t xml:space="preserve">Rocket Center of Mass are shown whith a </t>
        </r>
        <r>
          <rPr>
            <i/>
            <sz val="8"/>
            <color indexed="12"/>
            <rFont val="Tahoma"/>
            <family val="2"/>
          </rPr>
          <t>blue segment</t>
        </r>
        <r>
          <rPr>
            <i/>
            <sz val="8"/>
            <color indexed="8"/>
            <rFont val="Tahoma"/>
            <family val="2"/>
          </rPr>
          <t xml:space="preserve"> in Rocket schematic.</t>
        </r>
      </text>
    </comment>
    <comment ref="S17" authorId="0" shapeId="0" xr:uid="{00000000-0006-0000-0000-00000E000000}">
      <text>
        <r>
          <rPr>
            <sz val="8"/>
            <color indexed="8"/>
            <rFont val="Tahoma"/>
            <family val="2"/>
          </rPr>
          <t xml:space="preserve">Distance entre la pointe de l'ogive et le point </t>
        </r>
        <r>
          <rPr>
            <b/>
            <sz val="8"/>
            <color indexed="8"/>
            <rFont val="Tahoma"/>
            <family val="2"/>
          </rPr>
          <t>supérieur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upper</t>
        </r>
        <r>
          <rPr>
            <i/>
            <sz val="8"/>
            <color indexed="8"/>
            <rFont val="Tahoma"/>
            <family val="2"/>
          </rPr>
          <t xml:space="preserve"> point of fins attachment on the rocket.</t>
        </r>
      </text>
    </comment>
    <comment ref="S18" authorId="1" shapeId="0" xr:uid="{00000000-0006-0000-0000-000010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B19" authorId="0" shapeId="0" xr:uid="{00000000-0006-0000-0000-00000F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S19" authorId="0" shapeId="0" xr:uid="{00000000-0006-0000-0000-000011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24" authorId="0" shapeId="0" xr:uid="{00000000-0006-0000-0000-000012000000}">
      <text>
        <r>
          <rPr>
            <sz val="8"/>
            <color indexed="8"/>
            <rFont val="Tahoma"/>
            <family val="2"/>
          </rPr>
          <t xml:space="preserve">Diamètre à la base de l'ogive.
</t>
        </r>
        <r>
          <rPr>
            <i/>
            <sz val="8"/>
            <color indexed="8"/>
            <rFont val="Tahoma"/>
            <family val="2"/>
          </rPr>
          <t>Diameter at the basement of the nose cone.</t>
        </r>
      </text>
    </comment>
    <comment ref="E25" authorId="1" shapeId="0" xr:uid="{00000000-0006-0000-0000-000013000000}">
      <text>
        <r>
          <rPr>
            <sz val="8"/>
            <color indexed="8"/>
            <rFont val="Tahoma"/>
            <family val="2"/>
          </rPr>
          <t xml:space="preserve">Les parties masquées des ailerons du bas sont représentées 
sur le schéma de la fusée par des </t>
        </r>
        <r>
          <rPr>
            <sz val="8"/>
            <color indexed="10"/>
            <rFont val="Tahoma"/>
            <family val="2"/>
          </rPr>
          <t>zones en rouge</t>
        </r>
        <r>
          <rPr>
            <sz val="8"/>
            <color indexed="8"/>
            <rFont val="Tahoma"/>
            <family val="2"/>
          </rPr>
          <t xml:space="preserve">.
Ce sont les parties situées juste en dessous des ailerons du haut.
</t>
        </r>
        <r>
          <rPr>
            <i/>
            <sz val="8"/>
            <color indexed="8"/>
            <rFont val="Tahoma"/>
            <family val="2"/>
          </rPr>
          <t xml:space="preserve">The fin-fin interaction zone is located just below the upper fins,
shown in </t>
        </r>
        <r>
          <rPr>
            <i/>
            <sz val="8"/>
            <color indexed="10"/>
            <rFont val="Tahoma"/>
            <family val="2"/>
          </rPr>
          <t>red</t>
        </r>
        <r>
          <rPr>
            <i/>
            <sz val="8"/>
            <color indexed="8"/>
            <rFont val="Tahoma"/>
            <family val="2"/>
          </rPr>
          <t xml:space="preserve"> in the Rocket schematic.</t>
        </r>
      </text>
    </comment>
    <comment ref="F27" authorId="0" shapeId="0" xr:uid="{00000000-0006-0000-0000-000015000000}">
      <text>
        <r>
          <rPr>
            <sz val="8"/>
            <color indexed="8"/>
            <rFont val="Tahoma"/>
            <family val="2"/>
          </rPr>
          <t xml:space="preserve">La </t>
        </r>
        <r>
          <rPr>
            <b/>
            <sz val="8"/>
            <color indexed="8"/>
            <rFont val="Tahoma"/>
            <family val="2"/>
          </rPr>
          <t>Finesse</t>
        </r>
        <r>
          <rPr>
            <sz val="8"/>
            <color indexed="8"/>
            <rFont val="Tahoma"/>
            <family val="2"/>
          </rPr>
          <t xml:space="preserve"> représente l'allongement de la fusée, rapport Longueur/Diamètre.
</t>
        </r>
        <r>
          <rPr>
            <i/>
            <sz val="8"/>
            <color indexed="8"/>
            <rFont val="Tahoma"/>
            <family val="2"/>
          </rPr>
          <t>Finesse represents the relative length of the rocket. Finesse = L/D</t>
        </r>
      </text>
    </comment>
    <comment ref="B28" authorId="1" shapeId="0" xr:uid="{00000000-0006-0000-0000-000014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F28" authorId="0" shapeId="0" xr:uid="{00000000-0006-0000-0000-000017000000}">
      <text>
        <r>
          <rPr>
            <sz val="8"/>
            <color indexed="8"/>
            <rFont val="Tahoma"/>
            <family val="2"/>
          </rPr>
          <t xml:space="preserve">Le gradient de </t>
        </r>
        <r>
          <rPr>
            <b/>
            <sz val="8"/>
            <color indexed="16"/>
            <rFont val="Tahoma"/>
            <family val="2"/>
          </rPr>
          <t>Portance</t>
        </r>
        <r>
          <rPr>
            <sz val="8"/>
            <color indexed="8"/>
            <rFont val="Tahoma"/>
            <family val="2"/>
          </rPr>
          <t xml:space="preserve"> Cnα indique l'efficacité des ailerons.
Pour l'augmenter, il faut augmenter la taille des ailerons, et inversement.
</t>
        </r>
        <r>
          <rPr>
            <i/>
            <sz val="8"/>
            <color indexed="16"/>
            <rFont val="Tahoma"/>
            <family val="2"/>
          </rPr>
          <t>Lift</t>
        </r>
        <r>
          <rPr>
            <i/>
            <sz val="8"/>
            <color indexed="8"/>
            <rFont val="Tahoma"/>
            <family val="2"/>
          </rPr>
          <t xml:space="preserve"> gradient, Cnα, represents the fins efficiency. 
To increase it, one must increase the size of the fins, and conversely.</t>
        </r>
      </text>
    </comment>
    <comment ref="B29" authorId="1" shapeId="0" xr:uid="{00000000-0006-0000-0000-000016000000}">
      <text>
        <r>
          <rPr>
            <sz val="8"/>
            <color indexed="8"/>
            <rFont val="Tahoma"/>
            <family val="2"/>
          </rPr>
          <t xml:space="preserve">Longueur du </t>
        </r>
        <r>
          <rPr>
            <b/>
            <sz val="8"/>
            <color indexed="8"/>
            <rFont val="Tahoma"/>
            <family val="2"/>
          </rPr>
          <t>saumo</t>
        </r>
        <r>
          <rPr>
            <b/>
            <u/>
            <sz val="8"/>
            <color indexed="8"/>
            <rFont val="Tahoma"/>
            <family val="2"/>
          </rPr>
          <t>n</t>
        </r>
        <r>
          <rPr>
            <sz val="8"/>
            <color indexed="8"/>
            <rFont val="Tahoma"/>
            <family val="2"/>
          </rPr>
          <t xml:space="preserve"> d'un aileron.
</t>
        </r>
        <r>
          <rPr>
            <i/>
            <sz val="8"/>
            <color indexed="8"/>
            <rFont val="Tahoma"/>
            <family val="2"/>
          </rPr>
          <t>Tip edge length of one fin.</t>
        </r>
      </text>
    </comment>
    <comment ref="F29" authorId="0" shapeId="0" xr:uid="{00000000-0006-0000-0000-000019000000}">
      <text>
        <r>
          <rPr>
            <sz val="8"/>
            <color indexed="8"/>
            <rFont val="Tahoma"/>
            <family val="2"/>
          </rPr>
          <t xml:space="preserve">La </t>
        </r>
        <r>
          <rPr>
            <b/>
            <sz val="8"/>
            <color indexed="8"/>
            <rFont val="Tahoma"/>
            <family val="2"/>
          </rPr>
          <t>Marge Statique</t>
        </r>
        <r>
          <rPr>
            <sz val="8"/>
            <color indexed="8"/>
            <rFont val="Tahoma"/>
            <family val="2"/>
          </rPr>
          <t xml:space="preserve">, MS, est la distance entre le Centre de Masse et le Centre de Pression, 
exprimée en nombre de Diamètre de Référence, pour une fusée avec propulseur plein puis vide.
Pour augmenter la MS, il faut soit :
- abaisser le Centre de Portance (position des ailerons)
- rehausser le Centre de Masse
</t>
        </r>
        <r>
          <rPr>
            <i/>
            <sz val="8"/>
            <color indexed="8"/>
            <rFont val="Tahoma"/>
            <family val="2"/>
          </rPr>
          <t>Static Margin, MS, is the distance between the Center of Mass and the Center of Pressure, 
measured in number of reference diameter, for a rocket with loaded motor, then empty motor.
In order to increase MS, one must either:
- lower the Center of Pressure (position of fins)
- Move up the Center of Mass</t>
        </r>
      </text>
    </comment>
    <comment ref="B30" authorId="1" shapeId="0" xr:uid="{00000000-0006-0000-0000-000018000000}">
      <text>
        <r>
          <rPr>
            <b/>
            <sz val="8"/>
            <color indexed="8"/>
            <rFont val="Tahoma"/>
            <family val="2"/>
          </rPr>
          <t>Flèche</t>
        </r>
        <r>
          <rPr>
            <sz val="8"/>
            <color indexed="8"/>
            <rFont val="Tahoma"/>
            <family val="2"/>
          </rPr>
          <t xml:space="preserve"> du bord d'attaque (négatif si besoin).
</t>
        </r>
        <r>
          <rPr>
            <i/>
            <sz val="8"/>
            <color indexed="8"/>
            <rFont val="Tahoma"/>
            <family val="2"/>
          </rPr>
          <t>Offset of the Leading edge.</t>
        </r>
      </text>
    </comment>
    <comment ref="F30" authorId="0" shapeId="0" xr:uid="{00000000-0006-0000-0000-00001B000000}">
      <text>
        <r>
          <rPr>
            <sz val="8"/>
            <color indexed="8"/>
            <rFont val="Tahoma"/>
            <family val="2"/>
          </rPr>
          <t xml:space="preserve">Le </t>
        </r>
        <r>
          <rPr>
            <b/>
            <sz val="8"/>
            <color indexed="8"/>
            <rFont val="Tahoma"/>
            <family val="2"/>
          </rPr>
          <t>produit</t>
        </r>
        <r>
          <rPr>
            <sz val="8"/>
            <color indexed="8"/>
            <rFont val="Tahoma"/>
            <family val="2"/>
          </rPr>
          <t xml:space="preserve"> MS*Cnα représente le </t>
        </r>
        <r>
          <rPr>
            <b/>
            <sz val="8"/>
            <color indexed="8"/>
            <rFont val="Tahoma"/>
            <family val="2"/>
          </rPr>
          <t>couple</t>
        </r>
        <r>
          <rPr>
            <sz val="8"/>
            <color indexed="8"/>
            <rFont val="Tahoma"/>
            <family val="2"/>
          </rPr>
          <t xml:space="preserve"> de rappel de la Portance.
Pour augmenter le produit, il faut augmenter la MS et/ou le Cnα, et inversement.
</t>
        </r>
        <r>
          <rPr>
            <i/>
            <sz val="8"/>
            <color indexed="8"/>
            <rFont val="Tahoma"/>
            <family val="2"/>
          </rPr>
          <t>The product MS*Cnα represents the lift torque.
To increase it, one must increase the Static Margin and/or the Cnα, and conversely.</t>
        </r>
      </text>
    </comment>
    <comment ref="B31" authorId="1" shapeId="0" xr:uid="{00000000-0006-0000-0000-00001A000000}">
      <text>
        <r>
          <rPr>
            <b/>
            <u/>
            <sz val="8"/>
            <color indexed="8"/>
            <rFont val="Tahoma"/>
            <family val="2"/>
          </rPr>
          <t>E</t>
        </r>
        <r>
          <rPr>
            <b/>
            <sz val="8"/>
            <color indexed="8"/>
            <rFont val="Tahoma"/>
            <family val="2"/>
          </rPr>
          <t>nvergure</t>
        </r>
        <r>
          <rPr>
            <sz val="8"/>
            <color indexed="8"/>
            <rFont val="Tahoma"/>
            <family val="2"/>
          </rPr>
          <t xml:space="preserve"> d'un aileron.
</t>
        </r>
        <r>
          <rPr>
            <i/>
            <sz val="8"/>
            <color indexed="8"/>
            <rFont val="Tahoma"/>
            <family val="2"/>
          </rPr>
          <t>Span of one fin.</t>
        </r>
      </text>
    </comment>
    <comment ref="F31" authorId="0" shapeId="0" xr:uid="{00000000-0006-0000-0000-00001C000000}">
      <text>
        <r>
          <rPr>
            <sz val="8"/>
            <color indexed="8"/>
            <rFont val="Tahoma"/>
            <family val="2"/>
          </rPr>
          <t xml:space="preserve">Le Xcp est la </t>
        </r>
        <r>
          <rPr>
            <b/>
            <sz val="8"/>
            <color indexed="16"/>
            <rFont val="Tahoma"/>
            <family val="2"/>
          </rPr>
          <t>position du Centre de Poussée Aérodynamique</t>
        </r>
        <r>
          <rPr>
            <sz val="8"/>
            <color indexed="8"/>
            <rFont val="Tahoma"/>
            <family val="2"/>
          </rPr>
          <t xml:space="preserve"> (CPA), 
aussi appelé Centre de Pression (CP), Centre Latéral de Poussée (CLP), 
ou Foyer, exprimée par rapport à la pointe de l'ogive.
</t>
        </r>
        <r>
          <rPr>
            <i/>
            <sz val="8"/>
            <color indexed="8"/>
            <rFont val="Tahoma"/>
            <family val="2"/>
          </rPr>
          <t>Xcp is the location of the Aerodynamics Center of Pressure, 
measured from the tip of the nose cone.</t>
        </r>
      </text>
    </comment>
    <comment ref="F32" authorId="2" shapeId="0" xr:uid="{00000000-0006-0000-0000-00001D000000}">
      <text>
        <r>
          <rPr>
            <sz val="8"/>
            <color indexed="8"/>
            <rFont val="Tahoma"/>
            <family val="2"/>
          </rPr>
          <t xml:space="preserve">Cette Marge Statique est la distance entre le Centre de Masse et le Centre de Pression, 
exprimée en </t>
        </r>
        <r>
          <rPr>
            <b/>
            <sz val="8"/>
            <color indexed="8"/>
            <rFont val="Tahoma"/>
            <family val="2"/>
          </rPr>
          <t>% de la Longueur</t>
        </r>
        <r>
          <rPr>
            <sz val="8"/>
            <color indexed="8"/>
            <rFont val="Tahoma"/>
            <family val="2"/>
          </rPr>
          <t xml:space="preserve"> de la fusée, pour une fusée avec propulseur plein puis vide.
</t>
        </r>
        <r>
          <rPr>
            <i/>
            <sz val="8"/>
            <color indexed="8"/>
            <rFont val="Tahoma"/>
            <family val="2"/>
          </rPr>
          <t>This Static Margin is the distance between the Center of Mass and the Center of Pressure, 
measured in % of rocket length, for a rocket with loaded motor, then empty motor.</t>
        </r>
      </text>
    </comment>
    <comment ref="B34" authorId="0" shapeId="0" xr:uid="{00000000-0006-0000-0000-00001E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35" authorId="0" shapeId="0" xr:uid="{00000000-0006-0000-0000-00001F000000}">
      <text>
        <r>
          <rPr>
            <sz val="8"/>
            <color indexed="8"/>
            <rFont val="Tahoma"/>
            <family val="2"/>
          </rPr>
          <t xml:space="preserve">Diamètre du fuselage au niveau des ailerons.
</t>
        </r>
        <r>
          <rPr>
            <i/>
            <sz val="8"/>
            <color indexed="8"/>
            <rFont val="Tahoma"/>
            <family val="2"/>
          </rPr>
          <t>Diameter of the body at the level of the fins.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Léo Côme</author>
    <author>Léo</author>
    <author>Sylvain Besson</author>
    <author>collectif</author>
  </authors>
  <commentList>
    <comment ref="B11" authorId="0" shapeId="0" xr:uid="{00000000-0006-0000-0100-000001000000}">
      <text>
        <r>
          <rPr>
            <sz val="8"/>
            <color indexed="8"/>
            <rFont val="Tahoma"/>
            <family val="2"/>
          </rPr>
          <t xml:space="preserve">Masse au décollage, à changer dans la feuille Stabilito,
ou à l'aide des boutons (revérifiez alors la stabilité).
</t>
        </r>
        <r>
          <rPr>
            <i/>
            <sz val="8"/>
            <color indexed="8"/>
            <rFont val="Tahoma"/>
            <family val="2"/>
          </rPr>
          <t>Lift-Off mass, to be changed in Stabilito sheet,
or with the buttons (then recheck stability).</t>
        </r>
      </text>
    </comment>
    <comment ref="B12" authorId="0" shapeId="0" xr:uid="{00000000-0006-0000-0100-000002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5" authorId="1" shapeId="0" xr:uid="{00000000-0006-0000-0100-000003000000}">
      <text>
        <r>
          <rPr>
            <sz val="8"/>
            <color indexed="8"/>
            <rFont val="Tahoma"/>
            <family val="2"/>
          </rPr>
          <t xml:space="preserve">La Surface de Référence utilisée pour le calcul de la Traînée est la surface projetée dans l'axe de la fusée. Ce </t>
        </r>
        <r>
          <rPr>
            <b/>
            <sz val="8"/>
            <color indexed="8"/>
            <rFont val="Tahoma"/>
            <family val="2"/>
          </rPr>
          <t>Maître Couple</t>
        </r>
        <r>
          <rPr>
            <sz val="8"/>
            <color indexed="8"/>
            <rFont val="Tahoma"/>
            <family val="2"/>
          </rPr>
          <t xml:space="preserve"> inclut donc l'épaisseur des ailerons.
</t>
        </r>
        <r>
          <rPr>
            <i/>
            <sz val="8"/>
            <color indexed="8"/>
            <rFont val="Tahoma"/>
            <family val="2"/>
          </rPr>
          <t>Reference Surface used to compute the Drag. It includes Fin thickness.</t>
        </r>
      </text>
    </comment>
    <comment ref="B16" authorId="1" shapeId="0" xr:uid="{00000000-0006-0000-0100-000004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 ref="B19" authorId="1" shapeId="0" xr:uid="{00000000-0006-0000-0100-000005000000}">
      <text>
        <r>
          <rPr>
            <b/>
            <sz val="8"/>
            <color indexed="8"/>
            <rFont val="Tahoma"/>
            <family val="2"/>
          </rPr>
          <t>Longueur de la rampe de lancement.</t>
        </r>
        <r>
          <rPr>
            <sz val="8"/>
            <color indexed="8"/>
            <rFont val="Tahoma"/>
            <family val="2"/>
          </rPr>
          <t xml:space="preserve">
</t>
        </r>
        <r>
          <rPr>
            <i/>
            <sz val="8"/>
            <color indexed="8"/>
            <rFont val="Tahoma"/>
            <family val="2"/>
          </rPr>
          <t xml:space="preserve">                                          Length of the launch pad.</t>
        </r>
        <r>
          <rPr>
            <sz val="8"/>
            <color indexed="8"/>
            <rFont val="Tahoma"/>
            <family val="2"/>
          </rPr>
          <t xml:space="preserve">
Valeurs courantes :                       C</t>
        </r>
        <r>
          <rPr>
            <i/>
            <sz val="8"/>
            <color indexed="8"/>
            <rFont val="Tahoma"/>
            <family val="2"/>
          </rPr>
          <t>ommon values :</t>
        </r>
        <r>
          <rPr>
            <sz val="8"/>
            <color indexed="8"/>
            <rFont val="Tahoma"/>
            <family val="2"/>
          </rPr>
          <t xml:space="preserve">
MicroFusée               : 1m             </t>
        </r>
        <r>
          <rPr>
            <i/>
            <sz val="8"/>
            <color indexed="8"/>
            <rFont val="Tahoma"/>
            <family val="2"/>
          </rPr>
          <t>Micro-rocket</t>
        </r>
        <r>
          <rPr>
            <sz val="8"/>
            <color indexed="8"/>
            <rFont val="Tahoma"/>
            <family val="2"/>
          </rPr>
          <t xml:space="preserve">
MiniFusée                 : 2m -&gt; 3m </t>
        </r>
        <r>
          <rPr>
            <i/>
            <sz val="8"/>
            <color indexed="8"/>
            <rFont val="Tahoma"/>
            <family val="2"/>
          </rPr>
          <t xml:space="preserve">  Mini-rocket</t>
        </r>
        <r>
          <rPr>
            <sz val="8"/>
            <color indexed="8"/>
            <rFont val="Tahoma"/>
            <family val="2"/>
          </rPr>
          <t xml:space="preserve">
Fusée Expérimentale  : 4m -&gt; 7m   </t>
        </r>
        <r>
          <rPr>
            <i/>
            <sz val="8"/>
            <color indexed="8"/>
            <rFont val="Tahoma"/>
            <family val="2"/>
          </rPr>
          <t>Experimental Rocket</t>
        </r>
      </text>
    </comment>
    <comment ref="B20" authorId="1" shapeId="0" xr:uid="{00000000-0006-0000-0100-000006000000}">
      <text>
        <r>
          <rPr>
            <sz val="8"/>
            <color indexed="8"/>
            <rFont val="Tahoma"/>
            <family val="2"/>
          </rPr>
          <t xml:space="preserve">Elévation de la rampe, angle par rapport à l'horizontale, "site" de la rampe, par défaut cet angle est à 80°.
</t>
        </r>
        <r>
          <rPr>
            <i/>
            <sz val="8"/>
            <color indexed="8"/>
            <rFont val="Tahoma"/>
            <family val="2"/>
          </rPr>
          <t>Angle of the lauch pad versus horizontal.</t>
        </r>
      </text>
    </comment>
    <comment ref="B21" authorId="1" shapeId="0" xr:uid="{00000000-0006-0000-0100-000007000000}">
      <text>
        <r>
          <rPr>
            <sz val="8"/>
            <color indexed="8"/>
            <rFont val="Tahoma"/>
            <family val="2"/>
          </rPr>
          <t xml:space="preserve">L'Altitude de la rampe est utilisée pour calculer la densité de l'air.
</t>
        </r>
        <r>
          <rPr>
            <i/>
            <sz val="8"/>
            <color indexed="8"/>
            <rFont val="Tahoma"/>
            <family val="2"/>
          </rPr>
          <t>Launch Pad Altitude is used to compute the air density.</t>
        </r>
      </text>
    </comment>
    <comment ref="D24" authorId="2" shapeId="0" xr:uid="{00000000-0006-0000-0100-000008000000}">
      <text>
        <r>
          <rPr>
            <b/>
            <sz val="8"/>
            <color indexed="8"/>
            <rFont val="Tahoma"/>
            <family val="2"/>
          </rPr>
          <t>Objet largué</t>
        </r>
        <r>
          <rPr>
            <sz val="8"/>
            <color indexed="8"/>
            <rFont val="Tahoma"/>
            <family val="2"/>
          </rPr>
          <t xml:space="preserve"> (CanSat, quasi-satellite, partie contenant l'œuf...)
</t>
        </r>
        <r>
          <rPr>
            <i/>
            <sz val="8"/>
            <color indexed="8"/>
            <rFont val="Tahoma"/>
            <family val="2"/>
          </rPr>
          <t>Separated object (CanSat, quasi-satellite, payload/egg...)</t>
        </r>
      </text>
    </comment>
    <comment ref="K24" authorId="1" shapeId="0" xr:uid="{00000000-0006-0000-0100-000009000000}">
      <text>
        <r>
          <rPr>
            <sz val="8"/>
            <color indexed="8"/>
            <rFont val="Tahoma"/>
            <family val="2"/>
          </rPr>
          <t xml:space="preserve">La Vitesse en Sortie de Rampe doit être supérieure à 18m/s (MiniFusée) ou 20m/s (Fusée Exp.).
Alléger la fusée ou choisir un propu plus puissant.
</t>
        </r>
        <r>
          <rPr>
            <i/>
            <sz val="8"/>
            <color indexed="8"/>
            <rFont val="Tahoma"/>
            <family val="2"/>
          </rPr>
          <t>Speed at Launch Pad Exit must by higher than 18m/s (mini-rocket) or 20m/s (experimental rocket).
Lighten the rocket or choose a bigger motor.</t>
        </r>
      </text>
    </comment>
    <comment ref="C25" authorId="2" shapeId="0" xr:uid="{00000000-0006-0000-0100-00000A000000}">
      <text>
        <r>
          <rPr>
            <sz val="8"/>
            <color indexed="8"/>
            <rFont val="Tahoma"/>
            <family val="2"/>
          </rPr>
          <t xml:space="preserve">Masse de la fusée (sans satellite) sous parachute.
</t>
        </r>
        <r>
          <rPr>
            <i/>
            <sz val="8"/>
            <color indexed="8"/>
            <rFont val="Tahoma"/>
            <family val="2"/>
          </rPr>
          <t>Mass of the rocket (w/o sat) when it fall with a parachute.</t>
        </r>
      </text>
    </comment>
    <comment ref="M28" authorId="3" shapeId="0" xr:uid="{00000000-0006-0000-0100-00000B000000}">
      <text>
        <r>
          <rPr>
            <sz val="8"/>
            <color indexed="81"/>
            <rFont val="Tahoma"/>
            <family val="2"/>
          </rPr>
          <t xml:space="preserve">Efforts sur les fixations du parachute lors de sont ouverture.
</t>
        </r>
        <r>
          <rPr>
            <i/>
            <sz val="8"/>
            <color indexed="81"/>
            <rFont val="Tahoma"/>
            <family val="2"/>
          </rPr>
          <t>Stress on the parachute's bindings when it opened.</t>
        </r>
      </text>
    </comment>
    <comment ref="M29" authorId="3" shapeId="0" xr:uid="{00000000-0006-0000-0100-00000D000000}">
      <text>
        <r>
          <rPr>
            <sz val="8"/>
            <color indexed="81"/>
            <rFont val="Tahoma"/>
            <family val="2"/>
          </rPr>
          <t>Energie libérée lors de l'impact balistique.</t>
        </r>
        <r>
          <rPr>
            <b/>
            <sz val="8"/>
            <color indexed="81"/>
            <rFont val="Tahoma"/>
            <family val="2"/>
          </rPr>
          <t xml:space="preserve">
</t>
        </r>
        <r>
          <rPr>
            <i/>
            <sz val="8"/>
            <color indexed="81"/>
            <rFont val="Tahoma"/>
            <family val="2"/>
          </rPr>
          <t>Balistic impact energy</t>
        </r>
      </text>
    </comment>
    <comment ref="B30" authorId="1" shapeId="0" xr:uid="{00000000-0006-0000-0100-00000C000000}">
      <text>
        <r>
          <rPr>
            <sz val="8"/>
            <color indexed="8"/>
            <rFont val="Tahoma"/>
            <family val="2"/>
          </rPr>
          <t xml:space="preserve">Le Coefficient de Traînée </t>
        </r>
        <r>
          <rPr>
            <b/>
            <sz val="8"/>
            <color indexed="8"/>
            <rFont val="Tahoma"/>
            <family val="2"/>
          </rPr>
          <t>Cx</t>
        </r>
        <r>
          <rPr>
            <sz val="8"/>
            <color indexed="8"/>
            <rFont val="Tahoma"/>
            <family val="2"/>
          </rPr>
          <t xml:space="preserve"> (ou Cd) d'un parachute est généralement compris entre 0.7 et 1.4 (1 par défaut).
</t>
        </r>
        <r>
          <rPr>
            <i/>
            <sz val="8"/>
            <color indexed="8"/>
            <rFont val="Tahoma"/>
            <family val="2"/>
          </rPr>
          <t xml:space="preserve">Parachute Drag Coefficient </t>
        </r>
        <r>
          <rPr>
            <b/>
            <i/>
            <sz val="8"/>
            <color indexed="8"/>
            <rFont val="Tahoma"/>
            <family val="2"/>
          </rPr>
          <t>Cx</t>
        </r>
        <r>
          <rPr>
            <i/>
            <sz val="8"/>
            <color indexed="8"/>
            <rFont val="Tahoma"/>
            <family val="2"/>
          </rPr>
          <t xml:space="preserve"> (or Cd) should be between 0.7 and 1.4, with a default value of 1.</t>
        </r>
      </text>
    </comment>
    <comment ref="B32" authorId="4" shapeId="0" xr:uid="{00000000-0006-0000-0100-00000E000000}">
      <text>
        <r>
          <rPr>
            <sz val="8"/>
            <color indexed="81"/>
            <rFont val="Tahoma"/>
            <family val="2"/>
          </rPr>
          <t xml:space="preserve">La Vitesse de descente sous parachute doit être comprise entre 5 &amp; 15m/s.
</t>
        </r>
        <r>
          <rPr>
            <i/>
            <sz val="8"/>
            <color indexed="81"/>
            <rFont val="Tahoma"/>
            <family val="2"/>
          </rPr>
          <t>Fall Velocity with parachute must be between 5 &amp; 15 m/s.</t>
        </r>
      </text>
    </comment>
    <comment ref="B35" authorId="0" shapeId="0" xr:uid="{00000000-0006-0000-0100-00000F000000}">
      <text>
        <r>
          <rPr>
            <sz val="8"/>
            <color indexed="8"/>
            <rFont val="Tahoma"/>
            <family val="2"/>
          </rPr>
          <t xml:space="preserve">Déviation due au vent lors de la descente sous parachute.
</t>
        </r>
        <r>
          <rPr>
            <i/>
            <sz val="8"/>
            <color indexed="8"/>
            <rFont val="Tahoma"/>
            <family val="2"/>
          </rPr>
          <t>Deviation due to wind during the fall over parachute.</t>
        </r>
      </text>
    </comment>
    <comment ref="F42" authorId="1" shapeId="0" xr:uid="{00000000-0006-0000-0100-000010000000}">
      <text>
        <r>
          <rPr>
            <sz val="8"/>
            <color indexed="8"/>
            <rFont val="Tahoma"/>
            <family val="2"/>
          </rPr>
          <t xml:space="preserve">Les Conditions Initiales permettent de simuler le 2e boost des fusée bi-étage ou des fusées larguant une masse (CanSat, bi-inerte). Laisser à 0 dans les autres cas.
</t>
        </r>
        <r>
          <rPr>
            <i/>
            <sz val="8"/>
            <color indexed="8"/>
            <rFont val="Tahoma"/>
            <family val="2"/>
          </rPr>
          <t>Initial Conditions can be used to simulate the 2nd boost of 2-stages rockets, or rocket releasing mass (Quasi-Satellites). Set them to 0 otherwise.</t>
        </r>
      </text>
    </comment>
    <comment ref="I42" authorId="1" shapeId="0" xr:uid="{00000000-0006-0000-0100-000011000000}">
      <text>
        <r>
          <rPr>
            <sz val="8"/>
            <color indexed="8"/>
            <rFont val="Tahoma"/>
            <family val="2"/>
          </rPr>
          <t xml:space="preserve">Altitude par rapport à la rampe, par rapport au sol.
</t>
        </r>
        <r>
          <rPr>
            <i/>
            <sz val="8"/>
            <color indexed="8"/>
            <rFont val="Tahoma"/>
            <family val="2"/>
          </rPr>
          <t>Altitude with respect to the earth surface.</t>
        </r>
      </text>
    </comment>
    <comment ref="K42" authorId="1" shapeId="0" xr:uid="{00000000-0006-0000-0100-000012000000}">
      <text>
        <r>
          <rPr>
            <sz val="8"/>
            <color indexed="8"/>
            <rFont val="Tahoma"/>
            <family val="2"/>
          </rPr>
          <t xml:space="preserve">La vitesse initiale doit être non-nulle dans le cas d'un 2e boost (allumage hors de la rampe, Portée et Altitude non-nulles).
</t>
        </r>
        <r>
          <rPr>
            <i/>
            <sz val="8"/>
            <color indexed="8"/>
            <rFont val="Tahoma"/>
            <family val="2"/>
          </rPr>
          <t>Initial Velocity must be non-zero in case of 2nd boost (ignition without launch pad, non-zero Range and Altitude).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M363040</author>
    <author>Léo Côme</author>
  </authors>
  <commentList>
    <comment ref="B11" authorId="0" shapeId="0" xr:uid="{00000000-0006-0000-0500-000001000000}">
      <text>
        <r>
          <rPr>
            <sz val="8"/>
            <color indexed="8"/>
            <rFont val="Tahoma"/>
            <family val="2"/>
          </rPr>
          <t xml:space="preserve">Masse sans propu, à changer dans la feuille Stabilito,
ou à l'aide des boutons (revérifiez alors la stabilité).
</t>
        </r>
        <r>
          <rPr>
            <i/>
            <sz val="8"/>
            <color indexed="8"/>
            <rFont val="Tahoma"/>
            <family val="2"/>
          </rPr>
          <t>Rocket mass without motor, to be changed in Stabilito sheet,
or with the buttons (then recheck stability).</t>
        </r>
      </text>
    </comment>
    <comment ref="B12" authorId="0" shapeId="0" xr:uid="{00000000-0006-0000-0500-000002000000}">
      <text>
        <r>
          <rPr>
            <sz val="8"/>
            <color indexed="8"/>
            <rFont val="Tahoma"/>
            <family val="2"/>
          </rPr>
          <t>Masse totale, à changer dans la feuille Stabilito,
ou à l'aide des boutons (revérifiez alors la stabilité).
Rocket total mass, to be changed in Stabilito sheet,
or with the buttons (then recheck stability).</t>
        </r>
      </text>
    </comment>
    <comment ref="B13" authorId="0" shapeId="0" xr:uid="{00000000-0006-0000-0500-000003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6" authorId="1" shapeId="0" xr:uid="{00000000-0006-0000-0500-000004000000}">
      <text>
        <r>
          <rPr>
            <sz val="8"/>
            <color indexed="8"/>
            <rFont val="Tahoma"/>
            <family val="2"/>
          </rPr>
          <t xml:space="preserve">Diamètre de référence. D_réf = D_ogive ou le diamètre "principal".
</t>
        </r>
        <r>
          <rPr>
            <i/>
            <sz val="8"/>
            <color indexed="8"/>
            <rFont val="Tahoma"/>
            <family val="2"/>
          </rPr>
          <t>Reference Diameter. D_ref = D_ogive or the "main" diameter.</t>
        </r>
      </text>
    </comment>
    <comment ref="B17" authorId="2" shapeId="0" xr:uid="{00000000-0006-0000-0500-000005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 Léo</author>
  </authors>
  <commentList>
    <comment ref="E55" authorId="0" shapeId="0" xr:uid="{00000000-0006-0000-0600-000001000000}">
      <text>
        <r>
          <rPr>
            <sz val="8"/>
            <color indexed="81"/>
            <rFont val="Tahoma"/>
            <family val="2"/>
          </rPr>
          <t xml:space="preserve">Masse volumique de l'air (ρ) à P=1013,25hPa &amp; T=15°C.
Utilisée tel quel pour la descente sous parachute,
utilisée comme référence (z=0) pour le calcul de ρ en fonction de l'altitude dans le calcul de la trajectoire pas à pas.
Idéalement, valeur à adapter aux conditions atmosphériques au moment du lancement.
</t>
        </r>
        <r>
          <rPr>
            <i/>
            <sz val="8"/>
            <color indexed="81"/>
            <rFont val="Tahoma"/>
            <family val="2"/>
          </rPr>
          <t>Air density (ρ) at P=1013,25hPa &amp; T=15°C.</t>
        </r>
      </text>
    </comment>
  </commentList>
</comments>
</file>

<file path=xl/sharedStrings.xml><?xml version="1.0" encoding="utf-8"?>
<sst xmlns="http://schemas.openxmlformats.org/spreadsheetml/2006/main" count="1732" uniqueCount="573">
  <si>
    <t>TRAJECTO</t>
  </si>
  <si>
    <t>Français</t>
  </si>
  <si>
    <t>t</t>
  </si>
  <si>
    <t>x</t>
  </si>
  <si>
    <t>Club</t>
  </si>
  <si>
    <t>Cx</t>
  </si>
  <si>
    <t>Altitude</t>
  </si>
  <si>
    <t>m/s²</t>
  </si>
  <si>
    <t>kg/m3</t>
  </si>
  <si>
    <t>Surface para</t>
  </si>
  <si>
    <t>Cx parachute</t>
  </si>
  <si>
    <t>Temps</t>
  </si>
  <si>
    <t>Altitude z</t>
  </si>
  <si>
    <t>Accélération</t>
  </si>
  <si>
    <t>-</t>
  </si>
  <si>
    <t>Culmination, Apogée</t>
  </si>
  <si>
    <t>~0</t>
  </si>
  <si>
    <t>Forces</t>
  </si>
  <si>
    <t>Accélération longitudinale</t>
  </si>
  <si>
    <t>pas</t>
  </si>
  <si>
    <t>Beta</t>
  </si>
  <si>
    <t>BetaD</t>
  </si>
  <si>
    <t>Débit</t>
  </si>
  <si>
    <t>Trainée</t>
  </si>
  <si>
    <t>Rho</t>
  </si>
  <si>
    <t>Poussée</t>
  </si>
  <si>
    <t>i_P</t>
  </si>
  <si>
    <t>Poids</t>
  </si>
  <si>
    <t>R_rampe</t>
  </si>
  <si>
    <t>z</t>
  </si>
  <si>
    <t>non-gravit.</t>
  </si>
  <si>
    <t>gravitationnelle</t>
  </si>
  <si>
    <t>Ligne</t>
  </si>
  <si>
    <t>Temps (en s)</t>
  </si>
  <si>
    <t>Poussée (en N)</t>
  </si>
  <si>
    <t>Isard</t>
  </si>
  <si>
    <t>Chamois</t>
  </si>
  <si>
    <t>espace@planete-sciences.org</t>
  </si>
  <si>
    <t>m</t>
  </si>
  <si>
    <t>http://www.planete-sciences.org/espace/basedoc/</t>
  </si>
  <si>
    <t>Surface Réf.</t>
  </si>
  <si>
    <t>Angle</t>
  </si>
  <si>
    <t>Léo Côme</t>
  </si>
  <si>
    <t>Notes :</t>
  </si>
  <si>
    <t>Aucun (2e ét. inerte)</t>
  </si>
  <si>
    <t>z para</t>
  </si>
  <si>
    <t>z sat</t>
  </si>
  <si>
    <t>xz max</t>
  </si>
  <si>
    <t>t para</t>
  </si>
  <si>
    <t>x para</t>
  </si>
  <si>
    <t>t sat</t>
  </si>
  <si>
    <t>x sat</t>
  </si>
  <si>
    <t>Moteurs Rocketry-Challenge, bug Surface_parachute, Satellite, bug Ooo</t>
  </si>
  <si>
    <t>STABILITO</t>
  </si>
  <si>
    <t>Type</t>
  </si>
  <si>
    <t>XCp</t>
  </si>
  <si>
    <t>MpropuPlein</t>
  </si>
  <si>
    <t>XpropuPlein</t>
  </si>
  <si>
    <t>MpropuVide</t>
  </si>
  <si>
    <t>XpropuVide</t>
  </si>
  <si>
    <t>Longueur</t>
  </si>
  <si>
    <t>Diamètre</t>
  </si>
  <si>
    <t>Min</t>
  </si>
  <si>
    <t>Max</t>
  </si>
  <si>
    <t>Finesse</t>
  </si>
  <si>
    <t>Cnα</t>
  </si>
  <si>
    <t>MS /L</t>
  </si>
  <si>
    <t>English</t>
  </si>
  <si>
    <t>X longi</t>
  </si>
  <si>
    <t>Y latéral</t>
  </si>
  <si>
    <t>- Y latéral</t>
  </si>
  <si>
    <t>Pointe</t>
  </si>
  <si>
    <t>Ogive</t>
  </si>
  <si>
    <t>chmt1 pt1</t>
  </si>
  <si>
    <t>chmt1 pt2</t>
  </si>
  <si>
    <t>chmt2 pt1</t>
  </si>
  <si>
    <t>chmt2 pt2</t>
  </si>
  <si>
    <t>culot</t>
  </si>
  <si>
    <t>aileron pt1</t>
  </si>
  <si>
    <t>aileron pt2</t>
  </si>
  <si>
    <t>aileron pt3</t>
  </si>
  <si>
    <t>aileron pt4</t>
  </si>
  <si>
    <t>Xcg plein</t>
  </si>
  <si>
    <t>Xcg vide</t>
  </si>
  <si>
    <t>Xcp</t>
  </si>
  <si>
    <t>canard pt1</t>
  </si>
  <si>
    <t>canard pt2</t>
  </si>
  <si>
    <t>canard pt3</t>
  </si>
  <si>
    <t>canard pt4</t>
  </si>
  <si>
    <t>masquage pt1</t>
  </si>
  <si>
    <t>masquage pt2</t>
  </si>
  <si>
    <t>masquage pt3</t>
  </si>
  <si>
    <t>masquage pt4</t>
  </si>
  <si>
    <t>cadre</t>
  </si>
  <si>
    <t>propu pt1</t>
  </si>
  <si>
    <t>propu pt2</t>
  </si>
  <si>
    <t>propu pt3</t>
  </si>
  <si>
    <t>propu pt4</t>
  </si>
  <si>
    <t>propu pt5</t>
  </si>
  <si>
    <t>MS (X)</t>
  </si>
  <si>
    <t>Cna (Y)</t>
  </si>
  <si>
    <t>2002-2007</t>
  </si>
  <si>
    <t>Stabilito V1.x</t>
  </si>
  <si>
    <t>Stabilito V2.0</t>
  </si>
  <si>
    <t>Stabilito V2.1</t>
  </si>
  <si>
    <t>Stabilito V2.2</t>
  </si>
  <si>
    <t>Trajecto V1.x</t>
  </si>
  <si>
    <t>Trajecto V2.x</t>
  </si>
  <si>
    <t>Trajecto V2.4</t>
  </si>
  <si>
    <t>Trajecto V2.5</t>
  </si>
  <si>
    <t>OpenOffice Calc</t>
  </si>
  <si>
    <t>µ-propu A8-3</t>
  </si>
  <si>
    <t>µ-propu B4-4</t>
  </si>
  <si>
    <t>µ-propu C6-3</t>
  </si>
  <si>
    <t>ISP</t>
  </si>
  <si>
    <t>I_total</t>
  </si>
  <si>
    <t>I_total_i (en N.s)</t>
  </si>
  <si>
    <t>Micro</t>
  </si>
  <si>
    <t>Fusex</t>
  </si>
  <si>
    <t>Mini</t>
  </si>
  <si>
    <t>0 satellite</t>
  </si>
  <si>
    <t>1 satellite</t>
  </si>
  <si>
    <t>http://creativecommons.org/licenses/by-sa/3.0/</t>
  </si>
  <si>
    <t>VL4</t>
  </si>
  <si>
    <t>Vsortie de rampe (&gt; 18 m/s)</t>
  </si>
  <si>
    <t>10 &lt; finesse &lt; 20</t>
  </si>
  <si>
    <t>15 &lt; Cn &lt; 30</t>
  </si>
  <si>
    <t>30 &lt; Ms x Cn &lt; 100</t>
  </si>
  <si>
    <t>RC1</t>
  </si>
  <si>
    <t>5 &lt; Vc &lt; 15 m/s</t>
  </si>
  <si>
    <t>RC2</t>
  </si>
  <si>
    <t>Temps de retard ralentisseur</t>
  </si>
  <si>
    <t>RC5</t>
  </si>
  <si>
    <t>Portée balistique (m)</t>
  </si>
  <si>
    <t>Temps de vol avec parachute (s)</t>
  </si>
  <si>
    <t>Culmination</t>
  </si>
  <si>
    <t>Accélération max (m/s²)</t>
  </si>
  <si>
    <t>Vmax (m/s)</t>
  </si>
  <si>
    <t>Altitude (m)</t>
  </si>
  <si>
    <t>Temps (s)</t>
  </si>
  <si>
    <t>Vitesse (m/s)</t>
  </si>
  <si>
    <t>Inclinaison</t>
  </si>
  <si>
    <t>Longueur totale</t>
  </si>
  <si>
    <t>Longueur rampe</t>
  </si>
  <si>
    <t>Epaisseur ailerons</t>
  </si>
  <si>
    <t>Nombre ailerons</t>
  </si>
  <si>
    <t>Type d'ogive</t>
  </si>
  <si>
    <t>Longueur ogive "l"</t>
  </si>
  <si>
    <t>Haut du propu "Prop"</t>
  </si>
  <si>
    <t>Diamètre "D"</t>
  </si>
  <si>
    <t>Position ailerons "L"</t>
  </si>
  <si>
    <t>M</t>
  </si>
  <si>
    <t>Microsoft Excel 2003 ou +</t>
  </si>
  <si>
    <t>s</t>
  </si>
  <si>
    <t>m/s</t>
  </si>
  <si>
    <t>°</t>
  </si>
  <si>
    <t>Transition A</t>
  </si>
  <si>
    <t>Transition B</t>
  </si>
  <si>
    <t>Jaune</t>
  </si>
  <si>
    <t>conique</t>
  </si>
  <si>
    <t>ogive</t>
  </si>
  <si>
    <t>parabole</t>
  </si>
  <si>
    <t>env pt4</t>
  </si>
  <si>
    <t>flèche pt2</t>
  </si>
  <si>
    <t>saumon pt3</t>
  </si>
  <si>
    <t>flèche milieu</t>
  </si>
  <si>
    <t>env milieu</t>
  </si>
  <si>
    <t>saumon milieu</t>
  </si>
  <si>
    <t>empl milieu</t>
  </si>
  <si>
    <t>empl pt4</t>
  </si>
  <si>
    <t>MS milieu</t>
  </si>
  <si>
    <t>MS Xcp</t>
  </si>
  <si>
    <t>1s</t>
  </si>
  <si>
    <t>t/T</t>
  </si>
  <si>
    <t>z/Z</t>
  </si>
  <si>
    <t>vertical</t>
  </si>
  <si>
    <t>horizontal</t>
  </si>
  <si>
    <t>flèches</t>
  </si>
  <si>
    <t>StabTraj</t>
  </si>
  <si>
    <t>StabTraj V3.0</t>
  </si>
  <si>
    <t>Trajecto</t>
  </si>
  <si>
    <t>µ-propu</t>
  </si>
  <si>
    <t>Minif</t>
  </si>
  <si>
    <t xml:space="preserve"> </t>
  </si>
  <si>
    <t>Événements</t>
  </si>
  <si>
    <t>Sous-échantillon 1Hz</t>
  </si>
  <si>
    <t>pos_x</t>
  </si>
  <si>
    <t>pos_z</t>
  </si>
  <si>
    <t>pos_xz</t>
  </si>
  <si>
    <t>vit_x</t>
  </si>
  <si>
    <t>vit_z</t>
  </si>
  <si>
    <t>vit_xz</t>
  </si>
  <si>
    <t>acc_x</t>
  </si>
  <si>
    <t>acc_z</t>
  </si>
  <si>
    <t>acc_xz</t>
  </si>
  <si>
    <t>Donneés au format des fiches de contrôles Fusex :</t>
  </si>
  <si>
    <t>Diamètre max</t>
  </si>
  <si>
    <t>Envergure totale</t>
  </si>
  <si>
    <t>sans</t>
  </si>
  <si>
    <t>vide</t>
  </si>
  <si>
    <t>plein</t>
  </si>
  <si>
    <t>Masse</t>
  </si>
  <si>
    <t>STAB 1</t>
  </si>
  <si>
    <t>STAB 2</t>
  </si>
  <si>
    <t>STAB 3</t>
  </si>
  <si>
    <t>STAB 4</t>
  </si>
  <si>
    <t>STAB 5</t>
  </si>
  <si>
    <t>Vsortie de rampe (&gt; 20 m/s)</t>
  </si>
  <si>
    <t>10 &lt; finesse &lt; 35</t>
  </si>
  <si>
    <t>15 &lt; Portance &lt; 40</t>
  </si>
  <si>
    <t>2*D &lt; Ms &lt; 6*D</t>
  </si>
  <si>
    <t>40 &lt; Ms x Cn &lt; 100</t>
  </si>
  <si>
    <t>Maître couple (m²)</t>
  </si>
  <si>
    <t>Site</t>
  </si>
  <si>
    <t>Temps balistique (s)</t>
  </si>
  <si>
    <t>Temps culmi (s)</t>
  </si>
  <si>
    <t>Altitude culmi (m)</t>
  </si>
  <si>
    <t>Vitesse culmi (m/s)</t>
  </si>
  <si>
    <t>CdG</t>
  </si>
  <si>
    <t>Diamètre max (40à200)</t>
  </si>
  <si>
    <t>Envergure totale &lt;720</t>
  </si>
  <si>
    <t>Masse &lt;15</t>
  </si>
  <si>
    <t>Pensez à modifier l'inclinaison pour avoir les 2 valeurs.</t>
  </si>
  <si>
    <t>Resist long aileron</t>
  </si>
  <si>
    <t>Resist transv aileron</t>
  </si>
  <si>
    <t>Compression 2.Acc.M</t>
  </si>
  <si>
    <t>N</t>
  </si>
  <si>
    <t>kg</t>
  </si>
  <si>
    <t>Surface aileron (m²)</t>
  </si>
  <si>
    <t>Masse aileron (kg)</t>
  </si>
  <si>
    <t>T dépotage +/-2s /appogée</t>
  </si>
  <si>
    <t>REC 2</t>
  </si>
  <si>
    <t>SEQ 5</t>
  </si>
  <si>
    <t>CR 1</t>
  </si>
  <si>
    <t>CR 2</t>
  </si>
  <si>
    <t>MEC 3</t>
  </si>
  <si>
    <t>Vitesse à l'ouverture m/s</t>
  </si>
  <si>
    <t>Surface parachute m²</t>
  </si>
  <si>
    <t xml:space="preserve">Choc à l'ouverture   N </t>
  </si>
  <si>
    <t>Choc à l'ouverture   kg</t>
  </si>
  <si>
    <t>Compression porte</t>
  </si>
  <si>
    <t>Masse au-dessus porte</t>
  </si>
  <si>
    <t>REC 8</t>
  </si>
  <si>
    <t>rad</t>
  </si>
  <si>
    <t>kg/s</t>
  </si>
  <si>
    <t>Méthodes d'intégration maison</t>
  </si>
  <si>
    <t>Wikipedia</t>
  </si>
  <si>
    <t>Pour se limiter à 1000 lignes, pas variable (les transitions sont-elles rigoureuses ?).</t>
  </si>
  <si>
    <t>Le Vol de la Fusée</t>
  </si>
  <si>
    <t>Beeman (2nd order, explicit variant)</t>
  </si>
  <si>
    <t>Newmark-beta (with γ=1/2 &amp; β=1/4) (2nd order)</t>
  </si>
  <si>
    <t>Spécificités de notre problème (2nd order mechanical ODE) :</t>
  </si>
  <si>
    <t>Verlet (2-stage 2nd order, symplectic, explicit)</t>
  </si>
  <si>
    <t>Trajec 2.x utililse un mélange douteux de différentes méthodes :</t>
  </si>
  <si>
    <t>Méthodes d'intégration explicites officielles</t>
  </si>
  <si>
    <t>On peut anticiper la Poussée (force qui varie le +) et la masse.</t>
  </si>
  <si>
    <t>L'Acc dépend de la vitesse (et peu de la position).</t>
  </si>
  <si>
    <t>Semi-implicit Euler (1st order, symplectic) [§ "Euler modifié" dans Le Vol de La Fusée]</t>
  </si>
  <si>
    <t>Explicit Euler (1st order, non-symplectic) [RK1]</t>
  </si>
  <si>
    <t>Velocity Verlet, Leapfrog variant (2nd order, symplectic, explicit)</t>
  </si>
  <si>
    <t>Midpoint, Modified Euler (2nd order, explicit) [§ "RK2" dans Le Vol de La Fusée]</t>
  </si>
  <si>
    <t>Heun, Improved Euler (2-stage 2nd-order, explicit, predictor-corrector) [Trapezoidal] [RK2]</t>
  </si>
  <si>
    <t>Les méthodes symplectic (conserve l'énergie) gardent-elles leur avantage quand la masse varie (ph propu) ?</t>
  </si>
  <si>
    <t>Sous Excel, on a les pas précédent (linear multistep possible), mais ordre élevé ou implicite sont à exclure.</t>
  </si>
  <si>
    <t>Multi{sub}step (RK), linear multi{previous}step (ADAMS), predictor-corrector, implicit …</t>
  </si>
  <si>
    <t>Dynamique de la fusée (repère sol)</t>
  </si>
  <si>
    <t>Brun/Orange…</t>
  </si>
  <si>
    <t>Rouge…</t>
  </si>
  <si>
    <t>Trajecto/StabTraj corrige l'erreur de Trajec sur Xn+1 en utilisant la vitesse moyenne :</t>
  </si>
  <si>
    <t>Idéalement, il serait préférable de tout calculer à n+0.5 (m, V, β, ρ).</t>
  </si>
  <si>
    <t>Checksum :</t>
  </si>
  <si>
    <t>M_éjecté</t>
  </si>
  <si>
    <t>M_burnout</t>
  </si>
  <si>
    <t>m_poudre</t>
  </si>
  <si>
    <t>Wapiti</t>
  </si>
  <si>
    <t>Cariacou</t>
  </si>
  <si>
    <t>H2O</t>
  </si>
  <si>
    <t>H2O 2.0L 400g 6bar</t>
  </si>
  <si>
    <t>H2O 2.0L 600g 6bar</t>
  </si>
  <si>
    <t>H2O 2.0L 800g 6bar</t>
  </si>
  <si>
    <t>H2O 2.0L 1000g 6bar</t>
  </si>
  <si>
    <t>ABACO</t>
  </si>
  <si>
    <t>Masse totale</t>
  </si>
  <si>
    <t>Traînée prop</t>
  </si>
  <si>
    <t>Traînée bal</t>
  </si>
  <si>
    <t>1/2.ρ.S.Cx</t>
  </si>
  <si>
    <t>M ph prop</t>
  </si>
  <si>
    <t>M ph bal</t>
  </si>
  <si>
    <t>alt_prop</t>
  </si>
  <si>
    <t>V_prop</t>
  </si>
  <si>
    <t>t_culmi</t>
  </si>
  <si>
    <t>D_var</t>
  </si>
  <si>
    <t>Q_var</t>
  </si>
  <si>
    <t>m_var</t>
  </si>
  <si>
    <t>m_prop</t>
  </si>
  <si>
    <t>m_bal</t>
  </si>
  <si>
    <t>a_prop</t>
  </si>
  <si>
    <t>b_prop</t>
  </si>
  <si>
    <t>b_bal</t>
  </si>
  <si>
    <t>Alt prop</t>
  </si>
  <si>
    <t>V max</t>
  </si>
  <si>
    <t>LibreOffice Calc 3.4 ou +</t>
  </si>
  <si>
    <t>alt_culmi</t>
  </si>
  <si>
    <t>x_triomphe</t>
  </si>
  <si>
    <t>z_triomphe</t>
  </si>
  <si>
    <t>Arc de triomphe</t>
  </si>
  <si>
    <t>z_Eiffel</t>
  </si>
  <si>
    <t>x_Eiffel</t>
  </si>
  <si>
    <t>Tour Eiffel</t>
  </si>
  <si>
    <t>H2O 1.5L 300g 6bar</t>
  </si>
  <si>
    <t>H2O 1.5L 450g 6bar</t>
  </si>
  <si>
    <t>H2O 1.5L 600g 6bar</t>
  </si>
  <si>
    <t>H2O 1.5L 750g 6bar</t>
  </si>
  <si>
    <t>FUSEX</t>
  </si>
  <si>
    <t>MINIF PRO29-1G</t>
  </si>
  <si>
    <t>MINIF PRO24-3G</t>
  </si>
  <si>
    <t>MINIF PRO29-2G</t>
  </si>
  <si>
    <t>MINIF PRO24-1G</t>
  </si>
  <si>
    <t>Pro98-3G WT</t>
  </si>
  <si>
    <t>p24-1G 24E22</t>
  </si>
  <si>
    <t>p24-1G 26E31</t>
  </si>
  <si>
    <t>p24-3G 60F50</t>
  </si>
  <si>
    <t>p24-3G 68F79</t>
  </si>
  <si>
    <t>p24-3G 68F240</t>
  </si>
  <si>
    <t>p24-3G 73F30</t>
  </si>
  <si>
    <t>p24-3G 74F85</t>
  </si>
  <si>
    <t>p24-3G 75F51</t>
  </si>
  <si>
    <t>StabTraj V3.1</t>
  </si>
  <si>
    <t>StabTraj V3.2</t>
  </si>
  <si>
    <t>µ-propu C6-3 x2</t>
  </si>
  <si>
    <t>µ-propu C6-3 x3</t>
  </si>
  <si>
    <t>Propu : +RC &amp; +Tintin 2013 : 3 p24-1G, p24-3G 75F51 &amp; 60F50, Pro98-2G &amp; 3G WT</t>
  </si>
  <si>
    <t>Propu : +multi-µ-fu, -Wapiti, warning Cariacou, "Rufina"</t>
  </si>
  <si>
    <t>Donneés au format des fiches de lancement Fusex :</t>
  </si>
  <si>
    <t>Projet</t>
  </si>
  <si>
    <t>Chef de projet</t>
  </si>
  <si>
    <t>Date</t>
  </si>
  <si>
    <t>Moteur</t>
  </si>
  <si>
    <t>Virole</t>
  </si>
  <si>
    <t>MECANIQUE</t>
  </si>
  <si>
    <t xml:space="preserve">l = </t>
  </si>
  <si>
    <t xml:space="preserve">D = </t>
  </si>
  <si>
    <t>Dj =</t>
  </si>
  <si>
    <t xml:space="preserve">Dr = </t>
  </si>
  <si>
    <t xml:space="preserve">m = </t>
  </si>
  <si>
    <t>Epaisseur :</t>
  </si>
  <si>
    <t>Nb Aileron</t>
  </si>
  <si>
    <t>Type ogive</t>
  </si>
  <si>
    <t>ogivale</t>
  </si>
  <si>
    <t>parabolique</t>
  </si>
  <si>
    <t>X_plaque de poussée</t>
  </si>
  <si>
    <t>Masse fusée</t>
  </si>
  <si>
    <t>X_CdG</t>
  </si>
  <si>
    <t>Propu plein</t>
  </si>
  <si>
    <t>Sans propu</t>
  </si>
  <si>
    <t>Masse avec propu vide</t>
  </si>
  <si>
    <t>Simulation de vol</t>
  </si>
  <si>
    <t>Tenue mécanique</t>
  </si>
  <si>
    <t>masse d'un aileron</t>
  </si>
  <si>
    <t>superficie d'un aileron</t>
  </si>
  <si>
    <t>fleche acceptable(mm)</t>
  </si>
  <si>
    <t>compression</t>
  </si>
  <si>
    <t>Resistance longitudinale d'un aileron</t>
  </si>
  <si>
    <t>Resistance transversale d'un aileron</t>
  </si>
  <si>
    <t>Récupération</t>
  </si>
  <si>
    <t>Ralentisseur</t>
  </si>
  <si>
    <t>nombre de suspentes</t>
  </si>
  <si>
    <t>surface parachute</t>
  </si>
  <si>
    <t>force à tester totale</t>
  </si>
  <si>
    <t>force sur suspente</t>
  </si>
  <si>
    <t>Séparation latérale</t>
  </si>
  <si>
    <t>masse au dessus case para</t>
  </si>
  <si>
    <t>Force de compression</t>
  </si>
  <si>
    <t>MINIF PRO24-6G</t>
  </si>
  <si>
    <t>MINIF PRO38-1G</t>
  </si>
  <si>
    <t>p29-2G 84G88</t>
  </si>
  <si>
    <t>p29-2G 93G80</t>
  </si>
  <si>
    <t>p29-2G 110G250</t>
  </si>
  <si>
    <t>p29-2G 116G126</t>
  </si>
  <si>
    <t>p38-1G 137G58</t>
  </si>
  <si>
    <t>p38-1G 128G185</t>
  </si>
  <si>
    <t>p29-1G 41F36</t>
  </si>
  <si>
    <t>p29-1G 51F36</t>
  </si>
  <si>
    <t>p29-1G 55F29</t>
  </si>
  <si>
    <t>p29-1G 56F120</t>
  </si>
  <si>
    <t>p29-1G 57F59</t>
  </si>
  <si>
    <t>MINIF PRO29-3G</t>
  </si>
  <si>
    <t>p29-3G 125G131</t>
  </si>
  <si>
    <t>p38-1G 141G78</t>
  </si>
  <si>
    <t>MINIF PRO24-2G</t>
  </si>
  <si>
    <t>p24-2G 50E51</t>
  </si>
  <si>
    <t>p24-1G 53E70</t>
  </si>
  <si>
    <t>p29-3G 159G125</t>
  </si>
  <si>
    <t>Dépotage</t>
  </si>
  <si>
    <t>Combustion</t>
  </si>
  <si>
    <t>Sylvain Besson</t>
  </si>
  <si>
    <t>Minif Test</t>
  </si>
  <si>
    <t>Rocketry Challenge</t>
  </si>
  <si>
    <t>,Minif Tests</t>
  </si>
  <si>
    <t>MiniR</t>
  </si>
  <si>
    <t>MiniRN</t>
  </si>
  <si>
    <t>MiniN</t>
  </si>
  <si>
    <t>H20</t>
  </si>
  <si>
    <t>micro</t>
  </si>
  <si>
    <t>minif N</t>
  </si>
  <si>
    <t>Verification moteur</t>
  </si>
  <si>
    <t>Minif RC</t>
  </si>
  <si>
    <t>N/A</t>
  </si>
  <si>
    <t>T_para =</t>
  </si>
  <si>
    <t>-9</t>
  </si>
  <si>
    <t>-7</t>
  </si>
  <si>
    <t>-5</t>
  </si>
  <si>
    <t>-3</t>
  </si>
  <si>
    <t>-0</t>
  </si>
  <si>
    <t>Délais dépotage</t>
  </si>
  <si>
    <t>Propu : +ProX, Stabilito : séparation minif/RC, Trajecto : dépotage +rampe RC 3m</t>
  </si>
  <si>
    <t>StabTraj V3.3a</t>
  </si>
  <si>
    <t>p24-1G 25E75 (Rufina)</t>
  </si>
  <si>
    <t>Modification des alertes, +Effort subit par les parachutes</t>
  </si>
  <si>
    <t>Pour prendre en compte plsu de moteurs, il faut changer les variables "menu_type" et "liste"propu" dans le gestionnaire de noms.</t>
  </si>
  <si>
    <t>StabTraj V3.3e</t>
  </si>
  <si>
    <t>Efforts</t>
  </si>
  <si>
    <t>Xcp0</t>
  </si>
  <si>
    <t>Mono-empennage</t>
  </si>
  <si>
    <t>Bi-empennage</t>
  </si>
  <si>
    <t>Portée balistique &lt; 200 m</t>
  </si>
  <si>
    <t>Indication dépotage lanceur</t>
  </si>
  <si>
    <t>~0 m</t>
  </si>
  <si>
    <t>Données au format des fiches de contrôles minif :</t>
  </si>
  <si>
    <t xml:space="preserve">n = </t>
  </si>
  <si>
    <t xml:space="preserve">E = </t>
  </si>
  <si>
    <t xml:space="preserve">p = </t>
  </si>
  <si>
    <t>1,5.D &lt; Ms &lt; 6.D</t>
  </si>
  <si>
    <t xml:space="preserve">ailrons haut </t>
  </si>
  <si>
    <t>nombre</t>
  </si>
  <si>
    <t xml:space="preserve">ep = </t>
  </si>
  <si>
    <t>Fusée</t>
  </si>
  <si>
    <t>D</t>
  </si>
  <si>
    <t>L ogive</t>
  </si>
  <si>
    <t>L tot</t>
  </si>
  <si>
    <t>X prop</t>
  </si>
  <si>
    <t>Ailerons</t>
  </si>
  <si>
    <t>n</t>
  </si>
  <si>
    <t>p</t>
  </si>
  <si>
    <t>E</t>
  </si>
  <si>
    <t>X ail</t>
  </si>
  <si>
    <t>Bi empennage</t>
  </si>
  <si>
    <t>L</t>
  </si>
  <si>
    <t>D 1</t>
  </si>
  <si>
    <t>D 2</t>
  </si>
  <si>
    <t>X</t>
  </si>
  <si>
    <t>X cg (sans)</t>
  </si>
  <si>
    <t>(mm)</t>
  </si>
  <si>
    <t>Masse sans propu (kg)</t>
  </si>
  <si>
    <t>Couleur de la fusée</t>
  </si>
  <si>
    <t>Type d'éjection du para.</t>
  </si>
  <si>
    <t>Couleur du ralentisseur</t>
  </si>
  <si>
    <t>Surface ralentisseur (m²)</t>
  </si>
  <si>
    <t>Masse sans prop. (kg)</t>
  </si>
  <si>
    <t>Diamètre max (mm)</t>
  </si>
  <si>
    <t>Longeur de la rampe (m)</t>
  </si>
  <si>
    <t>Propulseur</t>
  </si>
  <si>
    <t>module rocket(){</t>
  </si>
  <si>
    <t>}</t>
  </si>
  <si>
    <t>//--------------------------------coiffe</t>
  </si>
  <si>
    <t>if (coiffe_type   == "conique"){</t>
  </si>
  <si>
    <t>//--------------------------------corps</t>
  </si>
  <si>
    <t>if (plusieur_diametres == false){</t>
  </si>
  <si>
    <t>} else {</t>
  </si>
  <si>
    <t>//--------------------------------ailerons</t>
  </si>
  <si>
    <t>aileron(coiffe_diametre, aileron_m_emplature,</t>
  </si>
  <si>
    <t xml:space="preserve"> aileron_position_bas);</t>
  </si>
  <si>
    <t>if (bi_empennage == true){</t>
  </si>
  <si>
    <t xml:space="preserve"> aileron_sup_nombre,</t>
  </si>
  <si>
    <t>rocket();</t>
  </si>
  <si>
    <t xml:space="preserve">	module aileron(diam, m, n, p, e, ep, nb, pos, masque = true){</t>
  </si>
  <si>
    <t xml:space="preserve"> 		depha =   masque ? 0 : 45 ;</t>
  </si>
  <si>
    <t xml:space="preserve">		for (angle = [0 : 360/nb : 360] ){</t>
  </si>
  <si>
    <t xml:space="preserve">			translate ([-diam*sin(angle+depha), diam*cos(angle+depha), pos-m]) {</t>
  </si>
  <si>
    <t xml:space="preserve">				rotate( [0, 0, angle+depha] ){</t>
  </si>
  <si>
    <t xml:space="preserve">	</t>
  </si>
  <si>
    <t xml:space="preserve">					polyhedron</t>
  </si>
  <si>
    <t xml:space="preserve">						(points = [</t>
  </si>
  <si>
    <t xml:space="preserve">							[+ep, 0, 0], [+ep, 0, m], [+ep, e, p+n],  [+ep, e, p],</t>
  </si>
  <si>
    <t xml:space="preserve">							[-ep, 0, 0], [-ep, 0, m], [-ep, e, p+n],  [-ep, e, p]</t>
  </si>
  <si>
    <t xml:space="preserve">							],</t>
  </si>
  <si>
    <t xml:space="preserve">						triangles = [</t>
  </si>
  <si>
    <t xml:space="preserve">							[0, 2, 1], [0, 2, 3], //carre +</t>
  </si>
  <si>
    <t xml:space="preserve">							[4, 6, 5], [4, 6, 7], //carre -</t>
  </si>
  <si>
    <t xml:space="preserve">							[0, 5, 1], [0, 5, 4],</t>
  </si>
  <si>
    <t xml:space="preserve">							[1, 6, 2], [1, 6, 5],</t>
  </si>
  <si>
    <t xml:space="preserve">							[2, 7, 3], [2, 7, 6],</t>
  </si>
  <si>
    <t xml:space="preserve">							[0, 7, 3], [0, 7, 4]</t>
  </si>
  <si>
    <t xml:space="preserve">							]</t>
  </si>
  <si>
    <t xml:space="preserve">						);</t>
  </si>
  <si>
    <t xml:space="preserve">				}</t>
  </si>
  <si>
    <t xml:space="preserve">			}</t>
  </si>
  <si>
    <t xml:space="preserve">		}</t>
  </si>
  <si>
    <t xml:space="preserve">	}	</t>
  </si>
  <si>
    <t xml:space="preserve">	module coiffe(diam, hauteur, resolution = 20.0){</t>
  </si>
  <si>
    <t xml:space="preserve">		pas = hauteur/resolution;</t>
  </si>
  <si>
    <t xml:space="preserve">		for (x = [0: pas : hauteur] ){</t>
  </si>
  <si>
    <t xml:space="preserve">			translate( [0, 0, x+pas] ){</t>
  </si>
  <si>
    <t xml:space="preserve">				cylinder(pas, pow(x, 1.0/2.0), pow(x+pas, 1.0/2.0), false);</t>
  </si>
  <si>
    <t xml:space="preserve">	}</t>
  </si>
  <si>
    <t xml:space="preserve">	cylinder(coiffe_hauteur, 0, coiffe_diametre, false);</t>
  </si>
  <si>
    <t xml:space="preserve">	translate ([0, 0, coiffe_hauteur]) {</t>
  </si>
  <si>
    <t xml:space="preserve">		cylinder(longeur_total-coiffe_hauteur, coiffe_diametre, coiffe_diametre, false);</t>
  </si>
  <si>
    <t xml:space="preserve">	//Premier cylindre</t>
  </si>
  <si>
    <t xml:space="preserve">		cylinder(diam_A_X_implantation-coiffe_hauteur, coiffe_diametre, coiffe_diametre, false);</t>
  </si>
  <si>
    <t xml:space="preserve">	//Premier chanvrin</t>
  </si>
  <si>
    <t xml:space="preserve">	translate ([0, 0, diam_A_X_implantation]) {</t>
  </si>
  <si>
    <t xml:space="preserve">		cylinder(diam_A_L_longeur, diam_A_D1_diametre, diam_A_D2_diametre, false);</t>
  </si>
  <si>
    <t xml:space="preserve">		</t>
  </si>
  <si>
    <t xml:space="preserve">	//Second cylindre</t>
  </si>
  <si>
    <t xml:space="preserve">	translate ([0, 0, diam_A_X_implantation+diam_A_L_longeur]) {</t>
  </si>
  <si>
    <t xml:space="preserve">		cylinder(diam_B_X_implantation-(diam_A_X_implantation+diam_A_L_longeur), diam_A_D2_diametre, diam_B_D1_diametre, false);</t>
  </si>
  <si>
    <t xml:space="preserve">	//Second chanvrin</t>
  </si>
  <si>
    <t xml:space="preserve">	translate ([0, 0, diam_B_X_implantation]) {</t>
  </si>
  <si>
    <t xml:space="preserve">		cylinder(diam_B_L_longeur, diam_B_D1_diametre, diam_B_D2_diametre, false);</t>
  </si>
  <si>
    <t xml:space="preserve">	//Troisieme cylindre</t>
  </si>
  <si>
    <t xml:space="preserve">	translate ([0, 0, diam_B_X_implantation + diam_B_L_longeur]) {</t>
  </si>
  <si>
    <t xml:space="preserve">		cylinder(longeur_total-(diam_B_X_implantation + diam_B_L_longeur), diam_B_D2_diametre, diam_B_D2_diametre, false);</t>
  </si>
  <si>
    <t xml:space="preserve">	 aileron_n_saumon, </t>
  </si>
  <si>
    <t xml:space="preserve">	 aileron_p_fleche,</t>
  </si>
  <si>
    <t xml:space="preserve">	 aileron_e_envergure,</t>
  </si>
  <si>
    <t xml:space="preserve">	 aileron_epaisseur,</t>
  </si>
  <si>
    <t xml:space="preserve">	 aileron_nombre,</t>
  </si>
  <si>
    <t xml:space="preserve">	aileron(coiffe_diametre, aileron_sup_m_emplature,</t>
  </si>
  <si>
    <t xml:space="preserve">	 aileron_sup_n_saumon,</t>
  </si>
  <si>
    <t xml:space="preserve">	 aileron_sup_p_fleche,</t>
  </si>
  <si>
    <t xml:space="preserve">	 aileron_sup_e_envergure,</t>
  </si>
  <si>
    <t xml:space="preserve">	 aileron_sup_epaisseur,</t>
  </si>
  <si>
    <t xml:space="preserve">	 aileron_sup_position_bas,</t>
  </si>
  <si>
    <t xml:space="preserve">	 aileron_sup_masque);</t>
  </si>
  <si>
    <t>p24-6G 140G145 PK</t>
  </si>
  <si>
    <t>p24-6G 139G107 DT</t>
  </si>
  <si>
    <t>p24-6G 142G117 WT</t>
  </si>
  <si>
    <t>Klima D9-7 x2</t>
  </si>
  <si>
    <t>Klima D9-7 x3</t>
  </si>
  <si>
    <t>Klima D9-7</t>
  </si>
  <si>
    <t>StabTraj V3.4.1</t>
  </si>
  <si>
    <t>Propu : +Klima D9</t>
  </si>
  <si>
    <t>p29-1G 56F31</t>
  </si>
  <si>
    <t xml:space="preserve"> 143G150 BS</t>
  </si>
  <si>
    <t>StabTraj V3.4.2</t>
  </si>
  <si>
    <t>Ajout propu</t>
  </si>
  <si>
    <t>Pandora (Pro24-6G BS)</t>
  </si>
  <si>
    <t>Barasinga (Pro54-5G C)</t>
  </si>
  <si>
    <t>Orignal (Pro75-3G C)</t>
  </si>
  <si>
    <t>Blastocerus (Pro98-6GXL RL)</t>
  </si>
  <si>
    <t>Pro54-5G WT</t>
  </si>
  <si>
    <t>Flavien DENIS</t>
  </si>
  <si>
    <t>Ajout Pro54-5G WT et Pro98-6G Green</t>
  </si>
  <si>
    <t>StabTraj V3.4.3</t>
  </si>
  <si>
    <t>Pro98-6G Green</t>
  </si>
  <si>
    <t>StabTraj V3.4.4</t>
  </si>
  <si>
    <t>Type de para</t>
  </si>
  <si>
    <t>Rond</t>
  </si>
  <si>
    <t>Croix</t>
  </si>
  <si>
    <t>Autre</t>
  </si>
  <si>
    <t>Unification Type Minif et RC + liste déroulante pour le type de parachute.</t>
  </si>
  <si>
    <t>Matricule</t>
  </si>
  <si>
    <t>Matriucle</t>
  </si>
  <si>
    <t>Corrections mineurs</t>
  </si>
  <si>
    <t>StabTraj V3.4.5</t>
  </si>
  <si>
    <t>v3.4.5</t>
  </si>
  <si>
    <t>Fusée expérimentale.</t>
  </si>
  <si>
    <t>L'AéroIPSA</t>
  </si>
  <si>
    <t>Conique (droite)</t>
  </si>
  <si>
    <t>Plusieurs diamètres.</t>
  </si>
  <si>
    <t>SP02</t>
  </si>
  <si>
    <t>sans propu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</si>
</sst>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164" formatCode="General&quot; kg&quot;"/>
    <numFmt numFmtId="165" formatCode="0.0"/>
    <numFmt numFmtId="166" formatCode="0.000000&quot; m²&quot;"/>
    <numFmt numFmtId="167" formatCode="General&quot; m&quot;"/>
    <numFmt numFmtId="168" formatCode="General&quot; °&quot;"/>
    <numFmt numFmtId="169" formatCode="0.000"/>
    <numFmt numFmtId="170" formatCode="General&quot; s&quot;"/>
    <numFmt numFmtId="171" formatCode="General&quot; m²&quot;"/>
    <numFmt numFmtId="172" formatCode="0&quot; m/s&quot;"/>
    <numFmt numFmtId="173" formatCode="0&quot; s&quot;"/>
    <numFmt numFmtId="174" formatCode="General&quot; m/s&quot;"/>
    <numFmt numFmtId="175" formatCode="0&quot; m&quot;"/>
    <numFmt numFmtId="176" formatCode="General\ &quot;kg&quot;"/>
    <numFmt numFmtId="177" formatCode="General\ &quot;mm&quot;"/>
    <numFmt numFmtId="178" formatCode="0&quot; mm&quot;"/>
    <numFmt numFmtId="179" formatCode="General\ &quot;D&quot;"/>
    <numFmt numFmtId="180" formatCode="0.00&quot; D&quot;"/>
    <numFmt numFmtId="181" formatCode="0&quot;% L&quot;"/>
    <numFmt numFmtId="182" formatCode="General\°"/>
    <numFmt numFmtId="183" formatCode="0.#"/>
    <numFmt numFmtId="184" formatCode="0.0&quot; N.s&quot;"/>
    <numFmt numFmtId="185" formatCode="\±\ 0&quot; m&quot;"/>
    <numFmt numFmtId="186" formatCode="0.0&quot; s&quot;"/>
    <numFmt numFmtId="187" formatCode="0.0&quot; m/s&quot;"/>
    <numFmt numFmtId="188" formatCode="0&quot; m/s²&quot;"/>
    <numFmt numFmtId="189" formatCode="0.00&quot; m²&quot;"/>
    <numFmt numFmtId="190" formatCode="General\ &quot;g&quot;"/>
    <numFmt numFmtId="191" formatCode="#,##0.0\ [$ N]"/>
    <numFmt numFmtId="192" formatCode="#,##0.000\ [$KG]"/>
    <numFmt numFmtId="193" formatCode="0.0&quot; mm&quot;"/>
    <numFmt numFmtId="194" formatCode="General&quot; kg ±100%&quot;"/>
    <numFmt numFmtId="195" formatCode="0&quot; mm ±50%&quot;"/>
    <numFmt numFmtId="196" formatCode="General\ &quot;m/s²&quot;"/>
    <numFmt numFmtId="197" formatCode="&quot;Ø = &quot;0&quot; mm&quot;"/>
    <numFmt numFmtId="198" formatCode="#,##0\ [$ mm²]"/>
    <numFmt numFmtId="199" formatCode="#,#00\ [$ mm]"/>
    <numFmt numFmtId="200" formatCode="#,##0\ [$mm]"/>
    <numFmt numFmtId="201" formatCode="#,##0.00000\ [$ m²]"/>
    <numFmt numFmtId="202" formatCode="#,##0.0\ [$ kg]"/>
    <numFmt numFmtId="203" formatCode="0.00&quot; s&quot;"/>
    <numFmt numFmtId="204" formatCode="0.0&quot; N&quot;"/>
    <numFmt numFmtId="205" formatCode="0&quot; J&quot;"/>
    <numFmt numFmtId="206" formatCode="0&quot; G&quot;"/>
  </numFmts>
  <fonts count="52" x14ac:knownFonts="1">
    <font>
      <sz val="10"/>
      <name val="Arial"/>
      <family val="2"/>
    </font>
    <font>
      <sz val="10"/>
      <name val="Arial"/>
      <family val="2"/>
    </font>
    <font>
      <b/>
      <sz val="10"/>
      <name val="Arial"/>
      <family val="2"/>
    </font>
    <font>
      <b/>
      <sz val="20"/>
      <color indexed="9"/>
      <name val="Arial"/>
      <family val="2"/>
    </font>
    <font>
      <b/>
      <sz val="12"/>
      <name val="Times New Roman"/>
      <family val="1"/>
    </font>
    <font>
      <b/>
      <sz val="9"/>
      <name val="Arial"/>
      <family val="2"/>
    </font>
    <font>
      <b/>
      <u/>
      <sz val="10"/>
      <name val="Arial"/>
      <family val="2"/>
    </font>
    <font>
      <sz val="10"/>
      <color indexed="9"/>
      <name val="Arial"/>
      <family val="2"/>
    </font>
    <font>
      <sz val="8"/>
      <name val="Arial"/>
      <family val="2"/>
    </font>
    <font>
      <u/>
      <sz val="10"/>
      <name val="Arial"/>
      <family val="2"/>
    </font>
    <font>
      <u/>
      <sz val="10"/>
      <color indexed="12"/>
      <name val="Arial"/>
      <family val="2"/>
    </font>
    <font>
      <b/>
      <sz val="10"/>
      <color indexed="18"/>
      <name val="Arial"/>
      <family val="2"/>
    </font>
    <font>
      <b/>
      <sz val="10"/>
      <color indexed="58"/>
      <name val="Arial"/>
      <family val="2"/>
    </font>
    <font>
      <b/>
      <sz val="10"/>
      <color indexed="17"/>
      <name val="Arial"/>
      <family val="2"/>
    </font>
    <font>
      <b/>
      <sz val="10"/>
      <color indexed="23"/>
      <name val="Arial"/>
      <family val="2"/>
    </font>
    <font>
      <sz val="10"/>
      <name val="Arial"/>
      <family val="2"/>
    </font>
    <font>
      <b/>
      <sz val="10"/>
      <color indexed="10"/>
      <name val="Arial"/>
      <family val="2"/>
    </font>
    <font>
      <b/>
      <sz val="14"/>
      <color indexed="10"/>
      <name val="Arial"/>
      <family val="2"/>
    </font>
    <font>
      <sz val="8"/>
      <color indexed="8"/>
      <name val="Tahoma"/>
      <family val="2"/>
    </font>
    <font>
      <i/>
      <sz val="8"/>
      <color indexed="8"/>
      <name val="Tahoma"/>
      <family val="2"/>
    </font>
    <font>
      <b/>
      <sz val="8"/>
      <color indexed="8"/>
      <name val="Tahoma"/>
      <family val="2"/>
    </font>
    <font>
      <sz val="8"/>
      <color indexed="10"/>
      <name val="Tahoma"/>
      <family val="2"/>
    </font>
    <font>
      <i/>
      <sz val="8"/>
      <color indexed="10"/>
      <name val="Tahoma"/>
      <family val="2"/>
    </font>
    <font>
      <b/>
      <u/>
      <sz val="8"/>
      <color indexed="8"/>
      <name val="Tahoma"/>
      <family val="2"/>
    </font>
    <font>
      <b/>
      <sz val="8"/>
      <color indexed="16"/>
      <name val="Tahoma"/>
      <family val="2"/>
    </font>
    <font>
      <i/>
      <sz val="8"/>
      <color indexed="16"/>
      <name val="Tahoma"/>
      <family val="2"/>
    </font>
    <font>
      <strike/>
      <sz val="10"/>
      <name val="Arial"/>
      <family val="2"/>
    </font>
    <font>
      <b/>
      <i/>
      <sz val="8"/>
      <color indexed="8"/>
      <name val="Tahoma"/>
      <family val="2"/>
    </font>
    <font>
      <b/>
      <sz val="10"/>
      <color indexed="23"/>
      <name val="Arial"/>
      <family val="2"/>
    </font>
    <font>
      <b/>
      <sz val="6"/>
      <name val="Arial"/>
      <family val="2"/>
    </font>
    <font>
      <sz val="8"/>
      <color indexed="23"/>
      <name val="Arial"/>
      <family val="2"/>
    </font>
    <font>
      <b/>
      <sz val="10"/>
      <color indexed="23"/>
      <name val="Arial"/>
      <family val="2"/>
    </font>
    <font>
      <b/>
      <sz val="10"/>
      <color indexed="23"/>
      <name val="Arial"/>
      <family val="2"/>
    </font>
    <font>
      <sz val="10"/>
      <color indexed="23"/>
      <name val="Arial"/>
      <family val="2"/>
    </font>
    <font>
      <sz val="10"/>
      <color indexed="12"/>
      <name val="Arial"/>
      <family val="2"/>
    </font>
    <font>
      <b/>
      <sz val="12"/>
      <name val="Arial"/>
      <family val="2"/>
    </font>
    <font>
      <b/>
      <sz val="8"/>
      <name val="Arial"/>
      <family val="2"/>
    </font>
    <font>
      <sz val="8"/>
      <color indexed="12"/>
      <name val="Tahoma"/>
      <family val="2"/>
    </font>
    <font>
      <i/>
      <sz val="8"/>
      <color indexed="12"/>
      <name val="Tahoma"/>
      <family val="2"/>
    </font>
    <font>
      <sz val="8"/>
      <color indexed="81"/>
      <name val="Tahoma"/>
      <family val="2"/>
    </font>
    <font>
      <i/>
      <sz val="8"/>
      <color indexed="81"/>
      <name val="Tahoma"/>
      <family val="2"/>
    </font>
    <font>
      <b/>
      <sz val="10"/>
      <color indexed="53"/>
      <name val="Arial"/>
      <family val="2"/>
    </font>
    <font>
      <b/>
      <u/>
      <sz val="12"/>
      <name val="Arial"/>
      <family val="2"/>
    </font>
    <font>
      <b/>
      <i/>
      <sz val="10"/>
      <name val="Arial"/>
      <family val="2"/>
    </font>
    <font>
      <b/>
      <sz val="8"/>
      <color indexed="81"/>
      <name val="Tahoma"/>
      <family val="2"/>
    </font>
    <font>
      <b/>
      <sz val="10"/>
      <color rgb="FFFF0000"/>
      <name val="Arial"/>
      <family val="2"/>
    </font>
    <font>
      <b/>
      <sz val="10"/>
      <color rgb="FF808080"/>
      <name val="Arial"/>
      <family val="2"/>
    </font>
    <font>
      <sz val="10"/>
      <color rgb="FF808080"/>
      <name val="Arial"/>
      <family val="2"/>
    </font>
    <font>
      <sz val="8"/>
      <color rgb="FF808080"/>
      <name val="Arial"/>
      <family val="2"/>
    </font>
    <font>
      <sz val="8"/>
      <color theme="0"/>
      <name val="Arial"/>
      <family val="2"/>
    </font>
    <font>
      <sz val="10"/>
      <color rgb="FFFF0000"/>
      <name val="Arial"/>
      <family val="2"/>
    </font>
    <font>
      <b/>
      <sz val="10"/>
      <color theme="1"/>
      <name val="Arial"/>
      <family val="2"/>
    </font>
  </fonts>
  <fills count="35">
    <fill>
      <patternFill patternType="none"/>
    </fill>
    <fill>
      <patternFill patternType="gray125"/>
    </fill>
    <fill>
      <patternFill patternType="solid">
        <fgColor indexed="9"/>
        <bgColor indexed="26"/>
      </patternFill>
    </fill>
    <fill>
      <patternFill patternType="solid">
        <fgColor indexed="43"/>
        <bgColor indexed="42"/>
      </patternFill>
    </fill>
    <fill>
      <patternFill patternType="solid">
        <fgColor indexed="43"/>
        <bgColor indexed="64"/>
      </patternFill>
    </fill>
    <fill>
      <patternFill patternType="solid">
        <fgColor indexed="27"/>
        <bgColor indexed="64"/>
      </patternFill>
    </fill>
    <fill>
      <patternFill patternType="solid">
        <fgColor indexed="44"/>
        <bgColor indexed="64"/>
      </patternFill>
    </fill>
    <fill>
      <patternFill patternType="solid">
        <fgColor indexed="27"/>
        <bgColor indexed="42"/>
      </patternFill>
    </fill>
    <fill>
      <patternFill patternType="solid">
        <fgColor indexed="44"/>
        <bgColor indexed="27"/>
      </patternFill>
    </fill>
    <fill>
      <patternFill patternType="solid">
        <fgColor indexed="44"/>
        <bgColor indexed="22"/>
      </patternFill>
    </fill>
    <fill>
      <patternFill patternType="solid">
        <fgColor indexed="47"/>
        <bgColor indexed="64"/>
      </patternFill>
    </fill>
    <fill>
      <patternFill patternType="solid">
        <fgColor indexed="47"/>
        <bgColor indexed="27"/>
      </patternFill>
    </fill>
    <fill>
      <patternFill patternType="solid">
        <fgColor indexed="47"/>
        <bgColor indexed="44"/>
      </patternFill>
    </fill>
    <fill>
      <patternFill patternType="solid">
        <fgColor indexed="42"/>
        <bgColor indexed="42"/>
      </patternFill>
    </fill>
    <fill>
      <patternFill patternType="solid">
        <fgColor indexed="42"/>
        <bgColor indexed="64"/>
      </patternFill>
    </fill>
    <fill>
      <patternFill patternType="solid">
        <fgColor indexed="43"/>
        <bgColor indexed="44"/>
      </patternFill>
    </fill>
    <fill>
      <patternFill patternType="solid">
        <fgColor indexed="26"/>
        <bgColor indexed="41"/>
      </patternFill>
    </fill>
    <fill>
      <patternFill patternType="solid">
        <fgColor indexed="42"/>
        <bgColor indexed="41"/>
      </patternFill>
    </fill>
    <fill>
      <patternFill patternType="solid">
        <fgColor indexed="43"/>
        <bgColor indexed="41"/>
      </patternFill>
    </fill>
    <fill>
      <patternFill patternType="solid">
        <fgColor indexed="8"/>
        <bgColor indexed="64"/>
      </patternFill>
    </fill>
    <fill>
      <patternFill patternType="solid">
        <fgColor indexed="8"/>
        <bgColor indexed="58"/>
      </patternFill>
    </fill>
    <fill>
      <patternFill patternType="solid">
        <fgColor rgb="FFCCFFFF"/>
        <bgColor indexed="41"/>
      </patternFill>
    </fill>
    <fill>
      <patternFill patternType="solid">
        <fgColor rgb="FF99CCFF"/>
        <bgColor indexed="31"/>
      </patternFill>
    </fill>
    <fill>
      <patternFill patternType="solid">
        <fgColor rgb="FFCCFFFF"/>
        <bgColor indexed="42"/>
      </patternFill>
    </fill>
    <fill>
      <patternFill patternType="solid">
        <fgColor rgb="FFCCFFCC"/>
        <bgColor indexed="42"/>
      </patternFill>
    </fill>
    <fill>
      <patternFill patternType="solid">
        <fgColor rgb="FFCCFFCC"/>
        <bgColor indexed="41"/>
      </patternFill>
    </fill>
    <fill>
      <patternFill patternType="solid">
        <fgColor rgb="FFFFCC99"/>
        <bgColor indexed="31"/>
      </patternFill>
    </fill>
    <fill>
      <patternFill patternType="solid">
        <fgColor rgb="FF99CCFF"/>
        <bgColor indexed="64"/>
      </patternFill>
    </fill>
    <fill>
      <patternFill patternType="solid">
        <fgColor rgb="FFFFCC99"/>
        <bgColor indexed="64"/>
      </patternFill>
    </fill>
    <fill>
      <patternFill patternType="solid">
        <fgColor rgb="FFCCFFCC"/>
        <bgColor indexed="64"/>
      </patternFill>
    </fill>
    <fill>
      <patternFill patternType="solid">
        <fgColor rgb="FFFFFF99"/>
        <bgColor indexed="64"/>
      </patternFill>
    </fill>
    <fill>
      <patternFill patternType="solid">
        <fgColor rgb="FFFFCC99"/>
        <bgColor indexed="42"/>
      </patternFill>
    </fill>
    <fill>
      <patternFill patternType="solid">
        <fgColor rgb="FFCCFFFF"/>
        <bgColor indexed="64"/>
      </patternFill>
    </fill>
    <fill>
      <patternFill patternType="solid">
        <fgColor rgb="FFFFFF99"/>
        <bgColor indexed="42"/>
      </patternFill>
    </fill>
    <fill>
      <patternFill patternType="solid">
        <fgColor theme="0" tint="-0.499984740745262"/>
        <bgColor indexed="64"/>
      </patternFill>
    </fill>
  </fills>
  <borders count="104">
    <border>
      <left/>
      <right/>
      <top/>
      <bottom/>
      <diagonal/>
    </border>
    <border>
      <left style="medium">
        <color indexed="8"/>
      </left>
      <right style="medium">
        <color indexed="8"/>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double">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8"/>
      </right>
      <top style="medium">
        <color indexed="8"/>
      </top>
      <bottom style="medium">
        <color indexed="8"/>
      </bottom>
      <diagonal/>
    </border>
    <border>
      <left style="hair">
        <color indexed="8"/>
      </left>
      <right style="hair">
        <color indexed="8"/>
      </right>
      <top style="hair">
        <color indexed="8"/>
      </top>
      <bottom style="hair">
        <color indexed="8"/>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23"/>
      </bottom>
      <diagonal/>
    </border>
    <border>
      <left style="thin">
        <color indexed="8"/>
      </left>
      <right style="thin">
        <color indexed="8"/>
      </right>
      <top style="thin">
        <color indexed="23"/>
      </top>
      <bottom style="thin">
        <color indexed="8"/>
      </bottom>
      <diagonal/>
    </border>
    <border>
      <left style="thin">
        <color indexed="8"/>
      </left>
      <right/>
      <top style="thin">
        <color indexed="8"/>
      </top>
      <bottom style="thin">
        <color indexed="8"/>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8"/>
      </right>
      <top style="thin">
        <color indexed="8"/>
      </top>
      <bottom style="thin">
        <color indexed="8"/>
      </bottom>
      <diagonal/>
    </border>
    <border>
      <left style="thick">
        <color indexed="11"/>
      </left>
      <right style="thick">
        <color indexed="11"/>
      </right>
      <top style="thick">
        <color indexed="11"/>
      </top>
      <bottom style="thick">
        <color indexed="11"/>
      </bottom>
      <diagonal/>
    </border>
    <border>
      <left style="thick">
        <color indexed="11"/>
      </left>
      <right style="thick">
        <color indexed="57"/>
      </right>
      <top style="thick">
        <color indexed="57"/>
      </top>
      <bottom style="thick">
        <color indexed="57"/>
      </bottom>
      <diagonal/>
    </border>
    <border>
      <left style="thick">
        <color indexed="57"/>
      </left>
      <right style="mediumDashed">
        <color indexed="10"/>
      </right>
      <top style="mediumDashed">
        <color indexed="10"/>
      </top>
      <bottom style="mediumDashed">
        <color indexed="10"/>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64"/>
      </bottom>
      <diagonal/>
    </border>
    <border>
      <left style="thin">
        <color indexed="8"/>
      </left>
      <right style="medium">
        <color indexed="8"/>
      </right>
      <top style="thin">
        <color indexed="8"/>
      </top>
      <bottom style="thin">
        <color indexed="64"/>
      </bottom>
      <diagonal/>
    </border>
    <border>
      <left style="medium">
        <color indexed="8"/>
      </left>
      <right style="thin">
        <color indexed="8"/>
      </right>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style="thin">
        <color indexed="64"/>
      </bottom>
      <diagonal/>
    </border>
    <border>
      <left style="medium">
        <color indexed="8"/>
      </left>
      <right style="medium">
        <color indexed="8"/>
      </right>
      <top/>
      <bottom style="thin">
        <color indexed="8"/>
      </bottom>
      <diagonal/>
    </border>
    <border>
      <left style="thin">
        <color indexed="8"/>
      </left>
      <right style="medium">
        <color indexed="8"/>
      </right>
      <top style="thin">
        <color indexed="8"/>
      </top>
      <bottom/>
      <diagonal/>
    </border>
    <border>
      <left style="thin">
        <color indexed="8"/>
      </left>
      <right style="thin">
        <color indexed="8"/>
      </right>
      <top style="thin">
        <color indexed="8"/>
      </top>
      <bottom/>
      <diagonal/>
    </border>
    <border>
      <left style="medium">
        <color indexed="8"/>
      </left>
      <right style="medium">
        <color indexed="8"/>
      </right>
      <top style="thin">
        <color indexed="8"/>
      </top>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bottom/>
      <diagonal/>
    </border>
    <border>
      <left/>
      <right style="medium">
        <color indexed="8"/>
      </right>
      <top/>
      <bottom/>
      <diagonal/>
    </border>
    <border>
      <left/>
      <right style="thin">
        <color indexed="64"/>
      </right>
      <top style="thin">
        <color indexed="8"/>
      </top>
      <bottom/>
      <diagonal/>
    </border>
    <border>
      <left style="medium">
        <color indexed="64"/>
      </left>
      <right style="medium">
        <color indexed="64"/>
      </right>
      <top style="medium">
        <color indexed="64"/>
      </top>
      <bottom style="medium">
        <color indexed="64"/>
      </bottom>
      <diagonal/>
    </border>
    <border>
      <left/>
      <right/>
      <top style="medium">
        <color indexed="8"/>
      </top>
      <bottom style="medium">
        <color indexed="8"/>
      </bottom>
      <diagonal/>
    </border>
    <border>
      <left style="thin">
        <color indexed="8"/>
      </left>
      <right/>
      <top style="thin">
        <color indexed="8"/>
      </top>
      <bottom/>
      <diagonal/>
    </border>
    <border>
      <left style="thin">
        <color indexed="8"/>
      </left>
      <right/>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style="thin">
        <color indexed="23"/>
      </bottom>
      <diagonal/>
    </border>
    <border>
      <left style="thin">
        <color indexed="8"/>
      </left>
      <right style="thin">
        <color indexed="64"/>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style="thick">
        <color indexed="14"/>
      </left>
      <right style="thin">
        <color indexed="64"/>
      </right>
      <top style="thick">
        <color indexed="14"/>
      </top>
      <bottom style="thick">
        <color indexed="14"/>
      </bottom>
      <diagonal/>
    </border>
    <border>
      <left style="thin">
        <color indexed="64"/>
      </left>
      <right style="thick">
        <color indexed="14"/>
      </right>
      <top style="thick">
        <color indexed="14"/>
      </top>
      <bottom style="thick">
        <color indexed="14"/>
      </bottom>
      <diagonal/>
    </border>
    <border>
      <left style="thin">
        <color indexed="64"/>
      </left>
      <right style="double">
        <color indexed="64"/>
      </right>
      <top/>
      <bottom style="thin">
        <color indexed="64"/>
      </bottom>
      <diagonal/>
    </border>
    <border>
      <left style="thick">
        <color indexed="20"/>
      </left>
      <right/>
      <top style="thick">
        <color indexed="20"/>
      </top>
      <bottom style="thick">
        <color indexed="20"/>
      </bottom>
      <diagonal/>
    </border>
    <border>
      <left/>
      <right style="thick">
        <color indexed="20"/>
      </right>
      <top style="thick">
        <color indexed="20"/>
      </top>
      <bottom style="thick">
        <color indexed="20"/>
      </bottom>
      <diagonal/>
    </border>
    <border>
      <left style="thick">
        <color indexed="18"/>
      </left>
      <right/>
      <top style="thick">
        <color indexed="18"/>
      </top>
      <bottom style="thick">
        <color indexed="18"/>
      </bottom>
      <diagonal/>
    </border>
    <border>
      <left/>
      <right style="thick">
        <color indexed="18"/>
      </right>
      <top style="thick">
        <color indexed="18"/>
      </top>
      <bottom style="thick">
        <color indexed="18"/>
      </bottom>
      <diagonal/>
    </border>
    <border>
      <left/>
      <right style="double">
        <color indexed="64"/>
      </right>
      <top style="thin">
        <color indexed="64"/>
      </top>
      <bottom style="thin">
        <color indexed="64"/>
      </bottom>
      <diagonal/>
    </border>
    <border>
      <left/>
      <right/>
      <top style="thin">
        <color indexed="64"/>
      </top>
      <bottom style="thick">
        <color indexed="20"/>
      </bottom>
      <diagonal/>
    </border>
    <border>
      <left/>
      <right style="double">
        <color indexed="64"/>
      </right>
      <top/>
      <bottom style="thin">
        <color indexed="64"/>
      </bottom>
      <diagonal/>
    </border>
    <border>
      <left style="thin">
        <color indexed="8"/>
      </left>
      <right/>
      <top style="thin">
        <color indexed="23"/>
      </top>
      <bottom style="thin">
        <color indexed="8"/>
      </bottom>
      <diagonal/>
    </border>
    <border>
      <left/>
      <right style="thin">
        <color indexed="8"/>
      </right>
      <top style="thin">
        <color indexed="23"/>
      </top>
      <bottom style="thin">
        <color indexed="8"/>
      </bottom>
      <diagonal/>
    </border>
    <border>
      <left style="thin">
        <color indexed="8"/>
      </left>
      <right style="thin">
        <color indexed="8"/>
      </right>
      <top/>
      <bottom style="thin">
        <color indexed="8"/>
      </bottom>
      <diagonal/>
    </border>
    <border>
      <left style="thin">
        <color indexed="8"/>
      </left>
      <right/>
      <top style="thin">
        <color indexed="8"/>
      </top>
      <bottom style="thin">
        <color indexed="23"/>
      </bottom>
      <diagonal/>
    </border>
    <border>
      <left/>
      <right style="thin">
        <color indexed="8"/>
      </right>
      <top style="thin">
        <color indexed="8"/>
      </top>
      <bottom style="thin">
        <color indexed="23"/>
      </bottom>
      <diagonal/>
    </border>
    <border>
      <left style="thin">
        <color indexed="64"/>
      </left>
      <right style="thin">
        <color indexed="8"/>
      </right>
      <top style="thin">
        <color indexed="64"/>
      </top>
      <bottom style="thin">
        <color indexed="64"/>
      </bottom>
      <diagonal/>
    </border>
    <border>
      <left style="thin">
        <color indexed="8"/>
      </left>
      <right style="thin">
        <color indexed="64"/>
      </right>
      <top style="thin">
        <color indexed="64"/>
      </top>
      <bottom style="thin">
        <color indexed="64"/>
      </bottom>
      <diagonal/>
    </border>
    <border>
      <left style="thin">
        <color indexed="64"/>
      </left>
      <right style="double">
        <color indexed="8"/>
      </right>
      <top style="thin">
        <color indexed="64"/>
      </top>
      <bottom style="thin">
        <color indexed="64"/>
      </bottom>
      <diagonal/>
    </border>
    <border>
      <left/>
      <right style="thin">
        <color indexed="8"/>
      </right>
      <top style="thin">
        <color indexed="8"/>
      </top>
      <bottom/>
      <diagonal/>
    </border>
    <border>
      <left style="thin">
        <color indexed="64"/>
      </left>
      <right style="thin">
        <color indexed="8"/>
      </right>
      <top style="thin">
        <color indexed="64"/>
      </top>
      <bottom style="thin">
        <color indexed="8"/>
      </bottom>
      <diagonal/>
    </border>
    <border>
      <left style="thin">
        <color indexed="64"/>
      </left>
      <right style="thin">
        <color indexed="8"/>
      </right>
      <top style="thin">
        <color indexed="8"/>
      </top>
      <bottom style="thin">
        <color indexed="23"/>
      </bottom>
      <diagonal/>
    </border>
    <border>
      <left style="thin">
        <color indexed="64"/>
      </left>
      <right style="thin">
        <color indexed="8"/>
      </right>
      <top style="thin">
        <color indexed="8"/>
      </top>
      <bottom style="thin">
        <color indexed="8"/>
      </bottom>
      <diagonal/>
    </border>
    <border>
      <left style="thin">
        <color indexed="64"/>
      </left>
      <right/>
      <top style="thin">
        <color indexed="8"/>
      </top>
      <bottom style="thin">
        <color indexed="23"/>
      </bottom>
      <diagonal/>
    </border>
    <border>
      <left style="thin">
        <color indexed="64"/>
      </left>
      <right style="thin">
        <color indexed="8"/>
      </right>
      <top style="thin">
        <color indexed="8"/>
      </top>
      <bottom style="thin">
        <color indexed="64"/>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hair">
        <color indexed="8"/>
      </left>
      <right style="hair">
        <color indexed="8"/>
      </right>
      <top style="hair">
        <color indexed="8"/>
      </top>
      <bottom/>
      <diagonal/>
    </border>
    <border>
      <left style="thin">
        <color indexed="8"/>
      </left>
      <right style="thin">
        <color indexed="8"/>
      </right>
      <top/>
      <bottom/>
      <diagonal/>
    </border>
  </borders>
  <cellStyleXfs count="3">
    <xf numFmtId="0" fontId="0" fillId="0" borderId="0"/>
    <xf numFmtId="0" fontId="10" fillId="0" borderId="0" applyNumberFormat="0" applyFill="0" applyBorder="0" applyAlignment="0" applyProtection="0"/>
    <xf numFmtId="0" fontId="1" fillId="0" borderId="0"/>
  </cellStyleXfs>
  <cellXfs count="683">
    <xf numFmtId="0" fontId="0" fillId="0" borderId="0" xfId="0"/>
    <xf numFmtId="0" fontId="0" fillId="0" borderId="0" xfId="0" applyAlignment="1">
      <alignment vertical="center"/>
    </xf>
    <xf numFmtId="0" fontId="2" fillId="0" borderId="0" xfId="0" applyFont="1"/>
    <xf numFmtId="0" fontId="2" fillId="0" borderId="0" xfId="0" applyFont="1" applyAlignment="1">
      <alignment horizontal="center" vertical="center"/>
    </xf>
    <xf numFmtId="0" fontId="2" fillId="0" borderId="0" xfId="0" applyFont="1" applyAlignment="1">
      <alignment vertical="center"/>
    </xf>
    <xf numFmtId="0" fontId="0" fillId="0" borderId="0" xfId="0" applyAlignment="1">
      <alignment horizontal="center" vertical="center"/>
    </xf>
    <xf numFmtId="0" fontId="2" fillId="0" borderId="0" xfId="0" applyFont="1" applyAlignment="1">
      <alignment horizontal="center"/>
    </xf>
    <xf numFmtId="2" fontId="0" fillId="0" borderId="0" xfId="0" applyNumberFormat="1" applyAlignment="1">
      <alignment horizontal="center"/>
    </xf>
    <xf numFmtId="2" fontId="7" fillId="0" borderId="0" xfId="0" applyNumberFormat="1" applyFont="1" applyAlignment="1">
      <alignment horizontal="center"/>
    </xf>
    <xf numFmtId="2" fontId="0" fillId="2" borderId="0" xfId="0" applyNumberFormat="1" applyFill="1"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0" fillId="0" borderId="0" xfId="0" applyAlignment="1">
      <alignment horizontal="center"/>
    </xf>
    <xf numFmtId="0" fontId="6" fillId="0" borderId="0" xfId="0" applyFont="1"/>
    <xf numFmtId="0" fontId="9" fillId="0" borderId="0" xfId="0" applyFont="1"/>
    <xf numFmtId="0" fontId="10" fillId="0" borderId="0" xfId="1" applyNumberFormat="1" applyFill="1" applyBorder="1" applyAlignment="1" applyProtection="1"/>
    <xf numFmtId="14" fontId="0" fillId="0" borderId="0" xfId="0" applyNumberFormat="1" applyAlignment="1">
      <alignment horizontal="left"/>
    </xf>
    <xf numFmtId="171" fontId="2" fillId="3" borderId="2" xfId="0" applyNumberFormat="1" applyFont="1" applyFill="1" applyBorder="1" applyAlignment="1" applyProtection="1">
      <alignment horizontal="center" vertical="center"/>
      <protection locked="0"/>
    </xf>
    <xf numFmtId="0" fontId="16" fillId="0" borderId="0" xfId="0" applyFont="1" applyAlignment="1">
      <alignment vertical="center"/>
    </xf>
    <xf numFmtId="0" fontId="2" fillId="0" borderId="3" xfId="2" applyFont="1" applyBorder="1"/>
    <xf numFmtId="0" fontId="2" fillId="0" borderId="4" xfId="2" applyFont="1" applyBorder="1"/>
    <xf numFmtId="0" fontId="2" fillId="0" borderId="4" xfId="2" applyFont="1" applyBorder="1" applyAlignment="1">
      <alignment horizontal="center"/>
    </xf>
    <xf numFmtId="0" fontId="15" fillId="0" borderId="4" xfId="2" applyFont="1" applyBorder="1" applyProtection="1">
      <protection hidden="1"/>
    </xf>
    <xf numFmtId="0" fontId="1" fillId="0" borderId="5" xfId="2" applyBorder="1"/>
    <xf numFmtId="0" fontId="2" fillId="0" borderId="0" xfId="2" applyFont="1"/>
    <xf numFmtId="0" fontId="2" fillId="0" borderId="6" xfId="2" applyFont="1" applyBorder="1"/>
    <xf numFmtId="0" fontId="15" fillId="0" borderId="0" xfId="2" applyFont="1" applyProtection="1">
      <protection hidden="1"/>
    </xf>
    <xf numFmtId="0" fontId="1" fillId="0" borderId="7" xfId="2" applyBorder="1"/>
    <xf numFmtId="0" fontId="4" fillId="0" borderId="0" xfId="2" applyFont="1"/>
    <xf numFmtId="0" fontId="2" fillId="0" borderId="7" xfId="2" applyFont="1" applyBorder="1"/>
    <xf numFmtId="0" fontId="2" fillId="0" borderId="0" xfId="2" applyFont="1" applyAlignment="1" applyProtection="1">
      <alignment horizontal="center"/>
      <protection hidden="1"/>
    </xf>
    <xf numFmtId="0" fontId="2" fillId="0" borderId="0" xfId="2" applyFont="1" applyAlignment="1">
      <alignment horizontal="center"/>
    </xf>
    <xf numFmtId="0" fontId="16" fillId="0" borderId="0" xfId="2" applyFont="1"/>
    <xf numFmtId="0" fontId="2" fillId="0" borderId="0" xfId="2" applyFont="1" applyProtection="1">
      <protection hidden="1"/>
    </xf>
    <xf numFmtId="0" fontId="15" fillId="4" borderId="8" xfId="2"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2" fillId="4" borderId="2" xfId="2" applyFont="1" applyFill="1" applyBorder="1" applyAlignment="1" applyProtection="1">
      <alignment horizontal="center"/>
      <protection locked="0"/>
    </xf>
    <xf numFmtId="0" fontId="16" fillId="0" borderId="0" xfId="2" applyFont="1" applyProtection="1">
      <protection hidden="1"/>
    </xf>
    <xf numFmtId="0" fontId="15" fillId="0" borderId="0" xfId="2" applyFont="1"/>
    <xf numFmtId="14" fontId="15" fillId="0" borderId="0" xfId="2" applyNumberFormat="1" applyFont="1" applyAlignment="1" applyProtection="1">
      <alignment horizontal="center"/>
      <protection hidden="1"/>
    </xf>
    <xf numFmtId="0" fontId="2" fillId="0" borderId="9" xfId="2" applyFont="1" applyBorder="1"/>
    <xf numFmtId="0" fontId="2" fillId="0" borderId="10" xfId="2" applyFont="1" applyBorder="1" applyAlignment="1" applyProtection="1">
      <alignment horizontal="center"/>
      <protection locked="0"/>
    </xf>
    <xf numFmtId="0" fontId="2" fillId="0" borderId="10" xfId="2" applyFont="1" applyBorder="1" applyProtection="1">
      <protection locked="0"/>
    </xf>
    <xf numFmtId="0" fontId="2" fillId="0" borderId="0" xfId="2" applyFont="1" applyProtection="1">
      <protection locked="0"/>
    </xf>
    <xf numFmtId="0" fontId="2" fillId="0" borderId="0" xfId="2" applyFont="1" applyAlignment="1" applyProtection="1">
      <alignment horizontal="center"/>
      <protection locked="0"/>
    </xf>
    <xf numFmtId="0" fontId="15" fillId="0" borderId="0" xfId="2" applyFont="1" applyAlignment="1" applyProtection="1">
      <alignment horizontal="center"/>
      <protection hidden="1"/>
    </xf>
    <xf numFmtId="1" fontId="15" fillId="0" borderId="0" xfId="2" applyNumberFormat="1" applyFont="1" applyAlignment="1" applyProtection="1">
      <alignment horizontal="center"/>
      <protection hidden="1"/>
    </xf>
    <xf numFmtId="0" fontId="0" fillId="0" borderId="0" xfId="0" applyAlignment="1">
      <alignment horizontal="left"/>
    </xf>
    <xf numFmtId="0" fontId="15" fillId="0" borderId="0" xfId="0" applyFont="1"/>
    <xf numFmtId="0" fontId="26" fillId="0" borderId="0" xfId="0" applyFont="1"/>
    <xf numFmtId="14" fontId="0" fillId="0" borderId="0" xfId="0" applyNumberFormat="1" applyAlignment="1">
      <alignment horizontal="center" vertical="center"/>
    </xf>
    <xf numFmtId="0" fontId="2" fillId="0" borderId="3" xfId="0" applyFont="1" applyBorder="1"/>
    <xf numFmtId="0" fontId="2" fillId="0" borderId="4" xfId="0" applyFont="1" applyBorder="1"/>
    <xf numFmtId="0" fontId="2" fillId="0" borderId="4" xfId="0" applyFont="1" applyBorder="1" applyAlignment="1">
      <alignment horizontal="center"/>
    </xf>
    <xf numFmtId="0" fontId="0" fillId="0" borderId="4" xfId="0" applyBorder="1" applyAlignment="1">
      <alignment vertical="center"/>
    </xf>
    <xf numFmtId="0" fontId="0" fillId="0" borderId="5" xfId="0" applyBorder="1" applyAlignment="1">
      <alignment vertical="center"/>
    </xf>
    <xf numFmtId="0" fontId="2" fillId="0" borderId="6" xfId="0" applyFont="1" applyBorder="1"/>
    <xf numFmtId="0" fontId="2" fillId="0" borderId="7" xfId="0" applyFont="1" applyBorder="1" applyAlignment="1">
      <alignment vertical="center"/>
    </xf>
    <xf numFmtId="0" fontId="0" fillId="0" borderId="7" xfId="0" applyBorder="1" applyAlignment="1">
      <alignment vertical="center"/>
    </xf>
    <xf numFmtId="0" fontId="0" fillId="0" borderId="6" xfId="0" applyBorder="1" applyAlignment="1">
      <alignment vertical="center"/>
    </xf>
    <xf numFmtId="0" fontId="0" fillId="0" borderId="9" xfId="0" applyBorder="1" applyAlignment="1">
      <alignment vertical="center"/>
    </xf>
    <xf numFmtId="0" fontId="0" fillId="0" borderId="10" xfId="0" applyBorder="1" applyAlignment="1" applyProtection="1">
      <alignment vertical="center"/>
      <protection locked="0"/>
    </xf>
    <xf numFmtId="0" fontId="0" fillId="0" borderId="0" xfId="0" applyAlignment="1" applyProtection="1">
      <alignment vertical="center"/>
      <protection hidden="1"/>
    </xf>
    <xf numFmtId="169" fontId="0" fillId="0" borderId="0" xfId="0" applyNumberFormat="1" applyAlignment="1" applyProtection="1">
      <alignment vertical="center"/>
      <protection hidden="1"/>
    </xf>
    <xf numFmtId="164" fontId="0" fillId="3" borderId="11" xfId="0" applyNumberFormat="1" applyFill="1" applyBorder="1" applyAlignment="1">
      <alignment horizontal="center"/>
    </xf>
    <xf numFmtId="178" fontId="0" fillId="3" borderId="11" xfId="0" applyNumberFormat="1" applyFill="1" applyBorder="1" applyAlignment="1">
      <alignment horizontal="center"/>
    </xf>
    <xf numFmtId="0" fontId="0" fillId="3" borderId="11" xfId="0" applyFill="1" applyBorder="1" applyAlignment="1">
      <alignment horizontal="center"/>
    </xf>
    <xf numFmtId="0" fontId="15" fillId="0" borderId="10" xfId="2" applyFont="1" applyBorder="1" applyProtection="1">
      <protection locked="0"/>
    </xf>
    <xf numFmtId="0" fontId="10" fillId="0" borderId="0" xfId="1"/>
    <xf numFmtId="0" fontId="2" fillId="0" borderId="12" xfId="0" applyFont="1" applyBorder="1" applyAlignment="1">
      <alignment horizontal="center" vertical="center"/>
    </xf>
    <xf numFmtId="0" fontId="2" fillId="0" borderId="12" xfId="0" applyFont="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65" fontId="0" fillId="0" borderId="0" xfId="0" applyNumberFormat="1" applyAlignment="1">
      <alignment horizontal="center"/>
    </xf>
    <xf numFmtId="0" fontId="0" fillId="0" borderId="9" xfId="0" applyBorder="1"/>
    <xf numFmtId="0" fontId="0" fillId="0" borderId="10" xfId="0" applyBorder="1"/>
    <xf numFmtId="0" fontId="0" fillId="0" borderId="13" xfId="0" applyBorder="1"/>
    <xf numFmtId="1" fontId="0" fillId="0" borderId="0" xfId="0" applyNumberFormat="1" applyAlignment="1">
      <alignment horizontal="center"/>
    </xf>
    <xf numFmtId="165" fontId="0" fillId="0" borderId="0" xfId="0" applyNumberFormat="1" applyAlignment="1">
      <alignment horizontal="center" vertical="center"/>
    </xf>
    <xf numFmtId="1" fontId="0" fillId="0" borderId="0" xfId="0" applyNumberFormat="1" applyAlignment="1">
      <alignment horizontal="center" vertical="center"/>
    </xf>
    <xf numFmtId="182" fontId="2" fillId="0" borderId="12" xfId="0" applyNumberFormat="1" applyFont="1" applyBorder="1" applyAlignment="1">
      <alignment horizontal="center"/>
    </xf>
    <xf numFmtId="1" fontId="2" fillId="0" borderId="12" xfId="0" applyNumberFormat="1" applyFont="1" applyBorder="1" applyAlignment="1">
      <alignment horizontal="center"/>
    </xf>
    <xf numFmtId="165" fontId="2" fillId="0" borderId="12" xfId="0" applyNumberFormat="1" applyFont="1" applyBorder="1" applyAlignment="1">
      <alignment horizontal="center" vertical="center"/>
    </xf>
    <xf numFmtId="165" fontId="2" fillId="0" borderId="12" xfId="0" applyNumberFormat="1" applyFont="1" applyBorder="1" applyAlignment="1">
      <alignment horizontal="center"/>
    </xf>
    <xf numFmtId="0" fontId="0" fillId="0" borderId="0" xfId="2" applyFont="1" applyAlignment="1" applyProtection="1">
      <alignment horizontal="center"/>
      <protection hidden="1"/>
    </xf>
    <xf numFmtId="0" fontId="8" fillId="0" borderId="4" xfId="2" applyFont="1" applyBorder="1"/>
    <xf numFmtId="0" fontId="8" fillId="0" borderId="0" xfId="2" applyFont="1"/>
    <xf numFmtId="0" fontId="8" fillId="0" borderId="0" xfId="2" applyFont="1" applyProtection="1">
      <protection hidden="1"/>
    </xf>
    <xf numFmtId="0" fontId="8" fillId="0" borderId="10" xfId="2" applyFont="1" applyBorder="1" applyProtection="1">
      <protection locked="0"/>
    </xf>
    <xf numFmtId="0" fontId="8" fillId="0" borderId="0" xfId="2" applyFont="1" applyAlignment="1" applyProtection="1">
      <alignment horizontal="center"/>
      <protection hidden="1"/>
    </xf>
    <xf numFmtId="1" fontId="8" fillId="0" borderId="0" xfId="2" applyNumberFormat="1" applyFont="1" applyAlignment="1" applyProtection="1">
      <alignment horizontal="center"/>
      <protection hidden="1"/>
    </xf>
    <xf numFmtId="0" fontId="31" fillId="0" borderId="0" xfId="2" applyFont="1"/>
    <xf numFmtId="0" fontId="0" fillId="0" borderId="0" xfId="0" applyProtection="1">
      <protection locked="0"/>
    </xf>
    <xf numFmtId="165" fontId="2" fillId="5" borderId="14" xfId="2" applyNumberFormat="1" applyFont="1" applyFill="1" applyBorder="1" applyAlignment="1">
      <alignment horizontal="center"/>
    </xf>
    <xf numFmtId="180" fontId="2" fillId="5" borderId="2" xfId="2" applyNumberFormat="1" applyFont="1" applyFill="1" applyBorder="1" applyAlignment="1">
      <alignment horizontal="center"/>
    </xf>
    <xf numFmtId="180" fontId="2" fillId="5" borderId="14" xfId="2" applyNumberFormat="1" applyFont="1" applyFill="1" applyBorder="1" applyAlignment="1">
      <alignment horizontal="center"/>
    </xf>
    <xf numFmtId="165" fontId="2" fillId="5" borderId="2" xfId="2" applyNumberFormat="1" applyFont="1" applyFill="1" applyBorder="1" applyAlignment="1">
      <alignment horizontal="center"/>
    </xf>
    <xf numFmtId="181" fontId="28" fillId="5" borderId="2" xfId="2" applyNumberFormat="1" applyFont="1" applyFill="1" applyBorder="1" applyAlignment="1">
      <alignment horizontal="center"/>
    </xf>
    <xf numFmtId="181" fontId="28" fillId="5" borderId="14" xfId="2" applyNumberFormat="1" applyFont="1" applyFill="1" applyBorder="1" applyAlignment="1">
      <alignment horizontal="center"/>
    </xf>
    <xf numFmtId="0" fontId="2" fillId="5" borderId="2" xfId="2" applyFont="1" applyFill="1" applyBorder="1" applyAlignment="1" applyProtection="1">
      <alignment horizontal="center"/>
      <protection hidden="1"/>
    </xf>
    <xf numFmtId="0" fontId="28" fillId="5" borderId="2" xfId="2" applyFont="1" applyFill="1" applyBorder="1" applyAlignment="1" applyProtection="1">
      <alignment horizontal="center"/>
      <protection hidden="1"/>
    </xf>
    <xf numFmtId="0" fontId="32" fillId="5" borderId="2" xfId="2" applyFont="1" applyFill="1" applyBorder="1" applyAlignment="1" applyProtection="1">
      <alignment horizontal="center"/>
      <protection hidden="1"/>
    </xf>
    <xf numFmtId="0" fontId="2" fillId="6" borderId="2" xfId="2" applyFont="1" applyFill="1" applyBorder="1" applyAlignment="1">
      <alignment horizontal="center"/>
    </xf>
    <xf numFmtId="0" fontId="28" fillId="6" borderId="2" xfId="2" applyFont="1" applyFill="1" applyBorder="1" applyAlignment="1">
      <alignment horizontal="center"/>
    </xf>
    <xf numFmtId="0" fontId="33" fillId="0" borderId="0" xfId="2" applyFont="1"/>
    <xf numFmtId="0" fontId="33" fillId="6" borderId="2" xfId="2" applyFont="1" applyFill="1" applyBorder="1" applyAlignment="1" applyProtection="1">
      <alignment horizontal="center"/>
      <protection hidden="1"/>
    </xf>
    <xf numFmtId="176" fontId="33" fillId="5" borderId="2" xfId="2" applyNumberFormat="1" applyFont="1" applyFill="1" applyBorder="1" applyAlignment="1" applyProtection="1">
      <alignment horizontal="center"/>
      <protection hidden="1"/>
    </xf>
    <xf numFmtId="0" fontId="33" fillId="5" borderId="2" xfId="2" applyFont="1" applyFill="1" applyBorder="1" applyAlignment="1">
      <alignment horizontal="center"/>
    </xf>
    <xf numFmtId="177" fontId="33" fillId="5" borderId="2" xfId="2" applyNumberFormat="1" applyFont="1" applyFill="1" applyBorder="1" applyAlignment="1" applyProtection="1">
      <alignment horizontal="center"/>
      <protection hidden="1"/>
    </xf>
    <xf numFmtId="176" fontId="33" fillId="5" borderId="2" xfId="2" applyNumberFormat="1" applyFont="1" applyFill="1" applyBorder="1" applyAlignment="1">
      <alignment horizontal="center"/>
    </xf>
    <xf numFmtId="178" fontId="33" fillId="5" borderId="2" xfId="2" applyNumberFormat="1" applyFont="1" applyFill="1" applyBorder="1" applyAlignment="1" applyProtection="1">
      <alignment horizontal="center"/>
      <protection hidden="1"/>
    </xf>
    <xf numFmtId="0" fontId="33" fillId="0" borderId="0" xfId="2" applyFont="1" applyProtection="1">
      <protection hidden="1"/>
    </xf>
    <xf numFmtId="2" fontId="0" fillId="7" borderId="15" xfId="0" applyNumberFormat="1" applyFill="1" applyBorder="1" applyAlignment="1">
      <alignment horizontal="center" vertical="center"/>
    </xf>
    <xf numFmtId="165" fontId="0" fillId="7" borderId="15" xfId="0" applyNumberFormat="1" applyFill="1" applyBorder="1" applyAlignment="1">
      <alignment horizontal="center" vertical="center"/>
    </xf>
    <xf numFmtId="1" fontId="2" fillId="7" borderId="15" xfId="0" applyNumberFormat="1" applyFont="1" applyFill="1" applyBorder="1" applyAlignment="1">
      <alignment horizontal="center" vertical="center"/>
    </xf>
    <xf numFmtId="165" fontId="2" fillId="7" borderId="15" xfId="0" applyNumberFormat="1" applyFont="1" applyFill="1" applyBorder="1" applyAlignment="1">
      <alignment horizontal="center" vertical="center"/>
    </xf>
    <xf numFmtId="1" fontId="0" fillId="7" borderId="15" xfId="0" applyNumberFormat="1" applyFill="1" applyBorder="1" applyAlignment="1">
      <alignment horizontal="center" vertical="center"/>
    </xf>
    <xf numFmtId="1" fontId="15" fillId="7" borderId="15" xfId="0" applyNumberFormat="1" applyFont="1" applyFill="1" applyBorder="1" applyAlignment="1">
      <alignment horizontal="center" vertical="center"/>
    </xf>
    <xf numFmtId="165" fontId="15" fillId="7" borderId="15" xfId="0" applyNumberFormat="1" applyFont="1" applyFill="1" applyBorder="1" applyAlignment="1">
      <alignment horizontal="center" vertical="center"/>
    </xf>
    <xf numFmtId="165" fontId="0" fillId="7" borderId="16" xfId="0" applyNumberFormat="1" applyFill="1" applyBorder="1" applyAlignment="1">
      <alignment horizontal="center" vertical="center"/>
    </xf>
    <xf numFmtId="1" fontId="2" fillId="7" borderId="16" xfId="0" applyNumberFormat="1" applyFont="1" applyFill="1" applyBorder="1" applyAlignment="1">
      <alignment horizontal="center" vertical="center"/>
    </xf>
    <xf numFmtId="165" fontId="15" fillId="7" borderId="16" xfId="0" applyNumberFormat="1" applyFont="1" applyFill="1" applyBorder="1" applyAlignment="1">
      <alignment horizontal="center" vertical="center"/>
    </xf>
    <xf numFmtId="1" fontId="2" fillId="7" borderId="17" xfId="0" applyNumberFormat="1" applyFont="1" applyFill="1" applyBorder="1" applyAlignment="1">
      <alignment horizontal="center" vertical="center"/>
    </xf>
    <xf numFmtId="1" fontId="0" fillId="7" borderId="17" xfId="0" applyNumberFormat="1" applyFill="1" applyBorder="1" applyAlignment="1">
      <alignment horizontal="center" vertical="center"/>
    </xf>
    <xf numFmtId="0" fontId="0" fillId="7" borderId="17" xfId="0" applyFill="1" applyBorder="1" applyAlignment="1">
      <alignment horizontal="center" vertical="center"/>
    </xf>
    <xf numFmtId="165" fontId="0" fillId="7" borderId="17" xfId="0" applyNumberFormat="1" applyFill="1" applyBorder="1" applyAlignment="1">
      <alignment horizontal="center" vertical="center"/>
    </xf>
    <xf numFmtId="1" fontId="15" fillId="7" borderId="16" xfId="0" applyNumberFormat="1" applyFont="1" applyFill="1" applyBorder="1" applyAlignment="1">
      <alignment horizontal="center" vertical="center"/>
    </xf>
    <xf numFmtId="1" fontId="15" fillId="7" borderId="17" xfId="0" applyNumberFormat="1" applyFont="1" applyFill="1" applyBorder="1" applyAlignment="1">
      <alignment horizontal="center" vertical="center"/>
    </xf>
    <xf numFmtId="165" fontId="2" fillId="7" borderId="17" xfId="0" applyNumberFormat="1" applyFont="1" applyFill="1" applyBorder="1" applyAlignment="1">
      <alignment horizontal="center" vertical="center"/>
    </xf>
    <xf numFmtId="173" fontId="2" fillId="7" borderId="2" xfId="0" applyNumberFormat="1" applyFont="1" applyFill="1" applyBorder="1" applyAlignment="1">
      <alignment horizontal="center" vertical="center"/>
    </xf>
    <xf numFmtId="0" fontId="2" fillId="8" borderId="18" xfId="0" applyFont="1" applyFill="1" applyBorder="1" applyAlignment="1" applyProtection="1">
      <alignment horizontal="center" vertical="center"/>
      <protection hidden="1"/>
    </xf>
    <xf numFmtId="0" fontId="2" fillId="9" borderId="15" xfId="0" applyFont="1" applyFill="1" applyBorder="1" applyAlignment="1" applyProtection="1">
      <alignment horizontal="center" vertical="center"/>
      <protection hidden="1"/>
    </xf>
    <xf numFmtId="0" fontId="5" fillId="9" borderId="15" xfId="0" applyFont="1" applyFill="1" applyBorder="1" applyAlignment="1" applyProtection="1">
      <alignment horizontal="center" vertical="center"/>
      <protection hidden="1"/>
    </xf>
    <xf numFmtId="0" fontId="0" fillId="9" borderId="15" xfId="0" applyFill="1" applyBorder="1" applyAlignment="1" applyProtection="1">
      <alignment horizontal="center" vertical="center"/>
      <protection hidden="1"/>
    </xf>
    <xf numFmtId="0" fontId="2" fillId="6" borderId="2" xfId="2" applyFont="1" applyFill="1" applyBorder="1" applyAlignment="1" applyProtection="1">
      <alignment horizontal="center"/>
      <protection hidden="1"/>
    </xf>
    <xf numFmtId="0" fontId="2" fillId="10" borderId="2" xfId="2" applyFont="1" applyFill="1" applyBorder="1" applyAlignment="1" applyProtection="1">
      <alignment horizontal="center" vertical="center"/>
      <protection hidden="1"/>
    </xf>
    <xf numFmtId="0" fontId="2" fillId="10" borderId="2" xfId="2" applyFont="1" applyFill="1" applyBorder="1" applyAlignment="1" applyProtection="1">
      <alignment horizontal="center"/>
      <protection hidden="1"/>
    </xf>
    <xf numFmtId="0" fontId="2" fillId="11" borderId="15" xfId="0" applyFont="1" applyFill="1" applyBorder="1" applyAlignment="1" applyProtection="1">
      <alignment horizontal="center" vertical="center"/>
      <protection hidden="1"/>
    </xf>
    <xf numFmtId="0" fontId="2" fillId="11" borderId="18" xfId="0" applyFont="1" applyFill="1" applyBorder="1" applyAlignment="1" applyProtection="1">
      <alignment horizontal="center" vertical="center"/>
      <protection hidden="1"/>
    </xf>
    <xf numFmtId="0" fontId="13" fillId="12" borderId="2" xfId="0" applyFont="1" applyFill="1" applyBorder="1" applyAlignment="1" applyProtection="1">
      <alignment horizontal="center"/>
      <protection hidden="1"/>
    </xf>
    <xf numFmtId="0" fontId="2" fillId="13" borderId="2" xfId="0" applyFont="1" applyFill="1" applyBorder="1" applyAlignment="1" applyProtection="1">
      <alignment horizontal="center" vertical="center"/>
      <protection locked="0"/>
    </xf>
    <xf numFmtId="174" fontId="2" fillId="13" borderId="2" xfId="0" applyNumberFormat="1" applyFont="1" applyFill="1" applyBorder="1" applyAlignment="1" applyProtection="1">
      <alignment horizontal="center" vertical="center"/>
      <protection locked="0"/>
    </xf>
    <xf numFmtId="178" fontId="14" fillId="14" borderId="2" xfId="2" applyNumberFormat="1" applyFont="1" applyFill="1" applyBorder="1" applyAlignment="1">
      <alignment horizontal="center"/>
    </xf>
    <xf numFmtId="1" fontId="30" fillId="14" borderId="2" xfId="2" applyNumberFormat="1" applyFont="1" applyFill="1" applyBorder="1" applyAlignment="1">
      <alignment horizontal="center"/>
    </xf>
    <xf numFmtId="0" fontId="2" fillId="10" borderId="2" xfId="2" applyFont="1" applyFill="1" applyBorder="1" applyAlignment="1">
      <alignment horizontal="center"/>
    </xf>
    <xf numFmtId="0" fontId="0" fillId="7" borderId="15" xfId="0" applyFill="1" applyBorder="1" applyAlignment="1">
      <alignment horizontal="center" vertical="center"/>
    </xf>
    <xf numFmtId="0" fontId="2" fillId="7" borderId="15" xfId="0" applyFont="1" applyFill="1" applyBorder="1" applyAlignment="1">
      <alignment horizontal="center" vertical="center"/>
    </xf>
    <xf numFmtId="0" fontId="0" fillId="13" borderId="15" xfId="0" applyFill="1" applyBorder="1" applyAlignment="1" applyProtection="1">
      <alignment horizontal="center" vertical="center"/>
      <protection locked="0"/>
    </xf>
    <xf numFmtId="185" fontId="2" fillId="7" borderId="2" xfId="0" applyNumberFormat="1" applyFont="1" applyFill="1" applyBorder="1" applyAlignment="1">
      <alignment horizontal="center" vertical="center"/>
    </xf>
    <xf numFmtId="186" fontId="0" fillId="7" borderId="16" xfId="0" applyNumberFormat="1" applyFill="1" applyBorder="1" applyAlignment="1">
      <alignment horizontal="center" vertical="center"/>
    </xf>
    <xf numFmtId="186" fontId="2" fillId="7" borderId="15" xfId="0" applyNumberFormat="1" applyFont="1" applyFill="1" applyBorder="1" applyAlignment="1">
      <alignment horizontal="center" vertical="center"/>
    </xf>
    <xf numFmtId="175" fontId="15" fillId="7" borderId="16" xfId="0" applyNumberFormat="1" applyFont="1" applyFill="1" applyBorder="1" applyAlignment="1">
      <alignment horizontal="center" vertical="center"/>
    </xf>
    <xf numFmtId="175" fontId="15" fillId="7" borderId="15" xfId="0" applyNumberFormat="1" applyFont="1" applyFill="1" applyBorder="1" applyAlignment="1">
      <alignment horizontal="center" vertical="center"/>
    </xf>
    <xf numFmtId="175" fontId="2" fillId="7" borderId="16" xfId="0" applyNumberFormat="1" applyFont="1" applyFill="1" applyBorder="1" applyAlignment="1">
      <alignment horizontal="center" vertical="center"/>
    </xf>
    <xf numFmtId="175" fontId="2" fillId="7" borderId="15" xfId="0" applyNumberFormat="1" applyFont="1" applyFill="1" applyBorder="1" applyAlignment="1">
      <alignment horizontal="center" vertical="center"/>
    </xf>
    <xf numFmtId="172" fontId="2" fillId="7" borderId="15" xfId="0" applyNumberFormat="1" applyFont="1" applyFill="1" applyBorder="1" applyAlignment="1">
      <alignment horizontal="center" vertical="center"/>
    </xf>
    <xf numFmtId="172" fontId="2" fillId="7" borderId="16" xfId="0" applyNumberFormat="1" applyFont="1" applyFill="1" applyBorder="1" applyAlignment="1">
      <alignment horizontal="center" vertical="center"/>
    </xf>
    <xf numFmtId="172" fontId="15" fillId="7" borderId="15" xfId="0" applyNumberFormat="1" applyFont="1" applyFill="1" applyBorder="1" applyAlignment="1">
      <alignment horizontal="center"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2" fillId="11" borderId="24" xfId="0" applyFont="1" applyFill="1" applyBorder="1" applyAlignment="1" applyProtection="1">
      <alignment horizontal="center" vertical="center"/>
      <protection hidden="1"/>
    </xf>
    <xf numFmtId="178" fontId="2" fillId="3" borderId="25" xfId="0" applyNumberFormat="1" applyFont="1" applyFill="1" applyBorder="1" applyAlignment="1" applyProtection="1">
      <alignment horizontal="center" vertical="center"/>
      <protection locked="0"/>
    </xf>
    <xf numFmtId="178" fontId="2" fillId="3" borderId="26" xfId="0" applyNumberFormat="1" applyFont="1" applyFill="1" applyBorder="1" applyAlignment="1" applyProtection="1">
      <alignment horizontal="center" vertical="center"/>
      <protection locked="0"/>
    </xf>
    <xf numFmtId="0" fontId="2" fillId="8" borderId="24" xfId="0" applyFont="1" applyFill="1" applyBorder="1" applyAlignment="1" applyProtection="1">
      <alignment horizontal="center" vertical="center"/>
      <protection hidden="1"/>
    </xf>
    <xf numFmtId="0" fontId="2" fillId="9" borderId="27" xfId="0" applyFont="1" applyFill="1" applyBorder="1" applyAlignment="1" applyProtection="1">
      <alignment horizontal="center" vertical="center"/>
      <protection hidden="1"/>
    </xf>
    <xf numFmtId="0" fontId="0" fillId="9" borderId="27" xfId="0" applyFill="1" applyBorder="1" applyAlignment="1" applyProtection="1">
      <alignment horizontal="center" vertical="center"/>
      <protection hidden="1"/>
    </xf>
    <xf numFmtId="0" fontId="2" fillId="0" borderId="21" xfId="0" applyFont="1" applyBorder="1" applyAlignment="1">
      <alignment vertical="center"/>
    </xf>
    <xf numFmtId="14" fontId="0" fillId="0" borderId="23" xfId="0" applyNumberFormat="1" applyBorder="1" applyAlignment="1">
      <alignment horizontal="center" vertical="center"/>
    </xf>
    <xf numFmtId="189" fontId="2" fillId="7" borderId="25" xfId="0" applyNumberFormat="1" applyFont="1" applyFill="1" applyBorder="1" applyAlignment="1">
      <alignment horizontal="center" vertical="center"/>
    </xf>
    <xf numFmtId="0" fontId="34" fillId="6" borderId="2" xfId="2" applyFont="1" applyFill="1" applyBorder="1" applyAlignment="1" applyProtection="1">
      <alignment horizontal="center"/>
      <protection hidden="1"/>
    </xf>
    <xf numFmtId="178" fontId="34" fillId="5" borderId="2" xfId="2" applyNumberFormat="1" applyFont="1" applyFill="1" applyBorder="1" applyAlignment="1">
      <alignment horizontal="center"/>
    </xf>
    <xf numFmtId="177" fontId="2" fillId="4" borderId="25" xfId="2" applyNumberFormat="1" applyFont="1" applyFill="1" applyBorder="1" applyAlignment="1" applyProtection="1">
      <alignment horizontal="center"/>
      <protection locked="0"/>
    </xf>
    <xf numFmtId="0" fontId="2" fillId="10" borderId="28" xfId="2" applyFont="1" applyFill="1" applyBorder="1" applyAlignment="1" applyProtection="1">
      <alignment horizontal="center"/>
      <protection hidden="1"/>
    </xf>
    <xf numFmtId="0" fontId="2" fillId="10" borderId="29" xfId="2" applyFont="1" applyFill="1" applyBorder="1" applyAlignment="1" applyProtection="1">
      <alignment horizontal="center"/>
      <protection hidden="1"/>
    </xf>
    <xf numFmtId="0" fontId="36" fillId="10" borderId="30" xfId="2" applyFont="1" applyFill="1" applyBorder="1" applyAlignment="1" applyProtection="1">
      <alignment horizontal="center"/>
      <protection hidden="1"/>
    </xf>
    <xf numFmtId="0" fontId="0" fillId="0" borderId="10" xfId="0" applyBorder="1" applyAlignment="1">
      <alignment vertical="center"/>
    </xf>
    <xf numFmtId="0" fontId="15" fillId="0" borderId="10" xfId="2" applyFont="1" applyBorder="1"/>
    <xf numFmtId="0" fontId="15" fillId="0" borderId="31" xfId="2" applyFont="1" applyBorder="1" applyAlignment="1" applyProtection="1">
      <alignment horizontal="center"/>
      <protection hidden="1"/>
    </xf>
    <xf numFmtId="0" fontId="15" fillId="0" borderId="32" xfId="2" applyFont="1" applyBorder="1" applyAlignment="1">
      <alignment horizontal="center"/>
    </xf>
    <xf numFmtId="0" fontId="15" fillId="0" borderId="19" xfId="2" applyFont="1" applyBorder="1" applyAlignment="1" applyProtection="1">
      <alignment horizontal="center"/>
      <protection hidden="1"/>
    </xf>
    <xf numFmtId="0" fontId="15" fillId="0" borderId="20" xfId="2" applyFont="1" applyBorder="1" applyAlignment="1">
      <alignment horizontal="center"/>
    </xf>
    <xf numFmtId="0" fontId="15" fillId="0" borderId="21" xfId="2" applyFont="1" applyBorder="1" applyAlignment="1" applyProtection="1">
      <alignment horizontal="center"/>
      <protection hidden="1"/>
    </xf>
    <xf numFmtId="0" fontId="15" fillId="0" borderId="23" xfId="2" applyFont="1" applyBorder="1" applyAlignment="1">
      <alignment horizontal="center"/>
    </xf>
    <xf numFmtId="0" fontId="15" fillId="0" borderId="20" xfId="2" applyFont="1" applyBorder="1" applyAlignment="1" applyProtection="1">
      <alignment horizontal="center"/>
      <protection hidden="1"/>
    </xf>
    <xf numFmtId="0" fontId="15" fillId="0" borderId="23" xfId="2" applyFont="1" applyBorder="1" applyAlignment="1" applyProtection="1">
      <alignment horizontal="center"/>
      <protection hidden="1"/>
    </xf>
    <xf numFmtId="2" fontId="15" fillId="0" borderId="31" xfId="2" applyNumberFormat="1" applyFont="1" applyBorder="1" applyAlignment="1" applyProtection="1">
      <alignment horizontal="center"/>
      <protection hidden="1"/>
    </xf>
    <xf numFmtId="0" fontId="0" fillId="0" borderId="31" xfId="2" applyFont="1" applyBorder="1" applyAlignment="1" applyProtection="1">
      <alignment horizontal="center"/>
      <protection hidden="1"/>
    </xf>
    <xf numFmtId="0" fontId="0" fillId="0" borderId="33" xfId="2" applyFont="1" applyBorder="1" applyAlignment="1" applyProtection="1">
      <alignment horizontal="center"/>
      <protection hidden="1"/>
    </xf>
    <xf numFmtId="0" fontId="0" fillId="0" borderId="32" xfId="2" applyFont="1" applyBorder="1" applyAlignment="1" applyProtection="1">
      <alignment horizontal="center"/>
      <protection hidden="1"/>
    </xf>
    <xf numFmtId="0" fontId="0" fillId="0" borderId="19" xfId="2" applyFont="1" applyBorder="1" applyAlignment="1" applyProtection="1">
      <alignment horizontal="center"/>
      <protection hidden="1"/>
    </xf>
    <xf numFmtId="0" fontId="15" fillId="0" borderId="22" xfId="2" applyFont="1" applyBorder="1" applyAlignment="1" applyProtection="1">
      <alignment horizontal="center"/>
      <protection hidden="1"/>
    </xf>
    <xf numFmtId="1" fontId="15" fillId="0" borderId="33" xfId="2" applyNumberFormat="1" applyFont="1" applyBorder="1" applyAlignment="1" applyProtection="1">
      <alignment horizontal="center"/>
      <protection hidden="1"/>
    </xf>
    <xf numFmtId="1" fontId="8" fillId="0" borderId="32" xfId="2" applyNumberFormat="1" applyFont="1" applyBorder="1" applyAlignment="1" applyProtection="1">
      <alignment horizontal="center"/>
      <protection hidden="1"/>
    </xf>
    <xf numFmtId="1" fontId="8" fillId="0" borderId="20" xfId="2" applyNumberFormat="1" applyFont="1" applyBorder="1" applyAlignment="1" applyProtection="1">
      <alignment horizontal="center"/>
      <protection hidden="1"/>
    </xf>
    <xf numFmtId="1" fontId="15" fillId="0" borderId="22" xfId="2" applyNumberFormat="1" applyFont="1" applyBorder="1" applyAlignment="1" applyProtection="1">
      <alignment horizontal="center"/>
      <protection hidden="1"/>
    </xf>
    <xf numFmtId="1" fontId="8" fillId="0" borderId="23" xfId="2" applyNumberFormat="1" applyFont="1" applyBorder="1" applyAlignment="1" applyProtection="1">
      <alignment horizontal="center"/>
      <protection hidden="1"/>
    </xf>
    <xf numFmtId="0" fontId="15" fillId="0" borderId="33" xfId="2" applyFont="1" applyBorder="1" applyAlignment="1" applyProtection="1">
      <alignment horizontal="center"/>
      <protection hidden="1"/>
    </xf>
    <xf numFmtId="2" fontId="15" fillId="0" borderId="33" xfId="2" applyNumberFormat="1" applyFont="1" applyBorder="1" applyAlignment="1" applyProtection="1">
      <alignment horizontal="center"/>
      <protection hidden="1"/>
    </xf>
    <xf numFmtId="0" fontId="8" fillId="0" borderId="32" xfId="2" applyFont="1" applyBorder="1" applyAlignment="1" applyProtection="1">
      <alignment horizontal="center"/>
      <protection hidden="1"/>
    </xf>
    <xf numFmtId="0" fontId="8" fillId="0" borderId="20" xfId="2" applyFont="1" applyBorder="1" applyAlignment="1" applyProtection="1">
      <alignment horizontal="center"/>
      <protection hidden="1"/>
    </xf>
    <xf numFmtId="0" fontId="8" fillId="0" borderId="23" xfId="2" applyFont="1" applyBorder="1" applyAlignment="1" applyProtection="1">
      <alignment horizontal="center"/>
      <protection hidden="1"/>
    </xf>
    <xf numFmtId="1" fontId="15" fillId="0" borderId="32" xfId="2" applyNumberFormat="1" applyFont="1" applyBorder="1" applyAlignment="1" applyProtection="1">
      <alignment horizontal="center"/>
      <protection hidden="1"/>
    </xf>
    <xf numFmtId="1" fontId="15" fillId="0" borderId="20" xfId="2" applyNumberFormat="1" applyFont="1" applyBorder="1" applyAlignment="1" applyProtection="1">
      <alignment horizontal="center"/>
      <protection hidden="1"/>
    </xf>
    <xf numFmtId="1" fontId="15" fillId="0" borderId="23" xfId="2" applyNumberFormat="1" applyFont="1" applyBorder="1" applyAlignment="1" applyProtection="1">
      <alignment horizontal="center"/>
      <protection hidden="1"/>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1" xfId="2" applyFont="1" applyBorder="1" applyAlignment="1" applyProtection="1">
      <alignment horizontal="center"/>
      <protection hidden="1"/>
    </xf>
    <xf numFmtId="165" fontId="0" fillId="0" borderId="19" xfId="0" applyNumberFormat="1" applyBorder="1" applyAlignment="1">
      <alignment horizontal="center" vertical="center"/>
    </xf>
    <xf numFmtId="1" fontId="0" fillId="0" borderId="20" xfId="0" applyNumberFormat="1" applyBorder="1" applyAlignment="1">
      <alignment horizontal="center" vertical="center"/>
    </xf>
    <xf numFmtId="165" fontId="0" fillId="0" borderId="21" xfId="0" applyNumberFormat="1" applyBorder="1" applyAlignment="1">
      <alignment horizontal="center" vertical="center"/>
    </xf>
    <xf numFmtId="1" fontId="0" fillId="0" borderId="23" xfId="0" applyNumberFormat="1" applyBorder="1" applyAlignment="1">
      <alignment horizontal="center" vertical="center"/>
    </xf>
    <xf numFmtId="1" fontId="0" fillId="0" borderId="19" xfId="0" applyNumberFormat="1" applyBorder="1" applyAlignment="1">
      <alignment horizontal="center" vertical="center"/>
    </xf>
    <xf numFmtId="1" fontId="0" fillId="0" borderId="21" xfId="0" applyNumberFormat="1" applyBorder="1" applyAlignment="1">
      <alignment horizontal="center" vertical="center"/>
    </xf>
    <xf numFmtId="0" fontId="0" fillId="0" borderId="23" xfId="0" applyBorder="1" applyAlignment="1">
      <alignment horizontal="center" vertical="center"/>
    </xf>
    <xf numFmtId="0" fontId="14" fillId="15" borderId="8" xfId="0" applyFont="1" applyFill="1" applyBorder="1" applyAlignment="1" applyProtection="1">
      <alignment horizontal="center"/>
      <protection locked="0"/>
    </xf>
    <xf numFmtId="0" fontId="0" fillId="0" borderId="0" xfId="0" applyAlignment="1">
      <alignment horizontal="right" vertical="center"/>
    </xf>
    <xf numFmtId="190" fontId="2" fillId="4" borderId="2" xfId="2" applyNumberFormat="1" applyFont="1" applyFill="1" applyBorder="1" applyAlignment="1" applyProtection="1">
      <alignment horizontal="center"/>
      <protection locked="0"/>
    </xf>
    <xf numFmtId="0" fontId="0" fillId="0" borderId="0" xfId="2" applyFont="1"/>
    <xf numFmtId="0" fontId="30" fillId="6" borderId="2" xfId="2" applyFont="1" applyFill="1" applyBorder="1" applyAlignment="1" applyProtection="1">
      <alignment horizontal="center"/>
      <protection hidden="1"/>
    </xf>
    <xf numFmtId="189" fontId="2" fillId="3" borderId="2" xfId="0" applyNumberFormat="1" applyFont="1" applyFill="1" applyBorder="1" applyAlignment="1" applyProtection="1">
      <alignment horizontal="center" vertical="center"/>
      <protection locked="0"/>
    </xf>
    <xf numFmtId="0" fontId="0" fillId="0" borderId="0" xfId="0" applyAlignment="1">
      <alignment horizontal="right"/>
    </xf>
    <xf numFmtId="0" fontId="2" fillId="11" borderId="18" xfId="1" applyFont="1" applyFill="1" applyBorder="1" applyAlignment="1" applyProtection="1">
      <alignment horizontal="center" vertical="center"/>
      <protection hidden="1"/>
    </xf>
    <xf numFmtId="0" fontId="0" fillId="0" borderId="33" xfId="0" applyBorder="1" applyAlignment="1">
      <alignment horizontal="center" vertical="center"/>
    </xf>
    <xf numFmtId="0" fontId="0" fillId="0" borderId="21" xfId="0" applyBorder="1" applyAlignment="1">
      <alignment horizontal="center" vertical="center"/>
    </xf>
    <xf numFmtId="1" fontId="0" fillId="0" borderId="22" xfId="0" applyNumberFormat="1" applyBorder="1" applyAlignment="1">
      <alignment horizontal="center" vertical="center"/>
    </xf>
    <xf numFmtId="0" fontId="0" fillId="0" borderId="19" xfId="0" applyBorder="1" applyAlignment="1">
      <alignment horizontal="center" vertical="center"/>
    </xf>
    <xf numFmtId="0" fontId="0" fillId="0" borderId="31" xfId="0" applyBorder="1" applyAlignment="1">
      <alignment vertical="center"/>
    </xf>
    <xf numFmtId="0" fontId="0" fillId="0" borderId="32" xfId="0" applyBorder="1" applyAlignment="1">
      <alignment horizontal="left" vertical="center"/>
    </xf>
    <xf numFmtId="0" fontId="0" fillId="0" borderId="20" xfId="0" applyBorder="1" applyAlignment="1">
      <alignment horizontal="left" vertical="center"/>
    </xf>
    <xf numFmtId="0" fontId="0" fillId="0" borderId="19" xfId="0" applyBorder="1" applyAlignment="1">
      <alignment horizontal="right" vertical="center"/>
    </xf>
    <xf numFmtId="2" fontId="0" fillId="0" borderId="20" xfId="0" applyNumberFormat="1" applyBorder="1" applyAlignment="1">
      <alignment horizontal="center" vertical="center"/>
    </xf>
    <xf numFmtId="0" fontId="0" fillId="0" borderId="21" xfId="0" applyBorder="1" applyAlignment="1">
      <alignment horizontal="right" vertical="center"/>
    </xf>
    <xf numFmtId="2" fontId="0" fillId="0" borderId="23" xfId="0" applyNumberFormat="1" applyBorder="1" applyAlignment="1">
      <alignment horizontal="center" vertical="center"/>
    </xf>
    <xf numFmtId="0" fontId="0" fillId="0" borderId="31" xfId="0" applyBorder="1" applyAlignment="1">
      <alignment horizontal="right" vertical="center"/>
    </xf>
    <xf numFmtId="2" fontId="0" fillId="0" borderId="32" xfId="0" applyNumberFormat="1" applyBorder="1" applyAlignment="1">
      <alignment horizontal="center" vertical="center"/>
    </xf>
    <xf numFmtId="0" fontId="2" fillId="0" borderId="20" xfId="0" applyFont="1" applyBorder="1" applyAlignment="1">
      <alignment horizontal="center" vertical="center"/>
    </xf>
    <xf numFmtId="1" fontId="2" fillId="0" borderId="0" xfId="0" applyNumberFormat="1" applyFont="1" applyAlignment="1">
      <alignment horizontal="center"/>
    </xf>
    <xf numFmtId="0" fontId="2" fillId="0" borderId="32" xfId="0" applyFont="1" applyBorder="1" applyAlignment="1">
      <alignment horizontal="center"/>
    </xf>
    <xf numFmtId="0" fontId="2" fillId="0" borderId="20" xfId="0" applyFont="1" applyBorder="1" applyAlignment="1">
      <alignment horizontal="center"/>
    </xf>
    <xf numFmtId="1" fontId="2" fillId="0" borderId="23" xfId="0" applyNumberFormat="1" applyFont="1" applyBorder="1" applyAlignment="1">
      <alignment horizontal="center"/>
    </xf>
    <xf numFmtId="0" fontId="2" fillId="0" borderId="33" xfId="0" applyFont="1" applyBorder="1" applyAlignment="1">
      <alignment horizontal="center"/>
    </xf>
    <xf numFmtId="165" fontId="2" fillId="0" borderId="0" xfId="0" applyNumberFormat="1" applyFont="1" applyAlignment="1">
      <alignment horizontal="center" vertical="center"/>
    </xf>
    <xf numFmtId="165" fontId="2" fillId="0" borderId="0" xfId="0" applyNumberFormat="1" applyFont="1" applyAlignment="1">
      <alignment horizontal="center"/>
    </xf>
    <xf numFmtId="0" fontId="2" fillId="0" borderId="33" xfId="0" applyFont="1" applyBorder="1"/>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0" fontId="2" fillId="0" borderId="20" xfId="0" applyFont="1" applyBorder="1"/>
    <xf numFmtId="165" fontId="2" fillId="0" borderId="20" xfId="0" applyNumberFormat="1" applyFont="1" applyBorder="1" applyAlignment="1">
      <alignment horizontal="center" vertical="center"/>
    </xf>
    <xf numFmtId="165" fontId="2" fillId="0" borderId="20" xfId="0" applyNumberFormat="1" applyFont="1" applyBorder="1" applyAlignment="1">
      <alignment horizontal="center"/>
    </xf>
    <xf numFmtId="0" fontId="2" fillId="0" borderId="22" xfId="0" applyFont="1" applyBorder="1"/>
    <xf numFmtId="165" fontId="2" fillId="0" borderId="22" xfId="0" applyNumberFormat="1" applyFont="1" applyBorder="1" applyAlignment="1">
      <alignment horizontal="center" vertical="center"/>
    </xf>
    <xf numFmtId="165" fontId="2" fillId="0" borderId="23" xfId="0" applyNumberFormat="1" applyFont="1" applyBorder="1" applyAlignment="1">
      <alignment horizontal="center" vertical="center"/>
    </xf>
    <xf numFmtId="165" fontId="0" fillId="0" borderId="0" xfId="0" applyNumberFormat="1" applyAlignment="1">
      <alignment horizontal="left"/>
    </xf>
    <xf numFmtId="0" fontId="2" fillId="4" borderId="0" xfId="0" applyFont="1" applyFill="1" applyAlignment="1" applyProtection="1">
      <alignment horizontal="center" vertical="center"/>
      <protection locked="0"/>
    </xf>
    <xf numFmtId="0" fontId="2" fillId="0" borderId="23" xfId="0" applyFont="1" applyBorder="1" applyAlignment="1">
      <alignment horizontal="center"/>
    </xf>
    <xf numFmtId="0" fontId="0" fillId="0" borderId="33" xfId="0" applyBorder="1" applyAlignment="1">
      <alignment horizontal="center"/>
    </xf>
    <xf numFmtId="0" fontId="0" fillId="0" borderId="32" xfId="0" applyBorder="1" applyAlignment="1">
      <alignment horizontal="center"/>
    </xf>
    <xf numFmtId="1" fontId="2" fillId="0" borderId="22" xfId="0" applyNumberFormat="1" applyFont="1" applyBorder="1" applyAlignment="1">
      <alignment horizontal="center"/>
    </xf>
    <xf numFmtId="165" fontId="2" fillId="0" borderId="23" xfId="0" applyNumberFormat="1" applyFont="1" applyBorder="1" applyAlignment="1">
      <alignment horizontal="center"/>
    </xf>
    <xf numFmtId="0" fontId="0" fillId="0" borderId="33" xfId="0" applyBorder="1"/>
    <xf numFmtId="0" fontId="0" fillId="0" borderId="32" xfId="0" applyBorder="1"/>
    <xf numFmtId="0" fontId="0" fillId="0" borderId="20" xfId="0" applyBorder="1"/>
    <xf numFmtId="0" fontId="2" fillId="4" borderId="20" xfId="0" applyFont="1" applyFill="1" applyBorder="1" applyAlignment="1" applyProtection="1">
      <alignment horizontal="center" vertical="center"/>
      <protection locked="0"/>
    </xf>
    <xf numFmtId="0" fontId="0" fillId="0" borderId="21" xfId="0" applyBorder="1"/>
    <xf numFmtId="0" fontId="0" fillId="0" borderId="22" xfId="0" applyBorder="1"/>
    <xf numFmtId="0" fontId="0" fillId="0" borderId="23" xfId="0" applyBorder="1"/>
    <xf numFmtId="0" fontId="29" fillId="0" borderId="20" xfId="0" applyFont="1" applyBorder="1" applyAlignment="1">
      <alignment horizontal="left"/>
    </xf>
    <xf numFmtId="0" fontId="2" fillId="0" borderId="0" xfId="0" applyFont="1" applyAlignment="1">
      <alignment horizontal="right"/>
    </xf>
    <xf numFmtId="0" fontId="2" fillId="0" borderId="22" xfId="0" applyFont="1" applyBorder="1" applyAlignment="1">
      <alignment horizontal="center"/>
    </xf>
    <xf numFmtId="0" fontId="2" fillId="0" borderId="31" xfId="0" applyFont="1" applyBorder="1" applyAlignment="1">
      <alignment horizontal="center"/>
    </xf>
    <xf numFmtId="0" fontId="2" fillId="0" borderId="19" xfId="0" applyFont="1" applyBorder="1" applyAlignment="1">
      <alignment horizontal="center"/>
    </xf>
    <xf numFmtId="0" fontId="2" fillId="0" borderId="21" xfId="0" applyFont="1" applyBorder="1" applyAlignment="1">
      <alignment horizontal="center"/>
    </xf>
    <xf numFmtId="0" fontId="2" fillId="0" borderId="19" xfId="0" applyFont="1" applyBorder="1" applyAlignment="1">
      <alignment horizontal="center" vertical="center"/>
    </xf>
    <xf numFmtId="0" fontId="2" fillId="4" borderId="23" xfId="0" applyFont="1" applyFill="1" applyBorder="1" applyAlignment="1" applyProtection="1">
      <alignment horizontal="center" vertical="center"/>
      <protection locked="0"/>
    </xf>
    <xf numFmtId="1" fontId="2" fillId="0" borderId="20" xfId="0" applyNumberFormat="1" applyFont="1" applyBorder="1" applyAlignment="1">
      <alignment horizontal="center"/>
    </xf>
    <xf numFmtId="165" fontId="2" fillId="0" borderId="22" xfId="0" applyNumberFormat="1" applyFont="1" applyBorder="1" applyAlignment="1">
      <alignment horizontal="center"/>
    </xf>
    <xf numFmtId="0" fontId="2" fillId="0" borderId="34" xfId="0" applyFont="1" applyBorder="1" applyAlignment="1">
      <alignment horizontal="center"/>
    </xf>
    <xf numFmtId="1" fontId="2" fillId="0" borderId="0" xfId="0" applyNumberFormat="1" applyFont="1" applyAlignment="1">
      <alignment horizontal="center" vertical="center"/>
    </xf>
    <xf numFmtId="1" fontId="2" fillId="0" borderId="20" xfId="0" applyNumberFormat="1" applyFont="1" applyBorder="1" applyAlignment="1">
      <alignment horizontal="center" vertical="center"/>
    </xf>
    <xf numFmtId="0" fontId="2" fillId="0" borderId="35" xfId="0" applyFont="1" applyBorder="1"/>
    <xf numFmtId="1" fontId="2" fillId="0" borderId="35" xfId="0" applyNumberFormat="1" applyFont="1" applyBorder="1" applyAlignment="1">
      <alignment horizontal="center"/>
    </xf>
    <xf numFmtId="0" fontId="2" fillId="0" borderId="35" xfId="0" applyFont="1" applyBorder="1" applyAlignment="1">
      <alignment horizontal="center"/>
    </xf>
    <xf numFmtId="0" fontId="2" fillId="4" borderId="32" xfId="0" applyFont="1" applyFill="1" applyBorder="1" applyAlignment="1" applyProtection="1">
      <alignment horizontal="center" vertical="center"/>
      <protection locked="0"/>
    </xf>
    <xf numFmtId="0" fontId="2" fillId="0" borderId="23" xfId="0" applyFont="1" applyBorder="1"/>
    <xf numFmtId="0" fontId="30" fillId="0" borderId="13" xfId="0" applyFont="1" applyBorder="1" applyAlignment="1">
      <alignment horizontal="right" vertical="center"/>
    </xf>
    <xf numFmtId="0" fontId="30" fillId="0" borderId="13" xfId="2" applyFont="1" applyBorder="1" applyAlignment="1">
      <alignment horizontal="right"/>
    </xf>
    <xf numFmtId="2" fontId="0" fillId="16" borderId="31" xfId="0" applyNumberFormat="1" applyFill="1" applyBorder="1" applyAlignment="1">
      <alignment horizontal="center"/>
    </xf>
    <xf numFmtId="2" fontId="0" fillId="16" borderId="33" xfId="0" applyNumberFormat="1" applyFill="1" applyBorder="1" applyAlignment="1">
      <alignment horizontal="center"/>
    </xf>
    <xf numFmtId="2" fontId="0" fillId="16" borderId="32" xfId="0" applyNumberFormat="1" applyFill="1" applyBorder="1" applyAlignment="1">
      <alignment horizontal="center"/>
    </xf>
    <xf numFmtId="0" fontId="0" fillId="16" borderId="31" xfId="0" applyFill="1" applyBorder="1" applyAlignment="1">
      <alignment horizontal="center"/>
    </xf>
    <xf numFmtId="0" fontId="0" fillId="16" borderId="33" xfId="0" applyFill="1" applyBorder="1" applyAlignment="1">
      <alignment horizontal="center"/>
    </xf>
    <xf numFmtId="0" fontId="0" fillId="16" borderId="32" xfId="0" applyFill="1" applyBorder="1" applyAlignment="1">
      <alignment horizontal="center"/>
    </xf>
    <xf numFmtId="2" fontId="0" fillId="0" borderId="0" xfId="0" applyNumberFormat="1"/>
    <xf numFmtId="2" fontId="0" fillId="0" borderId="0" xfId="0" applyNumberFormat="1" applyAlignment="1">
      <alignment horizontal="left"/>
    </xf>
    <xf numFmtId="2" fontId="9" fillId="0" borderId="0" xfId="0" applyNumberFormat="1" applyFont="1" applyAlignment="1">
      <alignment horizontal="left"/>
    </xf>
    <xf numFmtId="2" fontId="10" fillId="0" borderId="0" xfId="1" applyNumberFormat="1" applyAlignment="1">
      <alignment horizontal="left"/>
    </xf>
    <xf numFmtId="2" fontId="10" fillId="0" borderId="0" xfId="1" applyNumberFormat="1" applyAlignment="1">
      <alignment horizontal="center"/>
    </xf>
    <xf numFmtId="2" fontId="0" fillId="0" borderId="0" xfId="0" quotePrefix="1" applyNumberFormat="1" applyAlignment="1">
      <alignment horizontal="center"/>
    </xf>
    <xf numFmtId="2" fontId="0" fillId="21" borderId="20" xfId="0" applyNumberFormat="1" applyFill="1" applyBorder="1" applyAlignment="1">
      <alignment horizontal="center"/>
    </xf>
    <xf numFmtId="2" fontId="0" fillId="21" borderId="23" xfId="0" applyNumberFormat="1" applyFill="1" applyBorder="1" applyAlignment="1">
      <alignment horizontal="center"/>
    </xf>
    <xf numFmtId="2" fontId="0" fillId="21" borderId="19" xfId="0" applyNumberFormat="1" applyFill="1" applyBorder="1" applyAlignment="1">
      <alignment horizontal="center"/>
    </xf>
    <xf numFmtId="2" fontId="0" fillId="21" borderId="0" xfId="0" applyNumberFormat="1" applyFill="1" applyAlignment="1">
      <alignment horizontal="center"/>
    </xf>
    <xf numFmtId="2" fontId="0" fillId="21" borderId="21" xfId="0" applyNumberFormat="1" applyFill="1" applyBorder="1" applyAlignment="1">
      <alignment horizontal="center"/>
    </xf>
    <xf numFmtId="2" fontId="0" fillId="21" borderId="22" xfId="0" applyNumberFormat="1" applyFill="1" applyBorder="1" applyAlignment="1">
      <alignment horizontal="center"/>
    </xf>
    <xf numFmtId="1" fontId="0" fillId="21" borderId="19" xfId="0" applyNumberFormat="1" applyFill="1" applyBorder="1" applyAlignment="1">
      <alignment horizontal="center"/>
    </xf>
    <xf numFmtId="2" fontId="0" fillId="21" borderId="26" xfId="0" applyNumberFormat="1" applyFill="1" applyBorder="1" applyAlignment="1">
      <alignment horizontal="center"/>
    </xf>
    <xf numFmtId="1" fontId="0" fillId="21" borderId="21" xfId="0" applyNumberFormat="1" applyFill="1" applyBorder="1" applyAlignment="1">
      <alignment horizontal="center"/>
    </xf>
    <xf numFmtId="2" fontId="0" fillId="21" borderId="25" xfId="0" applyNumberFormat="1" applyFill="1" applyBorder="1" applyAlignment="1">
      <alignment horizontal="center"/>
    </xf>
    <xf numFmtId="0" fontId="0" fillId="21" borderId="19" xfId="0" applyFill="1" applyBorder="1"/>
    <xf numFmtId="0" fontId="0" fillId="21" borderId="0" xfId="0" applyFill="1"/>
    <xf numFmtId="0" fontId="0" fillId="21" borderId="20" xfId="0" applyFill="1" applyBorder="1" applyAlignment="1">
      <alignment horizontal="center"/>
    </xf>
    <xf numFmtId="0" fontId="0" fillId="21" borderId="21" xfId="0" applyFill="1" applyBorder="1"/>
    <xf numFmtId="0" fontId="0" fillId="21" borderId="22" xfId="0" applyFill="1" applyBorder="1"/>
    <xf numFmtId="0" fontId="0" fillId="21" borderId="23" xfId="0" applyFill="1" applyBorder="1" applyAlignment="1">
      <alignment horizontal="center"/>
    </xf>
    <xf numFmtId="1" fontId="0" fillId="21" borderId="31" xfId="0" applyNumberFormat="1" applyFill="1" applyBorder="1" applyAlignment="1">
      <alignment horizontal="center"/>
    </xf>
    <xf numFmtId="1" fontId="0" fillId="21" borderId="33" xfId="0" applyNumberFormat="1" applyFill="1" applyBorder="1" applyAlignment="1">
      <alignment horizontal="center"/>
    </xf>
    <xf numFmtId="1" fontId="0" fillId="21" borderId="32" xfId="0" applyNumberFormat="1" applyFill="1" applyBorder="1" applyAlignment="1">
      <alignment horizontal="center"/>
    </xf>
    <xf numFmtId="1" fontId="0" fillId="21" borderId="0" xfId="0" applyNumberFormat="1" applyFill="1" applyAlignment="1">
      <alignment horizontal="center"/>
    </xf>
    <xf numFmtId="1" fontId="0" fillId="21" borderId="20" xfId="0" applyNumberFormat="1" applyFill="1" applyBorder="1" applyAlignment="1">
      <alignment horizontal="center"/>
    </xf>
    <xf numFmtId="1" fontId="0" fillId="21" borderId="22" xfId="0" applyNumberFormat="1" applyFill="1" applyBorder="1" applyAlignment="1">
      <alignment horizontal="center"/>
    </xf>
    <xf numFmtId="1" fontId="0" fillId="21" borderId="23" xfId="0" applyNumberFormat="1" applyFill="1" applyBorder="1" applyAlignment="1">
      <alignment horizontal="center"/>
    </xf>
    <xf numFmtId="2" fontId="0" fillId="21" borderId="32" xfId="0" applyNumberFormat="1" applyFill="1" applyBorder="1" applyAlignment="1">
      <alignment horizontal="center"/>
    </xf>
    <xf numFmtId="2" fontId="0" fillId="21" borderId="24" xfId="0" applyNumberFormat="1" applyFill="1" applyBorder="1" applyAlignment="1">
      <alignment horizontal="center"/>
    </xf>
    <xf numFmtId="2" fontId="0" fillId="21" borderId="31" xfId="0" applyNumberFormat="1" applyFill="1" applyBorder="1" applyAlignment="1">
      <alignment horizontal="center"/>
    </xf>
    <xf numFmtId="0" fontId="0" fillId="22" borderId="36" xfId="0" applyFill="1" applyBorder="1" applyAlignment="1">
      <alignment horizontal="center"/>
    </xf>
    <xf numFmtId="0" fontId="0" fillId="22" borderId="37" xfId="0" applyFill="1" applyBorder="1" applyAlignment="1">
      <alignment horizontal="center"/>
    </xf>
    <xf numFmtId="0" fontId="0" fillId="22" borderId="38" xfId="0" applyFill="1" applyBorder="1" applyAlignment="1">
      <alignment horizontal="center"/>
    </xf>
    <xf numFmtId="0" fontId="0" fillId="22" borderId="39" xfId="0" applyFill="1" applyBorder="1" applyAlignment="1">
      <alignment horizontal="center"/>
    </xf>
    <xf numFmtId="0" fontId="0" fillId="22" borderId="40" xfId="0" applyFill="1" applyBorder="1" applyAlignment="1">
      <alignment horizontal="center"/>
    </xf>
    <xf numFmtId="0" fontId="0" fillId="22" borderId="41" xfId="0" applyFill="1" applyBorder="1" applyAlignment="1">
      <alignment horizontal="center"/>
    </xf>
    <xf numFmtId="0" fontId="0" fillId="22" borderId="42" xfId="0" applyFill="1" applyBorder="1" applyAlignment="1">
      <alignment horizontal="center"/>
    </xf>
    <xf numFmtId="0" fontId="0" fillId="22" borderId="43" xfId="0" applyFill="1" applyBorder="1" applyAlignment="1">
      <alignment horizontal="center"/>
    </xf>
    <xf numFmtId="0" fontId="0" fillId="22" borderId="44" xfId="0" applyFill="1" applyBorder="1" applyAlignment="1">
      <alignment horizontal="center"/>
    </xf>
    <xf numFmtId="0" fontId="0" fillId="22" borderId="45" xfId="0" applyFill="1" applyBorder="1" applyAlignment="1">
      <alignment horizontal="center"/>
    </xf>
    <xf numFmtId="0" fontId="0" fillId="22" borderId="46" xfId="0" applyFill="1" applyBorder="1" applyAlignment="1">
      <alignment horizontal="center"/>
    </xf>
    <xf numFmtId="0" fontId="0" fillId="22" borderId="47" xfId="0" applyFill="1" applyBorder="1" applyAlignment="1">
      <alignment horizontal="center"/>
    </xf>
    <xf numFmtId="0" fontId="0" fillId="22" borderId="48" xfId="0" applyFill="1" applyBorder="1" applyAlignment="1">
      <alignment horizontal="center"/>
    </xf>
    <xf numFmtId="0" fontId="0" fillId="22" borderId="49" xfId="0" applyFill="1" applyBorder="1" applyAlignment="1">
      <alignment horizontal="center"/>
    </xf>
    <xf numFmtId="0" fontId="0" fillId="22" borderId="50" xfId="0" applyFill="1" applyBorder="1" applyAlignment="1">
      <alignment horizontal="center"/>
    </xf>
    <xf numFmtId="0" fontId="8" fillId="22" borderId="36" xfId="0" applyFont="1" applyFill="1" applyBorder="1" applyAlignment="1">
      <alignment horizontal="center"/>
    </xf>
    <xf numFmtId="0" fontId="15" fillId="22" borderId="37" xfId="0" applyFont="1" applyFill="1" applyBorder="1" applyAlignment="1">
      <alignment horizontal="center"/>
    </xf>
    <xf numFmtId="2" fontId="0" fillId="23" borderId="19" xfId="0" applyNumberFormat="1" applyFill="1" applyBorder="1" applyAlignment="1">
      <alignment horizontal="center"/>
    </xf>
    <xf numFmtId="2" fontId="0" fillId="23" borderId="21" xfId="0" applyNumberFormat="1" applyFill="1" applyBorder="1" applyAlignment="1">
      <alignment horizontal="center"/>
    </xf>
    <xf numFmtId="2" fontId="0" fillId="24" borderId="32" xfId="0" applyNumberFormat="1" applyFill="1" applyBorder="1" applyAlignment="1">
      <alignment horizontal="center"/>
    </xf>
    <xf numFmtId="2" fontId="0" fillId="24" borderId="31" xfId="0" applyNumberFormat="1" applyFill="1" applyBorder="1" applyAlignment="1">
      <alignment horizontal="center"/>
    </xf>
    <xf numFmtId="2" fontId="0" fillId="24" borderId="33" xfId="0" applyNumberFormat="1" applyFill="1" applyBorder="1" applyAlignment="1">
      <alignment horizontal="center"/>
    </xf>
    <xf numFmtId="0" fontId="0" fillId="25" borderId="51" xfId="0" applyFill="1" applyBorder="1" applyAlignment="1">
      <alignment horizontal="center"/>
    </xf>
    <xf numFmtId="184" fontId="0" fillId="25" borderId="11" xfId="0" applyNumberFormat="1" applyFill="1" applyBorder="1" applyAlignment="1">
      <alignment horizontal="center"/>
    </xf>
    <xf numFmtId="173" fontId="0" fillId="25" borderId="11" xfId="0" applyNumberFormat="1" applyFill="1" applyBorder="1" applyAlignment="1">
      <alignment horizontal="center"/>
    </xf>
    <xf numFmtId="164" fontId="0" fillId="24" borderId="11" xfId="0" applyNumberFormat="1" applyFill="1" applyBorder="1" applyAlignment="1">
      <alignment horizontal="center"/>
    </xf>
    <xf numFmtId="164" fontId="0" fillId="25" borderId="11" xfId="0" applyNumberFormat="1" applyFill="1" applyBorder="1" applyAlignment="1">
      <alignment horizontal="center"/>
    </xf>
    <xf numFmtId="178" fontId="0" fillId="24" borderId="11" xfId="0" applyNumberFormat="1" applyFill="1" applyBorder="1" applyAlignment="1">
      <alignment horizontal="center"/>
    </xf>
    <xf numFmtId="0" fontId="0" fillId="24" borderId="11" xfId="0" applyFill="1" applyBorder="1" applyAlignment="1">
      <alignment horizontal="center"/>
    </xf>
    <xf numFmtId="0" fontId="0" fillId="25" borderId="52" xfId="0" applyFill="1" applyBorder="1" applyAlignment="1">
      <alignment horizontal="center"/>
    </xf>
    <xf numFmtId="0" fontId="0" fillId="25" borderId="53" xfId="0" applyFill="1" applyBorder="1" applyAlignment="1">
      <alignment horizontal="center"/>
    </xf>
    <xf numFmtId="0" fontId="2" fillId="26" borderId="52" xfId="0" applyFont="1" applyFill="1" applyBorder="1" applyAlignment="1">
      <alignment horizontal="center"/>
    </xf>
    <xf numFmtId="0" fontId="0" fillId="26" borderId="54" xfId="0" applyFill="1" applyBorder="1" applyAlignment="1">
      <alignment horizontal="center"/>
    </xf>
    <xf numFmtId="0" fontId="0" fillId="26" borderId="53" xfId="0" applyFill="1" applyBorder="1" applyAlignment="1">
      <alignment horizontal="center"/>
    </xf>
    <xf numFmtId="0" fontId="0" fillId="25" borderId="55" xfId="0" applyFill="1" applyBorder="1" applyAlignment="1">
      <alignment horizontal="center"/>
    </xf>
    <xf numFmtId="0" fontId="0" fillId="25" borderId="56" xfId="0" applyFill="1" applyBorder="1" applyAlignment="1">
      <alignment horizontal="center"/>
    </xf>
    <xf numFmtId="0" fontId="0" fillId="25" borderId="57" xfId="0" applyFill="1" applyBorder="1" applyAlignment="1">
      <alignment horizontal="center"/>
    </xf>
    <xf numFmtId="0" fontId="0" fillId="25" borderId="58" xfId="0" applyFill="1" applyBorder="1" applyAlignment="1">
      <alignment horizontal="center"/>
    </xf>
    <xf numFmtId="0" fontId="0" fillId="25" borderId="59" xfId="0" applyFill="1" applyBorder="1" applyAlignment="1">
      <alignment horizontal="center"/>
    </xf>
    <xf numFmtId="0" fontId="0" fillId="25" borderId="60" xfId="0" applyFill="1" applyBorder="1" applyAlignment="1">
      <alignment horizontal="center"/>
    </xf>
    <xf numFmtId="0" fontId="0" fillId="3" borderId="55" xfId="0" applyFill="1" applyBorder="1" applyAlignment="1">
      <alignment horizontal="center"/>
    </xf>
    <xf numFmtId="0" fontId="0" fillId="3" borderId="56" xfId="0" applyFill="1" applyBorder="1" applyAlignment="1">
      <alignment horizontal="center"/>
    </xf>
    <xf numFmtId="0" fontId="0" fillId="3" borderId="61" xfId="0" applyFill="1" applyBorder="1" applyAlignment="1">
      <alignment horizontal="center"/>
    </xf>
    <xf numFmtId="0" fontId="0" fillId="3" borderId="0" xfId="0" applyFill="1" applyAlignment="1">
      <alignment horizontal="center"/>
    </xf>
    <xf numFmtId="183" fontId="0" fillId="25" borderId="58" xfId="0" applyNumberFormat="1" applyFill="1" applyBorder="1" applyAlignment="1">
      <alignment horizontal="center"/>
    </xf>
    <xf numFmtId="183" fontId="0" fillId="25" borderId="59" xfId="0" applyNumberFormat="1" applyFill="1" applyBorder="1" applyAlignment="1">
      <alignment horizontal="center"/>
    </xf>
    <xf numFmtId="2" fontId="0" fillId="3" borderId="0" xfId="0" applyNumberFormat="1" applyFill="1" applyAlignment="1">
      <alignment horizontal="center"/>
    </xf>
    <xf numFmtId="169" fontId="0" fillId="3" borderId="56" xfId="0" applyNumberFormat="1" applyFill="1" applyBorder="1" applyAlignment="1">
      <alignment horizontal="center"/>
    </xf>
    <xf numFmtId="0" fontId="0" fillId="26" borderId="1" xfId="0" applyFill="1" applyBorder="1" applyAlignment="1">
      <alignment horizontal="center"/>
    </xf>
    <xf numFmtId="0" fontId="0" fillId="26" borderId="51" xfId="0" applyFill="1" applyBorder="1" applyAlignment="1">
      <alignment horizontal="center"/>
    </xf>
    <xf numFmtId="183" fontId="0" fillId="26" borderId="51" xfId="0" applyNumberFormat="1" applyFill="1" applyBorder="1" applyAlignment="1">
      <alignment horizontal="center"/>
    </xf>
    <xf numFmtId="0" fontId="0" fillId="24" borderId="57" xfId="0" applyFill="1" applyBorder="1" applyAlignment="1">
      <alignment horizontal="center"/>
    </xf>
    <xf numFmtId="0" fontId="0" fillId="24" borderId="62" xfId="0" applyFill="1" applyBorder="1" applyAlignment="1">
      <alignment horizontal="center"/>
    </xf>
    <xf numFmtId="183" fontId="0" fillId="25" borderId="60" xfId="0" applyNumberFormat="1" applyFill="1" applyBorder="1" applyAlignment="1">
      <alignment horizontal="center"/>
    </xf>
    <xf numFmtId="0" fontId="45" fillId="0" borderId="0" xfId="0" applyFont="1" applyAlignment="1">
      <alignment vertical="center"/>
    </xf>
    <xf numFmtId="0" fontId="46" fillId="0" borderId="0" xfId="2" applyFont="1"/>
    <xf numFmtId="0" fontId="46" fillId="27" borderId="2" xfId="2" applyFont="1" applyFill="1" applyBorder="1" applyAlignment="1" applyProtection="1">
      <alignment horizontal="center"/>
      <protection hidden="1"/>
    </xf>
    <xf numFmtId="177" fontId="47" fillId="5" borderId="2" xfId="2" applyNumberFormat="1" applyFont="1" applyFill="1" applyBorder="1" applyAlignment="1" applyProtection="1">
      <alignment horizontal="center"/>
      <protection hidden="1"/>
    </xf>
    <xf numFmtId="0" fontId="45" fillId="0" borderId="0" xfId="2" applyFont="1"/>
    <xf numFmtId="0" fontId="48" fillId="0" borderId="10" xfId="2" applyFont="1" applyBorder="1" applyAlignment="1">
      <alignment horizontal="right"/>
    </xf>
    <xf numFmtId="0" fontId="46" fillId="0" borderId="10" xfId="2" applyFont="1" applyBorder="1"/>
    <xf numFmtId="0" fontId="49" fillId="0" borderId="10" xfId="2" applyFont="1" applyBorder="1" applyAlignment="1">
      <alignment horizontal="left"/>
    </xf>
    <xf numFmtId="0" fontId="48" fillId="0" borderId="10" xfId="2" applyFont="1" applyBorder="1"/>
    <xf numFmtId="0" fontId="48" fillId="0" borderId="7" xfId="0" applyFont="1" applyBorder="1" applyAlignment="1">
      <alignment horizontal="right" vertical="center"/>
    </xf>
    <xf numFmtId="0" fontId="49" fillId="0" borderId="7" xfId="0" applyFont="1" applyBorder="1" applyAlignment="1">
      <alignment horizontal="right" vertical="center"/>
    </xf>
    <xf numFmtId="166" fontId="0" fillId="0" borderId="7" xfId="0" applyNumberFormat="1" applyBorder="1" applyAlignment="1">
      <alignment horizontal="right" vertical="center"/>
    </xf>
    <xf numFmtId="193" fontId="0" fillId="3" borderId="11" xfId="0" applyNumberFormat="1" applyFill="1" applyBorder="1" applyAlignment="1">
      <alignment horizontal="center"/>
    </xf>
    <xf numFmtId="0" fontId="0" fillId="28" borderId="24" xfId="0" applyFill="1" applyBorder="1" applyAlignment="1">
      <alignment horizontal="center"/>
    </xf>
    <xf numFmtId="0" fontId="0" fillId="29" borderId="26" xfId="0" applyFill="1" applyBorder="1" applyAlignment="1">
      <alignment horizontal="center"/>
    </xf>
    <xf numFmtId="186" fontId="0" fillId="25" borderId="11" xfId="0" applyNumberFormat="1" applyFill="1" applyBorder="1" applyAlignment="1">
      <alignment horizontal="center"/>
    </xf>
    <xf numFmtId="176" fontId="33" fillId="5" borderId="24" xfId="2" applyNumberFormat="1" applyFont="1" applyFill="1" applyBorder="1" applyAlignment="1" applyProtection="1">
      <alignment horizontal="center"/>
      <protection hidden="1"/>
    </xf>
    <xf numFmtId="176" fontId="33" fillId="5" borderId="26" xfId="2" applyNumberFormat="1" applyFont="1" applyFill="1" applyBorder="1" applyAlignment="1" applyProtection="1">
      <alignment horizontal="center"/>
      <protection hidden="1"/>
    </xf>
    <xf numFmtId="176" fontId="33" fillId="5" borderId="25" xfId="2" applyNumberFormat="1" applyFont="1" applyFill="1" applyBorder="1" applyAlignment="1" applyProtection="1">
      <alignment horizontal="center"/>
      <protection hidden="1"/>
    </xf>
    <xf numFmtId="0" fontId="33" fillId="5" borderId="63" xfId="2" applyFont="1" applyFill="1" applyBorder="1" applyAlignment="1">
      <alignment horizontal="center"/>
    </xf>
    <xf numFmtId="0" fontId="33" fillId="5" borderId="20" xfId="2" applyFont="1" applyFill="1" applyBorder="1" applyAlignment="1">
      <alignment horizontal="center"/>
    </xf>
    <xf numFmtId="0" fontId="33" fillId="5" borderId="23" xfId="2" applyFont="1" applyFill="1" applyBorder="1" applyAlignment="1">
      <alignment horizontal="center"/>
    </xf>
    <xf numFmtId="176" fontId="33" fillId="5" borderId="63" xfId="2" applyNumberFormat="1" applyFont="1" applyFill="1" applyBorder="1" applyAlignment="1">
      <alignment horizontal="center"/>
    </xf>
    <xf numFmtId="196" fontId="33" fillId="5" borderId="63" xfId="2" applyNumberFormat="1" applyFont="1" applyFill="1" applyBorder="1" applyAlignment="1">
      <alignment horizontal="center"/>
    </xf>
    <xf numFmtId="196" fontId="33" fillId="5" borderId="20" xfId="2" applyNumberFormat="1" applyFont="1" applyFill="1" applyBorder="1" applyAlignment="1">
      <alignment horizontal="center"/>
    </xf>
    <xf numFmtId="196" fontId="33" fillId="5" borderId="23" xfId="2" applyNumberFormat="1" applyFont="1" applyFill="1" applyBorder="1" applyAlignment="1">
      <alignment horizontal="center"/>
    </xf>
    <xf numFmtId="174" fontId="33" fillId="5" borderId="63" xfId="2" applyNumberFormat="1" applyFont="1" applyFill="1" applyBorder="1" applyAlignment="1">
      <alignment horizontal="center"/>
    </xf>
    <xf numFmtId="174" fontId="33" fillId="5" borderId="20" xfId="2" applyNumberFormat="1" applyFont="1" applyFill="1" applyBorder="1" applyAlignment="1">
      <alignment horizontal="center"/>
    </xf>
    <xf numFmtId="174" fontId="33" fillId="5" borderId="23" xfId="2" applyNumberFormat="1" applyFont="1" applyFill="1" applyBorder="1" applyAlignment="1">
      <alignment horizontal="center"/>
    </xf>
    <xf numFmtId="167" fontId="33" fillId="5" borderId="63" xfId="2" applyNumberFormat="1" applyFont="1" applyFill="1" applyBorder="1" applyAlignment="1">
      <alignment horizontal="center"/>
    </xf>
    <xf numFmtId="167" fontId="33" fillId="5" borderId="20" xfId="2" applyNumberFormat="1" applyFont="1" applyFill="1" applyBorder="1" applyAlignment="1">
      <alignment horizontal="center"/>
    </xf>
    <xf numFmtId="167" fontId="33" fillId="5" borderId="23" xfId="2" applyNumberFormat="1" applyFont="1" applyFill="1" applyBorder="1" applyAlignment="1">
      <alignment horizontal="center"/>
    </xf>
    <xf numFmtId="170" fontId="33" fillId="5" borderId="63" xfId="2" applyNumberFormat="1" applyFont="1" applyFill="1" applyBorder="1" applyAlignment="1">
      <alignment horizontal="center"/>
    </xf>
    <xf numFmtId="170" fontId="33" fillId="5" borderId="20" xfId="2" applyNumberFormat="1" applyFont="1" applyFill="1" applyBorder="1" applyAlignment="1">
      <alignment horizontal="center"/>
    </xf>
    <xf numFmtId="170" fontId="33" fillId="5" borderId="23" xfId="2" applyNumberFormat="1" applyFont="1" applyFill="1" applyBorder="1" applyAlignment="1">
      <alignment horizontal="center"/>
    </xf>
    <xf numFmtId="0" fontId="2" fillId="9" borderId="2" xfId="0" applyFon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0" fontId="0" fillId="0" borderId="22" xfId="0" applyBorder="1" applyAlignment="1">
      <alignment horizontal="center" vertical="center"/>
    </xf>
    <xf numFmtId="0" fontId="8" fillId="0" borderId="33" xfId="0" applyFont="1" applyBorder="1" applyAlignment="1">
      <alignment horizontal="center" vertical="center"/>
    </xf>
    <xf numFmtId="0" fontId="8" fillId="0" borderId="32" xfId="0" applyFont="1" applyBorder="1" applyAlignment="1">
      <alignment horizontal="center" vertical="center"/>
    </xf>
    <xf numFmtId="187" fontId="2" fillId="7" borderId="2" xfId="0" applyNumberFormat="1" applyFont="1" applyFill="1" applyBorder="1" applyAlignment="1">
      <alignment horizontal="center" vertical="center"/>
    </xf>
    <xf numFmtId="197" fontId="33" fillId="5" borderId="24" xfId="2" applyNumberFormat="1" applyFont="1" applyFill="1" applyBorder="1" applyAlignment="1">
      <alignment horizontal="center"/>
    </xf>
    <xf numFmtId="197" fontId="33" fillId="5" borderId="26" xfId="2" applyNumberFormat="1" applyFont="1" applyFill="1" applyBorder="1" applyAlignment="1">
      <alignment horizontal="center"/>
    </xf>
    <xf numFmtId="197" fontId="33" fillId="5" borderId="25" xfId="2" applyNumberFormat="1" applyFont="1" applyFill="1" applyBorder="1" applyAlignment="1">
      <alignment horizontal="center"/>
    </xf>
    <xf numFmtId="0" fontId="45" fillId="0" borderId="0" xfId="2" applyFont="1" applyAlignment="1" applyProtection="1">
      <alignment horizontal="right"/>
      <protection hidden="1"/>
    </xf>
    <xf numFmtId="0" fontId="2" fillId="0" borderId="31" xfId="0" applyFont="1" applyBorder="1"/>
    <xf numFmtId="0" fontId="2" fillId="0" borderId="32" xfId="0" applyFont="1" applyBorder="1"/>
    <xf numFmtId="0" fontId="2" fillId="0" borderId="21" xfId="0" applyFont="1" applyBorder="1"/>
    <xf numFmtId="0" fontId="2" fillId="0" borderId="19" xfId="0" applyFont="1" applyBorder="1" applyAlignment="1">
      <alignment horizontal="left"/>
    </xf>
    <xf numFmtId="14" fontId="2" fillId="0" borderId="23" xfId="0" applyNumberFormat="1" applyFont="1" applyBorder="1" applyAlignment="1">
      <alignment horizontal="center"/>
    </xf>
    <xf numFmtId="0" fontId="15" fillId="0" borderId="0" xfId="0" applyFont="1" applyAlignment="1">
      <alignment horizontal="right"/>
    </xf>
    <xf numFmtId="0" fontId="42" fillId="0" borderId="0" xfId="0" applyFont="1" applyAlignment="1">
      <alignment horizontal="center"/>
    </xf>
    <xf numFmtId="0" fontId="15" fillId="0" borderId="0" xfId="0" applyFont="1" applyAlignment="1">
      <alignment horizontal="center"/>
    </xf>
    <xf numFmtId="0" fontId="2" fillId="0" borderId="19" xfId="0" applyFont="1" applyBorder="1"/>
    <xf numFmtId="0" fontId="2" fillId="0" borderId="34" xfId="0" applyFont="1" applyBorder="1"/>
    <xf numFmtId="0" fontId="2" fillId="0" borderId="14" xfId="0" applyFont="1" applyBorder="1" applyAlignment="1">
      <alignment horizontal="center"/>
    </xf>
    <xf numFmtId="0" fontId="15" fillId="0" borderId="2" xfId="0" applyFont="1" applyBorder="1" applyAlignment="1">
      <alignment horizontal="center"/>
    </xf>
    <xf numFmtId="0" fontId="15" fillId="0" borderId="64" xfId="0" applyFont="1" applyBorder="1" applyAlignment="1">
      <alignment horizontal="center"/>
    </xf>
    <xf numFmtId="201" fontId="15" fillId="0" borderId="0" xfId="0" applyNumberFormat="1" applyFont="1"/>
    <xf numFmtId="191" fontId="0" fillId="0" borderId="0" xfId="0" applyNumberFormat="1"/>
    <xf numFmtId="192" fontId="0" fillId="0" borderId="0" xfId="0" applyNumberFormat="1"/>
    <xf numFmtId="0" fontId="43" fillId="0" borderId="0" xfId="0" applyFont="1"/>
    <xf numFmtId="192" fontId="2" fillId="30" borderId="32" xfId="0" applyNumberFormat="1" applyFont="1" applyFill="1" applyBorder="1" applyProtection="1">
      <protection locked="0"/>
    </xf>
    <xf numFmtId="198" fontId="2" fillId="0" borderId="23" xfId="0" applyNumberFormat="1" applyFont="1" applyBorder="1"/>
    <xf numFmtId="0" fontId="42" fillId="0" borderId="0" xfId="0" applyFont="1"/>
    <xf numFmtId="3" fontId="2" fillId="30" borderId="32" xfId="0" applyNumberFormat="1" applyFont="1" applyFill="1" applyBorder="1" applyAlignment="1">
      <alignment horizontal="center"/>
    </xf>
    <xf numFmtId="191" fontId="2" fillId="0" borderId="33" xfId="0" applyNumberFormat="1" applyFont="1" applyBorder="1" applyAlignment="1">
      <alignment horizontal="center"/>
    </xf>
    <xf numFmtId="192" fontId="2" fillId="0" borderId="32" xfId="0" applyNumberFormat="1" applyFont="1" applyBorder="1" applyAlignment="1">
      <alignment horizontal="center"/>
    </xf>
    <xf numFmtId="191" fontId="2" fillId="0" borderId="22" xfId="0" applyNumberFormat="1" applyFont="1" applyBorder="1" applyAlignment="1">
      <alignment horizontal="center"/>
    </xf>
    <xf numFmtId="192" fontId="2" fillId="0" borderId="23" xfId="0" applyNumberFormat="1" applyFont="1" applyBorder="1" applyAlignment="1">
      <alignment horizontal="center"/>
    </xf>
    <xf numFmtId="192" fontId="2" fillId="30" borderId="32" xfId="0" applyNumberFormat="1" applyFont="1" applyFill="1" applyBorder="1" applyAlignment="1" applyProtection="1">
      <alignment horizontal="center"/>
      <protection locked="0"/>
    </xf>
    <xf numFmtId="202" fontId="2" fillId="0" borderId="23" xfId="0" applyNumberFormat="1" applyFont="1" applyBorder="1" applyAlignment="1">
      <alignment horizontal="center"/>
    </xf>
    <xf numFmtId="201" fontId="2" fillId="0" borderId="23" xfId="0" applyNumberFormat="1" applyFont="1" applyBorder="1" applyAlignment="1">
      <alignment horizontal="center"/>
    </xf>
    <xf numFmtId="199" fontId="2" fillId="0" borderId="33" xfId="0" applyNumberFormat="1" applyFont="1" applyBorder="1" applyAlignment="1">
      <alignment horizontal="center"/>
    </xf>
    <xf numFmtId="200" fontId="2" fillId="0" borderId="32" xfId="0" applyNumberFormat="1" applyFont="1" applyBorder="1" applyAlignment="1">
      <alignment horizontal="center"/>
    </xf>
    <xf numFmtId="191" fontId="2" fillId="0" borderId="0" xfId="0" applyNumberFormat="1" applyFont="1" applyAlignment="1">
      <alignment horizontal="center"/>
    </xf>
    <xf numFmtId="192" fontId="2" fillId="0" borderId="20" xfId="0" applyNumberFormat="1" applyFont="1" applyBorder="1" applyAlignment="1">
      <alignment horizontal="center"/>
    </xf>
    <xf numFmtId="0" fontId="15" fillId="0" borderId="10" xfId="0" applyFont="1" applyBorder="1"/>
    <xf numFmtId="0" fontId="0" fillId="29" borderId="20" xfId="0" applyFill="1" applyBorder="1" applyAlignment="1">
      <alignment horizontal="center"/>
    </xf>
    <xf numFmtId="0" fontId="0" fillId="31" borderId="65" xfId="0" applyFill="1" applyBorder="1" applyAlignment="1">
      <alignment horizontal="center"/>
    </xf>
    <xf numFmtId="186" fontId="0" fillId="24" borderId="11" xfId="0" applyNumberFormat="1" applyFill="1" applyBorder="1" applyAlignment="1">
      <alignment horizontal="center"/>
    </xf>
    <xf numFmtId="203" fontId="0" fillId="24" borderId="11" xfId="0" applyNumberFormat="1" applyFill="1" applyBorder="1" applyAlignment="1">
      <alignment horizontal="center"/>
    </xf>
    <xf numFmtId="0" fontId="2" fillId="11" borderId="66" xfId="0" applyFont="1" applyFill="1" applyBorder="1" applyAlignment="1" applyProtection="1">
      <alignment horizontal="center" vertical="center"/>
      <protection hidden="1"/>
    </xf>
    <xf numFmtId="164" fontId="2" fillId="17" borderId="24" xfId="0" applyNumberFormat="1" applyFont="1" applyFill="1" applyBorder="1" applyAlignment="1">
      <alignment horizontal="center" vertical="center"/>
    </xf>
    <xf numFmtId="0" fontId="2" fillId="11" borderId="67" xfId="0" applyFont="1" applyFill="1" applyBorder="1" applyAlignment="1" applyProtection="1">
      <alignment horizontal="center" vertical="center"/>
      <protection hidden="1"/>
    </xf>
    <xf numFmtId="0" fontId="2" fillId="28" borderId="2" xfId="0" applyFont="1" applyFill="1" applyBorder="1" applyAlignment="1">
      <alignment horizontal="center" vertical="center"/>
    </xf>
    <xf numFmtId="0" fontId="0" fillId="30" borderId="0" xfId="0" applyFill="1"/>
    <xf numFmtId="0" fontId="0" fillId="30" borderId="0" xfId="0" applyFill="1" applyAlignment="1">
      <alignment horizontal="center"/>
    </xf>
    <xf numFmtId="0" fontId="0" fillId="0" borderId="0" xfId="0" applyAlignment="1" applyProtection="1">
      <alignment horizontal="center"/>
      <protection locked="0"/>
    </xf>
    <xf numFmtId="0" fontId="0" fillId="29" borderId="25" xfId="0" applyFill="1" applyBorder="1" applyAlignment="1">
      <alignment horizontal="center"/>
    </xf>
    <xf numFmtId="0" fontId="1" fillId="0" borderId="0" xfId="2" applyProtection="1">
      <protection locked="0"/>
    </xf>
    <xf numFmtId="0" fontId="1" fillId="0" borderId="0" xfId="2"/>
    <xf numFmtId="0" fontId="36" fillId="0" borderId="0" xfId="2" applyFont="1"/>
    <xf numFmtId="186" fontId="0" fillId="0" borderId="0" xfId="0" applyNumberFormat="1" applyAlignment="1">
      <alignment vertical="center"/>
    </xf>
    <xf numFmtId="0" fontId="0" fillId="0" borderId="0" xfId="0" quotePrefix="1" applyAlignment="1">
      <alignment horizontal="center" vertical="center"/>
    </xf>
    <xf numFmtId="170" fontId="0" fillId="0" borderId="0" xfId="0" applyNumberFormat="1" applyAlignment="1">
      <alignment horizontal="right" vertical="center"/>
    </xf>
    <xf numFmtId="164" fontId="2" fillId="18" borderId="24" xfId="0" applyNumberFormat="1" applyFont="1" applyFill="1" applyBorder="1" applyAlignment="1" applyProtection="1">
      <alignment horizontal="center" vertical="center"/>
      <protection locked="0"/>
    </xf>
    <xf numFmtId="0" fontId="10" fillId="0" borderId="0" xfId="1" applyAlignment="1" applyProtection="1">
      <alignment horizontal="left"/>
      <protection hidden="1"/>
    </xf>
    <xf numFmtId="166" fontId="50" fillId="0" borderId="0" xfId="0" applyNumberFormat="1" applyFont="1" applyAlignment="1">
      <alignment vertical="center"/>
    </xf>
    <xf numFmtId="0" fontId="2" fillId="0" borderId="0" xfId="0" applyFont="1" applyAlignment="1" applyProtection="1">
      <alignment horizontal="center" vertical="center"/>
      <protection hidden="1"/>
    </xf>
    <xf numFmtId="186" fontId="2" fillId="0" borderId="0" xfId="0" applyNumberFormat="1" applyFont="1" applyAlignment="1">
      <alignment horizontal="center" vertical="center"/>
    </xf>
    <xf numFmtId="204" fontId="2" fillId="32" borderId="2" xfId="0" applyNumberFormat="1" applyFont="1" applyFill="1" applyBorder="1" applyAlignment="1">
      <alignment horizontal="center" vertical="center"/>
    </xf>
    <xf numFmtId="175" fontId="0" fillId="7" borderId="46" xfId="0" applyNumberFormat="1" applyFill="1" applyBorder="1" applyAlignment="1">
      <alignment horizontal="center" vertical="center"/>
    </xf>
    <xf numFmtId="175" fontId="2" fillId="7" borderId="2" xfId="0" applyNumberFormat="1" applyFont="1" applyFill="1" applyBorder="1" applyAlignment="1">
      <alignment horizontal="center" vertical="center"/>
    </xf>
    <xf numFmtId="166" fontId="2" fillId="0" borderId="0" xfId="0" applyNumberFormat="1" applyFont="1" applyAlignment="1">
      <alignment horizontal="right" vertical="center"/>
    </xf>
    <xf numFmtId="0" fontId="2" fillId="9" borderId="46" xfId="0" applyFont="1" applyFill="1" applyBorder="1" applyAlignment="1" applyProtection="1">
      <alignment horizontal="center" vertical="center"/>
      <protection hidden="1"/>
    </xf>
    <xf numFmtId="0" fontId="5" fillId="9" borderId="46" xfId="0" applyFont="1" applyFill="1" applyBorder="1" applyAlignment="1" applyProtection="1">
      <alignment horizontal="center" vertical="center"/>
      <protection hidden="1"/>
    </xf>
    <xf numFmtId="2" fontId="0" fillId="7" borderId="68" xfId="0" applyNumberFormat="1" applyFill="1" applyBorder="1" applyAlignment="1">
      <alignment horizontal="center" vertical="center"/>
    </xf>
    <xf numFmtId="187" fontId="2" fillId="7" borderId="68" xfId="0" applyNumberFormat="1" applyFont="1" applyFill="1" applyBorder="1" applyAlignment="1">
      <alignment horizontal="center" vertical="center"/>
    </xf>
    <xf numFmtId="165" fontId="0" fillId="7" borderId="69" xfId="0" applyNumberFormat="1" applyFill="1" applyBorder="1" applyAlignment="1">
      <alignment horizontal="center" vertical="center"/>
    </xf>
    <xf numFmtId="188" fontId="2" fillId="7" borderId="70" xfId="0" applyNumberFormat="1" applyFont="1" applyFill="1" applyBorder="1" applyAlignment="1">
      <alignment horizontal="center" vertical="center"/>
    </xf>
    <xf numFmtId="165" fontId="0" fillId="7" borderId="71" xfId="0" applyNumberFormat="1" applyFill="1" applyBorder="1" applyAlignment="1">
      <alignment horizontal="center" vertical="center"/>
    </xf>
    <xf numFmtId="165" fontId="0" fillId="7" borderId="70" xfId="0" applyNumberFormat="1" applyFill="1" applyBorder="1" applyAlignment="1">
      <alignment horizontal="center" vertical="center"/>
    </xf>
    <xf numFmtId="186" fontId="0" fillId="7" borderId="43" xfId="0" applyNumberFormat="1" applyFill="1" applyBorder="1" applyAlignment="1">
      <alignment horizontal="center" vertical="center"/>
    </xf>
    <xf numFmtId="165" fontId="0" fillId="7" borderId="72" xfId="0" applyNumberFormat="1" applyFill="1" applyBorder="1" applyAlignment="1">
      <alignment horizontal="center" vertical="center"/>
    </xf>
    <xf numFmtId="166" fontId="2" fillId="27" borderId="14" xfId="0" applyNumberFormat="1" applyFont="1" applyFill="1" applyBorder="1" applyAlignment="1">
      <alignment horizontal="center" vertical="center"/>
    </xf>
    <xf numFmtId="0" fontId="0" fillId="32" borderId="2" xfId="0" applyFill="1" applyBorder="1" applyAlignment="1">
      <alignment vertical="center"/>
    </xf>
    <xf numFmtId="187" fontId="0" fillId="7" borderId="73" xfId="0" applyNumberFormat="1" applyFill="1" applyBorder="1" applyAlignment="1">
      <alignment horizontal="center" vertical="center"/>
    </xf>
    <xf numFmtId="205" fontId="0" fillId="32" borderId="2" xfId="0" applyNumberFormat="1" applyFill="1" applyBorder="1" applyAlignment="1">
      <alignment horizontal="center" vertical="center"/>
    </xf>
    <xf numFmtId="206" fontId="15" fillId="0" borderId="0" xfId="2" applyNumberFormat="1" applyFont="1" applyProtection="1">
      <protection hidden="1"/>
    </xf>
    <xf numFmtId="175" fontId="2" fillId="0" borderId="0" xfId="2" applyNumberFormat="1" applyFont="1" applyProtection="1">
      <protection locked="0"/>
    </xf>
    <xf numFmtId="186" fontId="2" fillId="30" borderId="2" xfId="0" applyNumberFormat="1" applyFont="1" applyFill="1" applyBorder="1" applyAlignment="1">
      <alignment horizontal="center" vertical="center"/>
    </xf>
    <xf numFmtId="177" fontId="2" fillId="0" borderId="0" xfId="2" applyNumberFormat="1" applyFont="1"/>
    <xf numFmtId="170" fontId="2" fillId="33" borderId="25" xfId="0" applyNumberFormat="1" applyFont="1" applyFill="1" applyBorder="1" applyAlignment="1" applyProtection="1">
      <alignment horizontal="center" vertical="center"/>
      <protection locked="0"/>
    </xf>
    <xf numFmtId="165" fontId="2" fillId="5" borderId="34" xfId="2" applyNumberFormat="1" applyFont="1" applyFill="1" applyBorder="1" applyAlignment="1">
      <alignment horizontal="center"/>
    </xf>
    <xf numFmtId="178" fontId="14" fillId="5" borderId="34" xfId="2" applyNumberFormat="1" applyFont="1" applyFill="1" applyBorder="1"/>
    <xf numFmtId="179" fontId="32" fillId="5" borderId="24" xfId="2" applyNumberFormat="1" applyFont="1" applyFill="1" applyBorder="1" applyAlignment="1" applyProtection="1">
      <alignment horizontal="center" vertical="center"/>
      <protection hidden="1"/>
    </xf>
    <xf numFmtId="0" fontId="32" fillId="5" borderId="24" xfId="2" applyFont="1" applyFill="1" applyBorder="1" applyAlignment="1" applyProtection="1">
      <alignment horizontal="center" vertical="center"/>
      <protection hidden="1"/>
    </xf>
    <xf numFmtId="2" fontId="15" fillId="0" borderId="19" xfId="2" applyNumberFormat="1" applyFont="1" applyBorder="1" applyAlignment="1" applyProtection="1">
      <alignment horizontal="center"/>
      <protection hidden="1"/>
    </xf>
    <xf numFmtId="2" fontId="15" fillId="0" borderId="20" xfId="2" applyNumberFormat="1" applyFont="1" applyBorder="1" applyAlignment="1" applyProtection="1">
      <alignment horizontal="center"/>
      <protection hidden="1"/>
    </xf>
    <xf numFmtId="2" fontId="15" fillId="0" borderId="0" xfId="2" applyNumberFormat="1" applyFont="1" applyAlignment="1" applyProtection="1">
      <alignment horizontal="center"/>
      <protection hidden="1"/>
    </xf>
    <xf numFmtId="0" fontId="2" fillId="6" borderId="24" xfId="2" applyFont="1" applyFill="1" applyBorder="1" applyAlignment="1">
      <alignment vertical="center"/>
    </xf>
    <xf numFmtId="0" fontId="2" fillId="6" borderId="24" xfId="2" applyFont="1" applyFill="1" applyBorder="1" applyAlignment="1">
      <alignment horizontal="center" vertical="center"/>
    </xf>
    <xf numFmtId="0" fontId="0" fillId="7" borderId="74" xfId="0" applyFill="1" applyBorder="1" applyAlignment="1">
      <alignment horizontal="center" vertical="center"/>
    </xf>
    <xf numFmtId="175" fontId="2" fillId="0" borderId="0" xfId="0" applyNumberFormat="1" applyFont="1" applyAlignment="1">
      <alignment horizontal="center" vertical="center"/>
    </xf>
    <xf numFmtId="0" fontId="2" fillId="0" borderId="22" xfId="0" applyFont="1" applyBorder="1" applyAlignment="1">
      <alignment horizontal="center" vertical="center"/>
    </xf>
    <xf numFmtId="182" fontId="2" fillId="0" borderId="0" xfId="0" applyNumberFormat="1" applyFont="1" applyAlignment="1">
      <alignment horizontal="center"/>
    </xf>
    <xf numFmtId="14" fontId="2" fillId="0" borderId="0" xfId="0" applyNumberFormat="1" applyFont="1" applyAlignment="1">
      <alignment horizontal="center"/>
    </xf>
    <xf numFmtId="0" fontId="0" fillId="0" borderId="64" xfId="0" applyBorder="1" applyAlignment="1">
      <alignment horizontal="center"/>
    </xf>
    <xf numFmtId="0" fontId="0" fillId="0" borderId="2" xfId="0" applyBorder="1" applyAlignment="1">
      <alignment horizontal="center"/>
    </xf>
    <xf numFmtId="0" fontId="2" fillId="10" borderId="2" xfId="2" applyFont="1" applyFill="1" applyBorder="1" applyAlignment="1" applyProtection="1">
      <alignment horizontal="left"/>
      <protection hidden="1"/>
    </xf>
    <xf numFmtId="0" fontId="2" fillId="10" borderId="26" xfId="2" applyFont="1" applyFill="1" applyBorder="1" applyAlignment="1" applyProtection="1">
      <alignment horizontal="left"/>
      <protection hidden="1"/>
    </xf>
    <xf numFmtId="0" fontId="2" fillId="0" borderId="2" xfId="0" applyFont="1" applyBorder="1" applyAlignment="1">
      <alignment horizontal="center"/>
    </xf>
    <xf numFmtId="1" fontId="2" fillId="0" borderId="2" xfId="0" applyNumberFormat="1" applyFont="1" applyBorder="1" applyAlignment="1">
      <alignment horizontal="center"/>
    </xf>
    <xf numFmtId="0" fontId="2" fillId="0" borderId="2" xfId="0" applyFont="1" applyBorder="1" applyAlignment="1">
      <alignment horizontal="center" vertical="center"/>
    </xf>
    <xf numFmtId="175" fontId="2" fillId="0" borderId="2" xfId="0" applyNumberFormat="1" applyFont="1" applyBorder="1" applyAlignment="1">
      <alignment horizontal="center" vertical="center"/>
    </xf>
    <xf numFmtId="175" fontId="2" fillId="0" borderId="2" xfId="0" applyNumberFormat="1" applyFont="1" applyBorder="1" applyAlignment="1">
      <alignment horizontal="right" vertical="center"/>
    </xf>
    <xf numFmtId="0" fontId="0" fillId="0" borderId="20" xfId="0" applyBorder="1" applyAlignment="1">
      <alignment horizontal="center"/>
    </xf>
    <xf numFmtId="0" fontId="0" fillId="0" borderId="0" xfId="0" applyAlignment="1">
      <alignment horizontal="left" vertical="top"/>
    </xf>
    <xf numFmtId="0" fontId="0" fillId="3" borderId="4" xfId="0" applyFill="1" applyBorder="1" applyAlignment="1">
      <alignment horizontal="center"/>
    </xf>
    <xf numFmtId="0" fontId="51" fillId="11" borderId="67" xfId="0" applyFont="1" applyFill="1" applyBorder="1" applyAlignment="1" applyProtection="1">
      <alignment horizontal="center" vertical="center"/>
      <protection hidden="1"/>
    </xf>
    <xf numFmtId="0" fontId="0" fillId="34" borderId="2" xfId="0" applyFill="1" applyBorder="1" applyAlignment="1">
      <alignment vertical="center"/>
    </xf>
    <xf numFmtId="1" fontId="30" fillId="14" borderId="0" xfId="2" applyNumberFormat="1" applyFont="1" applyFill="1" applyAlignment="1">
      <alignment horizontal="center"/>
    </xf>
    <xf numFmtId="0" fontId="35" fillId="4" borderId="34" xfId="2" applyFont="1" applyFill="1" applyBorder="1" applyAlignment="1" applyProtection="1">
      <alignment horizontal="right" vertical="center"/>
      <protection locked="0"/>
    </xf>
    <xf numFmtId="0" fontId="35" fillId="30" borderId="14" xfId="2" applyFont="1" applyFill="1" applyBorder="1" applyAlignment="1" applyProtection="1">
      <alignment horizontal="left" vertical="center"/>
      <protection locked="0"/>
    </xf>
    <xf numFmtId="0" fontId="49" fillId="0" borderId="0" xfId="2" applyFont="1" applyProtection="1">
      <protection hidden="1"/>
    </xf>
    <xf numFmtId="0" fontId="17" fillId="5" borderId="31" xfId="2" applyFont="1" applyFill="1" applyBorder="1" applyAlignment="1">
      <alignment horizontal="center" vertical="center"/>
    </xf>
    <xf numFmtId="0" fontId="17" fillId="5" borderId="32" xfId="2" applyFont="1" applyFill="1" applyBorder="1" applyAlignment="1">
      <alignment horizontal="center" vertical="center"/>
    </xf>
    <xf numFmtId="0" fontId="17" fillId="5" borderId="21" xfId="2" applyFont="1" applyFill="1" applyBorder="1" applyAlignment="1">
      <alignment horizontal="center" vertical="center"/>
    </xf>
    <xf numFmtId="0" fontId="17" fillId="5" borderId="23" xfId="2" applyFont="1" applyFill="1" applyBorder="1" applyAlignment="1">
      <alignment horizontal="center" vertical="center"/>
    </xf>
    <xf numFmtId="0" fontId="2" fillId="4" borderId="2" xfId="2" applyFont="1" applyFill="1" applyBorder="1" applyAlignment="1" applyProtection="1">
      <alignment horizontal="center"/>
      <protection locked="0"/>
    </xf>
    <xf numFmtId="0" fontId="2" fillId="4" borderId="8" xfId="2" applyFont="1" applyFill="1" applyBorder="1" applyAlignment="1" applyProtection="1">
      <alignment horizontal="center"/>
      <protection locked="0"/>
    </xf>
    <xf numFmtId="177" fontId="33" fillId="5" borderId="34" xfId="2" applyNumberFormat="1" applyFont="1" applyFill="1" applyBorder="1" applyAlignment="1" applyProtection="1">
      <alignment horizontal="center"/>
      <protection hidden="1"/>
    </xf>
    <xf numFmtId="177" fontId="33" fillId="5" borderId="14" xfId="2" applyNumberFormat="1" applyFont="1" applyFill="1" applyBorder="1" applyAlignment="1" applyProtection="1">
      <alignment horizontal="center"/>
      <protection hidden="1"/>
    </xf>
    <xf numFmtId="176" fontId="33" fillId="5" borderId="34" xfId="2" applyNumberFormat="1" applyFont="1" applyFill="1" applyBorder="1" applyAlignment="1" applyProtection="1">
      <alignment horizontal="center"/>
      <protection hidden="1"/>
    </xf>
    <xf numFmtId="176" fontId="33" fillId="5" borderId="14" xfId="2" applyNumberFormat="1" applyFont="1" applyFill="1" applyBorder="1" applyAlignment="1" applyProtection="1">
      <alignment horizontal="center"/>
      <protection hidden="1"/>
    </xf>
    <xf numFmtId="177" fontId="2" fillId="4" borderId="2" xfId="2" applyNumberFormat="1" applyFont="1" applyFill="1" applyBorder="1" applyAlignment="1" applyProtection="1">
      <alignment horizontal="center"/>
      <protection locked="0"/>
    </xf>
    <xf numFmtId="165" fontId="2" fillId="5" borderId="34" xfId="2" applyNumberFormat="1" applyFont="1" applyFill="1" applyBorder="1" applyAlignment="1">
      <alignment horizontal="center"/>
    </xf>
    <xf numFmtId="165" fontId="2" fillId="5" borderId="14" xfId="2" applyNumberFormat="1" applyFont="1" applyFill="1" applyBorder="1" applyAlignment="1">
      <alignment horizontal="center"/>
    </xf>
    <xf numFmtId="178" fontId="33" fillId="5" borderId="34" xfId="2" applyNumberFormat="1" applyFont="1" applyFill="1" applyBorder="1" applyAlignment="1">
      <alignment horizontal="center"/>
    </xf>
    <xf numFmtId="178" fontId="33" fillId="5" borderId="14" xfId="2" applyNumberFormat="1" applyFont="1" applyFill="1" applyBorder="1" applyAlignment="1">
      <alignment horizontal="center"/>
    </xf>
    <xf numFmtId="0" fontId="15" fillId="0" borderId="0" xfId="2" applyFont="1" applyAlignment="1" applyProtection="1">
      <alignment horizontal="center"/>
      <protection hidden="1"/>
    </xf>
    <xf numFmtId="0" fontId="30" fillId="6" borderId="34" xfId="2" applyFont="1" applyFill="1" applyBorder="1" applyAlignment="1" applyProtection="1">
      <alignment horizontal="center"/>
      <protection hidden="1"/>
    </xf>
    <xf numFmtId="0" fontId="30" fillId="6" borderId="14" xfId="2" applyFont="1" applyFill="1" applyBorder="1" applyAlignment="1" applyProtection="1">
      <alignment horizontal="center"/>
      <protection hidden="1"/>
    </xf>
    <xf numFmtId="0" fontId="2" fillId="10" borderId="2" xfId="2" applyFont="1" applyFill="1" applyBorder="1" applyAlignment="1" applyProtection="1">
      <alignment horizontal="center"/>
      <protection hidden="1"/>
    </xf>
    <xf numFmtId="0" fontId="33" fillId="6" borderId="2" xfId="2" applyFont="1" applyFill="1" applyBorder="1" applyAlignment="1">
      <alignment horizontal="center"/>
    </xf>
    <xf numFmtId="165" fontId="33" fillId="5" borderId="2" xfId="2" applyNumberFormat="1" applyFont="1" applyFill="1" applyBorder="1" applyAlignment="1">
      <alignment horizontal="center"/>
    </xf>
    <xf numFmtId="20" fontId="2" fillId="4" borderId="34" xfId="2" applyNumberFormat="1" applyFont="1" applyFill="1" applyBorder="1" applyAlignment="1" applyProtection="1">
      <alignment horizontal="center"/>
      <protection locked="0"/>
    </xf>
    <xf numFmtId="20" fontId="2" fillId="4" borderId="82" xfId="2" applyNumberFormat="1" applyFont="1" applyFill="1" applyBorder="1" applyAlignment="1" applyProtection="1">
      <alignment horizontal="center"/>
      <protection locked="0"/>
    </xf>
    <xf numFmtId="0" fontId="45" fillId="0" borderId="83" xfId="2" applyFont="1" applyBorder="1" applyAlignment="1">
      <alignment horizontal="center"/>
    </xf>
    <xf numFmtId="177" fontId="2" fillId="4" borderId="34" xfId="2" applyNumberFormat="1" applyFont="1" applyFill="1" applyBorder="1" applyAlignment="1" applyProtection="1">
      <alignment horizontal="center"/>
      <protection locked="0"/>
    </xf>
    <xf numFmtId="177" fontId="2" fillId="4" borderId="14" xfId="2" applyNumberFormat="1" applyFont="1" applyFill="1" applyBorder="1" applyAlignment="1" applyProtection="1">
      <alignment horizontal="center"/>
      <protection locked="0"/>
    </xf>
    <xf numFmtId="0" fontId="2" fillId="4" borderId="21" xfId="2" applyFont="1" applyFill="1" applyBorder="1" applyAlignment="1" applyProtection="1">
      <alignment horizontal="center"/>
      <protection locked="0"/>
    </xf>
    <xf numFmtId="0" fontId="2" fillId="4" borderId="84" xfId="2" applyFont="1" applyFill="1" applyBorder="1" applyAlignment="1" applyProtection="1">
      <alignment horizontal="center"/>
      <protection locked="0"/>
    </xf>
    <xf numFmtId="0" fontId="3" fillId="19" borderId="0" xfId="2" applyFont="1" applyFill="1" applyAlignment="1">
      <alignment horizontal="center"/>
    </xf>
    <xf numFmtId="0" fontId="2" fillId="0" borderId="0" xfId="2" applyFont="1" applyAlignment="1" applyProtection="1">
      <alignment horizontal="center"/>
      <protection hidden="1"/>
    </xf>
    <xf numFmtId="178" fontId="33" fillId="5" borderId="2" xfId="2" applyNumberFormat="1" applyFont="1" applyFill="1" applyBorder="1" applyAlignment="1">
      <alignment horizontal="center"/>
    </xf>
    <xf numFmtId="0" fontId="2" fillId="10" borderId="80" xfId="2" applyFont="1" applyFill="1" applyBorder="1" applyAlignment="1" applyProtection="1">
      <alignment horizontal="center"/>
      <protection hidden="1"/>
    </xf>
    <xf numFmtId="0" fontId="2" fillId="10" borderId="81" xfId="2" applyFont="1" applyFill="1" applyBorder="1" applyAlignment="1" applyProtection="1">
      <alignment horizontal="center"/>
      <protection hidden="1"/>
    </xf>
    <xf numFmtId="0" fontId="2" fillId="4" borderId="34" xfId="2" applyFont="1" applyFill="1" applyBorder="1" applyAlignment="1" applyProtection="1">
      <alignment horizontal="center"/>
      <protection locked="0"/>
    </xf>
    <xf numFmtId="0" fontId="2" fillId="4" borderId="82" xfId="2" applyFont="1" applyFill="1" applyBorder="1" applyAlignment="1" applyProtection="1">
      <alignment horizontal="center"/>
      <protection locked="0"/>
    </xf>
    <xf numFmtId="0" fontId="2" fillId="10" borderId="34" xfId="2" applyFont="1" applyFill="1" applyBorder="1" applyAlignment="1" applyProtection="1">
      <alignment horizontal="center"/>
      <protection hidden="1"/>
    </xf>
    <xf numFmtId="0" fontId="2" fillId="10" borderId="14" xfId="2" applyFont="1" applyFill="1" applyBorder="1" applyAlignment="1" applyProtection="1">
      <alignment horizontal="center"/>
      <protection hidden="1"/>
    </xf>
    <xf numFmtId="176" fontId="33" fillId="5" borderId="34" xfId="2" applyNumberFormat="1" applyFont="1" applyFill="1" applyBorder="1" applyAlignment="1">
      <alignment horizontal="center"/>
    </xf>
    <xf numFmtId="176" fontId="33" fillId="5" borderId="14" xfId="2" applyNumberFormat="1" applyFont="1" applyFill="1" applyBorder="1" applyAlignment="1">
      <alignment horizontal="center"/>
    </xf>
    <xf numFmtId="178" fontId="34" fillId="5" borderId="34" xfId="2" applyNumberFormat="1" applyFont="1" applyFill="1" applyBorder="1" applyAlignment="1">
      <alignment horizontal="center"/>
    </xf>
    <xf numFmtId="178" fontId="34" fillId="5" borderId="14" xfId="2" applyNumberFormat="1" applyFont="1" applyFill="1" applyBorder="1" applyAlignment="1">
      <alignment horizontal="center"/>
    </xf>
    <xf numFmtId="0" fontId="33" fillId="6" borderId="34" xfId="2" applyFont="1" applyFill="1" applyBorder="1" applyAlignment="1">
      <alignment horizontal="center"/>
    </xf>
    <xf numFmtId="0" fontId="33" fillId="6" borderId="14" xfId="2" applyFont="1" applyFill="1" applyBorder="1" applyAlignment="1">
      <alignment horizontal="center"/>
    </xf>
    <xf numFmtId="0" fontId="45" fillId="0" borderId="0" xfId="2" applyFont="1" applyAlignment="1">
      <alignment horizontal="center"/>
    </xf>
    <xf numFmtId="0" fontId="2" fillId="6" borderId="2" xfId="2" applyFont="1" applyFill="1" applyBorder="1" applyAlignment="1" applyProtection="1">
      <alignment horizontal="center"/>
      <protection hidden="1"/>
    </xf>
    <xf numFmtId="0" fontId="2" fillId="10" borderId="75" xfId="2" applyFont="1" applyFill="1" applyBorder="1" applyAlignment="1" applyProtection="1">
      <alignment horizontal="center"/>
      <protection hidden="1"/>
    </xf>
    <xf numFmtId="0" fontId="2" fillId="10" borderId="76" xfId="2" applyFont="1" applyFill="1" applyBorder="1" applyAlignment="1" applyProtection="1">
      <alignment horizontal="center"/>
      <protection hidden="1"/>
    </xf>
    <xf numFmtId="0" fontId="45" fillId="4" borderId="25" xfId="2" applyFont="1" applyFill="1" applyBorder="1" applyAlignment="1" applyProtection="1">
      <alignment horizontal="center"/>
      <protection locked="0"/>
    </xf>
    <xf numFmtId="0" fontId="45" fillId="4" borderId="77" xfId="2" applyFont="1" applyFill="1" applyBorder="1" applyAlignment="1" applyProtection="1">
      <alignment horizontal="center"/>
      <protection locked="0"/>
    </xf>
    <xf numFmtId="165" fontId="33" fillId="5" borderId="34" xfId="2" applyNumberFormat="1" applyFont="1" applyFill="1" applyBorder="1" applyAlignment="1">
      <alignment horizontal="center"/>
    </xf>
    <xf numFmtId="165" fontId="33" fillId="5" borderId="14" xfId="2" applyNumberFormat="1" applyFont="1" applyFill="1" applyBorder="1" applyAlignment="1">
      <alignment horizontal="center"/>
    </xf>
    <xf numFmtId="0" fontId="2" fillId="10" borderId="78" xfId="2" applyFont="1" applyFill="1" applyBorder="1" applyAlignment="1" applyProtection="1">
      <alignment horizontal="center"/>
      <protection hidden="1"/>
    </xf>
    <xf numFmtId="0" fontId="2" fillId="10" borderId="79" xfId="2" applyFont="1" applyFill="1" applyBorder="1" applyAlignment="1" applyProtection="1">
      <alignment horizontal="center"/>
      <protection hidden="1"/>
    </xf>
    <xf numFmtId="0" fontId="2" fillId="0" borderId="0" xfId="2" applyFont="1" applyAlignment="1">
      <alignment horizontal="center"/>
    </xf>
    <xf numFmtId="0" fontId="35" fillId="4" borderId="25" xfId="2" applyFont="1" applyFill="1" applyBorder="1" applyAlignment="1" applyProtection="1">
      <alignment horizontal="center" vertical="center"/>
      <protection locked="0"/>
    </xf>
    <xf numFmtId="0" fontId="35" fillId="4" borderId="2" xfId="2" applyFont="1" applyFill="1" applyBorder="1" applyAlignment="1" applyProtection="1">
      <alignment horizontal="center" vertical="center"/>
      <protection locked="0"/>
    </xf>
    <xf numFmtId="0" fontId="35" fillId="13" borderId="2" xfId="0" applyFont="1" applyFill="1" applyBorder="1" applyAlignment="1">
      <alignment horizontal="center"/>
    </xf>
    <xf numFmtId="0" fontId="45" fillId="0" borderId="0" xfId="0" applyFont="1" applyAlignment="1">
      <alignment horizontal="center" vertical="center"/>
    </xf>
    <xf numFmtId="0" fontId="3" fillId="20" borderId="0" xfId="0" applyFont="1" applyFill="1" applyAlignment="1">
      <alignment horizontal="center"/>
    </xf>
    <xf numFmtId="0" fontId="2" fillId="12" borderId="15" xfId="0" applyFont="1" applyFill="1" applyBorder="1" applyAlignment="1" applyProtection="1">
      <alignment horizontal="center"/>
      <protection hidden="1"/>
    </xf>
    <xf numFmtId="0" fontId="35" fillId="13" borderId="15" xfId="0" applyFont="1" applyFill="1" applyBorder="1" applyAlignment="1">
      <alignment horizontal="center"/>
    </xf>
    <xf numFmtId="0" fontId="35" fillId="13" borderId="46" xfId="0" applyFont="1" applyFill="1" applyBorder="1" applyAlignment="1">
      <alignment horizontal="center"/>
    </xf>
    <xf numFmtId="0" fontId="2" fillId="0" borderId="0" xfId="0" applyFont="1" applyAlignment="1">
      <alignment horizontal="center" vertical="center"/>
    </xf>
    <xf numFmtId="0" fontId="2" fillId="0" borderId="0" xfId="0" applyFont="1" applyAlignment="1" applyProtection="1">
      <alignment horizontal="center"/>
      <protection hidden="1"/>
    </xf>
    <xf numFmtId="0" fontId="2" fillId="4" borderId="34" xfId="2" applyFont="1" applyFill="1" applyBorder="1" applyAlignment="1" applyProtection="1">
      <alignment horizontal="center" vertical="center"/>
      <protection locked="0"/>
    </xf>
    <xf numFmtId="0" fontId="2" fillId="4" borderId="14" xfId="2" applyFont="1" applyFill="1" applyBorder="1" applyAlignment="1" applyProtection="1">
      <alignment horizontal="center" vertical="center"/>
      <protection locked="0"/>
    </xf>
    <xf numFmtId="0" fontId="14" fillId="8" borderId="98" xfId="0" applyFont="1" applyFill="1" applyBorder="1" applyAlignment="1" applyProtection="1">
      <alignment horizontal="center" vertical="center"/>
      <protection hidden="1"/>
    </xf>
    <xf numFmtId="0" fontId="14" fillId="8" borderId="43" xfId="0" applyFont="1" applyFill="1" applyBorder="1" applyAlignment="1" applyProtection="1">
      <alignment horizontal="center" vertical="center"/>
      <protection hidden="1"/>
    </xf>
    <xf numFmtId="0" fontId="2" fillId="10" borderId="2" xfId="2" applyFont="1" applyFill="1" applyBorder="1" applyAlignment="1" applyProtection="1">
      <alignment horizontal="center" vertical="center"/>
      <protection hidden="1"/>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32" xfId="0" applyBorder="1" applyAlignment="1">
      <alignment horizontal="center" vertical="center"/>
    </xf>
    <xf numFmtId="0" fontId="2" fillId="4" borderId="2" xfId="2" applyFont="1" applyFill="1" applyBorder="1" applyAlignment="1" applyProtection="1">
      <alignment horizontal="center" vertical="center"/>
      <protection locked="0"/>
    </xf>
    <xf numFmtId="0" fontId="2" fillId="12" borderId="66" xfId="0" applyFont="1" applyFill="1" applyBorder="1" applyAlignment="1" applyProtection="1">
      <alignment horizontal="center"/>
      <protection hidden="1"/>
    </xf>
    <xf numFmtId="0" fontId="2" fillId="12" borderId="93" xfId="0" applyFont="1" applyFill="1" applyBorder="1" applyAlignment="1" applyProtection="1">
      <alignment horizontal="center"/>
      <protection hidden="1"/>
    </xf>
    <xf numFmtId="0" fontId="11" fillId="8" borderId="94" xfId="0" applyFont="1" applyFill="1" applyBorder="1" applyAlignment="1" applyProtection="1">
      <alignment horizontal="center" vertical="center"/>
      <protection hidden="1"/>
    </xf>
    <xf numFmtId="0" fontId="11" fillId="8" borderId="68" xfId="0" applyFont="1" applyFill="1" applyBorder="1" applyAlignment="1" applyProtection="1">
      <alignment horizontal="center" vertical="center"/>
      <protection hidden="1"/>
    </xf>
    <xf numFmtId="0" fontId="12" fillId="8" borderId="95" xfId="0" applyFont="1" applyFill="1" applyBorder="1" applyAlignment="1" applyProtection="1">
      <alignment horizontal="center" vertical="center"/>
      <protection hidden="1"/>
    </xf>
    <xf numFmtId="0" fontId="12" fillId="8" borderId="16" xfId="0" applyFont="1" applyFill="1" applyBorder="1" applyAlignment="1" applyProtection="1">
      <alignment horizontal="center" vertical="center"/>
      <protection hidden="1"/>
    </xf>
    <xf numFmtId="0" fontId="11" fillId="8" borderId="96" xfId="0" applyFont="1" applyFill="1" applyBorder="1" applyAlignment="1" applyProtection="1">
      <alignment horizontal="center" vertical="center"/>
      <protection hidden="1"/>
    </xf>
    <xf numFmtId="0" fontId="11" fillId="8" borderId="15" xfId="0" applyFont="1" applyFill="1" applyBorder="1" applyAlignment="1" applyProtection="1">
      <alignment horizontal="center" vertical="center"/>
      <protection hidden="1"/>
    </xf>
    <xf numFmtId="0" fontId="41" fillId="8" borderId="97" xfId="0" applyFont="1" applyFill="1" applyBorder="1" applyAlignment="1" applyProtection="1">
      <alignment horizontal="center" vertical="center"/>
      <protection hidden="1"/>
    </xf>
    <xf numFmtId="0" fontId="41" fillId="8" borderId="89" xfId="0" applyFont="1" applyFill="1" applyBorder="1" applyAlignment="1" applyProtection="1">
      <alignment horizontal="center" vertical="center"/>
      <protection hidden="1"/>
    </xf>
    <xf numFmtId="0" fontId="2" fillId="13" borderId="90" xfId="0" applyFont="1" applyFill="1" applyBorder="1" applyAlignment="1" applyProtection="1">
      <alignment horizontal="center" vertical="center"/>
      <protection locked="0"/>
    </xf>
    <xf numFmtId="0" fontId="2" fillId="13" borderId="91" xfId="0" applyFont="1" applyFill="1" applyBorder="1" applyAlignment="1" applyProtection="1">
      <alignment horizontal="center" vertical="center"/>
      <protection locked="0"/>
    </xf>
    <xf numFmtId="164" fontId="2" fillId="13" borderId="103" xfId="0" applyNumberFormat="1" applyFont="1" applyFill="1" applyBorder="1" applyAlignment="1">
      <alignment horizontal="center" vertical="center"/>
    </xf>
    <xf numFmtId="168" fontId="2" fillId="13" borderId="15" xfId="0" applyNumberFormat="1" applyFont="1" applyFill="1" applyBorder="1" applyAlignment="1" applyProtection="1">
      <alignment horizontal="center" vertical="center"/>
      <protection locked="0"/>
    </xf>
    <xf numFmtId="167" fontId="2" fillId="13" borderId="15" xfId="0" applyNumberFormat="1" applyFont="1" applyFill="1" applyBorder="1" applyAlignment="1" applyProtection="1">
      <alignment horizontal="center" vertical="center"/>
      <protection locked="0"/>
    </xf>
    <xf numFmtId="0" fontId="2" fillId="13" borderId="92" xfId="0" applyFont="1" applyFill="1" applyBorder="1" applyAlignment="1">
      <alignment horizontal="center"/>
    </xf>
    <xf numFmtId="0" fontId="2" fillId="13" borderId="91" xfId="0" applyFont="1" applyFill="1" applyBorder="1" applyAlignment="1">
      <alignment horizontal="center"/>
    </xf>
    <xf numFmtId="166" fontId="2" fillId="17" borderId="46" xfId="0" applyNumberFormat="1" applyFont="1" applyFill="1" applyBorder="1" applyAlignment="1">
      <alignment horizontal="center" vertical="center"/>
    </xf>
    <xf numFmtId="0" fontId="41" fillId="8" borderId="85" xfId="0" applyFont="1" applyFill="1" applyBorder="1" applyAlignment="1" applyProtection="1">
      <alignment horizontal="center" vertical="center"/>
      <protection hidden="1"/>
    </xf>
    <xf numFmtId="0" fontId="41" fillId="8" borderId="86" xfId="0" applyFont="1" applyFill="1" applyBorder="1" applyAlignment="1" applyProtection="1">
      <alignment horizontal="center" vertical="center"/>
      <protection hidden="1"/>
    </xf>
    <xf numFmtId="0" fontId="2" fillId="8" borderId="87" xfId="0" applyFont="1" applyFill="1" applyBorder="1" applyAlignment="1" applyProtection="1">
      <alignment horizontal="center" vertical="center"/>
      <protection hidden="1"/>
    </xf>
    <xf numFmtId="0" fontId="41" fillId="8" borderId="88" xfId="0" applyFont="1" applyFill="1" applyBorder="1" applyAlignment="1" applyProtection="1">
      <alignment horizontal="center" vertical="center"/>
      <protection hidden="1"/>
    </xf>
    <xf numFmtId="0" fontId="14" fillId="8" borderId="15" xfId="0" applyFont="1" applyFill="1" applyBorder="1" applyAlignment="1" applyProtection="1">
      <alignment horizontal="center" vertical="center"/>
      <protection hidden="1"/>
    </xf>
    <xf numFmtId="0" fontId="12" fillId="8" borderId="17" xfId="0" applyFont="1" applyFill="1" applyBorder="1" applyAlignment="1" applyProtection="1">
      <alignment horizontal="center" vertical="center"/>
      <protection hidden="1"/>
    </xf>
    <xf numFmtId="0" fontId="0" fillId="0" borderId="33" xfId="0" applyBorder="1" applyAlignment="1">
      <alignment horizontal="center"/>
    </xf>
    <xf numFmtId="0" fontId="0" fillId="0" borderId="0" xfId="0" applyAlignment="1">
      <alignment horizontal="center"/>
    </xf>
    <xf numFmtId="0" fontId="0" fillId="0" borderId="0" xfId="0" applyAlignment="1" applyProtection="1">
      <alignment horizontal="center"/>
      <protection locked="0"/>
    </xf>
    <xf numFmtId="0" fontId="0" fillId="28" borderId="31" xfId="0" applyFill="1" applyBorder="1" applyAlignment="1">
      <alignment horizontal="center"/>
    </xf>
    <xf numFmtId="0" fontId="0" fillId="28" borderId="32" xfId="0" applyFill="1" applyBorder="1" applyAlignment="1">
      <alignment horizontal="center"/>
    </xf>
    <xf numFmtId="0" fontId="0" fillId="4" borderId="19" xfId="0" applyFill="1" applyBorder="1" applyAlignment="1" applyProtection="1">
      <alignment horizontal="center"/>
      <protection locked="0"/>
    </xf>
    <xf numFmtId="0" fontId="0" fillId="4" borderId="20" xfId="0" applyFill="1" applyBorder="1" applyAlignment="1" applyProtection="1">
      <alignment horizontal="center"/>
      <protection locked="0"/>
    </xf>
    <xf numFmtId="0" fontId="0" fillId="30" borderId="19" xfId="0" applyFill="1" applyBorder="1" applyAlignment="1">
      <alignment horizontal="center"/>
    </xf>
    <xf numFmtId="0" fontId="0" fillId="30" borderId="20" xfId="0" applyFill="1" applyBorder="1" applyAlignment="1">
      <alignment horizontal="center"/>
    </xf>
    <xf numFmtId="0" fontId="0" fillId="30" borderId="21" xfId="0" applyFill="1" applyBorder="1" applyAlignment="1" applyProtection="1">
      <alignment horizontal="center"/>
      <protection locked="0"/>
    </xf>
    <xf numFmtId="0" fontId="0" fillId="30" borderId="23" xfId="0" applyFill="1" applyBorder="1" applyAlignment="1" applyProtection="1">
      <alignment horizontal="center"/>
      <protection locked="0"/>
    </xf>
    <xf numFmtId="0" fontId="0" fillId="30" borderId="19" xfId="0" applyFill="1" applyBorder="1" applyAlignment="1" applyProtection="1">
      <alignment horizontal="center"/>
      <protection locked="0"/>
    </xf>
    <xf numFmtId="0" fontId="0" fillId="30" borderId="20" xfId="0" applyFill="1" applyBorder="1" applyAlignment="1" applyProtection="1">
      <alignment horizontal="center"/>
      <protection locked="0"/>
    </xf>
    <xf numFmtId="0" fontId="0" fillId="4" borderId="0" xfId="0" applyFill="1" applyAlignment="1" applyProtection="1">
      <alignment horizontal="center"/>
      <protection locked="0"/>
    </xf>
    <xf numFmtId="0" fontId="0" fillId="0" borderId="33" xfId="0" applyBorder="1" applyAlignment="1" applyProtection="1">
      <alignment horizontal="center"/>
      <protection locked="0"/>
    </xf>
    <xf numFmtId="0" fontId="0" fillId="30" borderId="21" xfId="0" applyFill="1" applyBorder="1" applyAlignment="1">
      <alignment horizontal="center"/>
    </xf>
    <xf numFmtId="0" fontId="0" fillId="30" borderId="23" xfId="0" applyFill="1" applyBorder="1" applyAlignment="1">
      <alignment horizontal="center"/>
    </xf>
    <xf numFmtId="2" fontId="0" fillId="22" borderId="53" xfId="0" applyNumberFormat="1" applyFill="1" applyBorder="1" applyAlignment="1">
      <alignment horizontal="center"/>
    </xf>
    <xf numFmtId="2" fontId="0" fillId="22" borderId="65" xfId="0" applyNumberFormat="1" applyFill="1" applyBorder="1" applyAlignment="1">
      <alignment horizontal="center"/>
    </xf>
    <xf numFmtId="2" fontId="0" fillId="22" borderId="11" xfId="0" applyNumberFormat="1" applyFill="1" applyBorder="1" applyAlignment="1">
      <alignment horizontal="center"/>
    </xf>
    <xf numFmtId="2" fontId="0" fillId="22" borderId="54" xfId="0" applyNumberFormat="1" applyFill="1" applyBorder="1" applyAlignment="1">
      <alignment horizontal="center"/>
    </xf>
    <xf numFmtId="0" fontId="0" fillId="22" borderId="99" xfId="0" applyFill="1" applyBorder="1" applyAlignment="1">
      <alignment horizontal="center"/>
    </xf>
    <xf numFmtId="0" fontId="0" fillId="22" borderId="100" xfId="0" applyFill="1" applyBorder="1" applyAlignment="1">
      <alignment horizontal="center"/>
    </xf>
    <xf numFmtId="0" fontId="0" fillId="22" borderId="101" xfId="0" applyFill="1" applyBorder="1" applyAlignment="1">
      <alignment horizontal="center"/>
    </xf>
    <xf numFmtId="2" fontId="0" fillId="22" borderId="52" xfId="0" applyNumberFormat="1" applyFill="1" applyBorder="1" applyAlignment="1">
      <alignment horizontal="center"/>
    </xf>
    <xf numFmtId="194" fontId="2" fillId="13" borderId="46" xfId="0" applyNumberFormat="1" applyFont="1" applyFill="1" applyBorder="1" applyAlignment="1">
      <alignment horizontal="center" vertical="center"/>
    </xf>
    <xf numFmtId="195" fontId="2" fillId="17" borderId="15" xfId="0" applyNumberFormat="1" applyFont="1" applyFill="1" applyBorder="1" applyAlignment="1">
      <alignment horizontal="center" vertical="center"/>
    </xf>
    <xf numFmtId="0" fontId="2" fillId="13" borderId="15" xfId="0" applyFont="1" applyFill="1" applyBorder="1" applyAlignment="1">
      <alignment horizontal="center" vertical="center"/>
    </xf>
    <xf numFmtId="0" fontId="2" fillId="13" borderId="46" xfId="0" applyFont="1" applyFill="1" applyBorder="1" applyAlignment="1">
      <alignment horizontal="center" vertical="center"/>
    </xf>
    <xf numFmtId="0" fontId="35" fillId="13" borderId="18" xfId="0" applyFont="1" applyFill="1" applyBorder="1" applyAlignment="1">
      <alignment horizontal="center"/>
    </xf>
    <xf numFmtId="0" fontId="35" fillId="13" borderId="27" xfId="0" applyFont="1" applyFill="1" applyBorder="1" applyAlignment="1">
      <alignment horizontal="center"/>
    </xf>
    <xf numFmtId="0" fontId="2" fillId="0" borderId="21" xfId="0" applyFont="1" applyBorder="1" applyAlignment="1">
      <alignment horizontal="left"/>
    </xf>
    <xf numFmtId="0" fontId="2" fillId="0" borderId="22" xfId="0" applyFont="1" applyBorder="1" applyAlignment="1">
      <alignment horizontal="left"/>
    </xf>
    <xf numFmtId="0" fontId="2" fillId="0" borderId="31" xfId="0" applyFont="1" applyBorder="1" applyAlignment="1">
      <alignment horizontal="left"/>
    </xf>
    <xf numFmtId="0" fontId="2" fillId="0" borderId="33" xfId="0" applyFont="1" applyBorder="1" applyAlignment="1">
      <alignment horizontal="left"/>
    </xf>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165" fontId="2" fillId="0" borderId="0" xfId="0" applyNumberFormat="1" applyFont="1" applyAlignment="1">
      <alignment horizontal="center" vertical="center"/>
    </xf>
    <xf numFmtId="165" fontId="2" fillId="0" borderId="20" xfId="0" applyNumberFormat="1" applyFont="1" applyBorder="1" applyAlignment="1">
      <alignment horizontal="center" vertical="center"/>
    </xf>
    <xf numFmtId="165" fontId="2" fillId="0" borderId="12" xfId="0" applyNumberFormat="1" applyFont="1" applyBorder="1" applyAlignment="1">
      <alignment horizontal="center" vertical="center"/>
    </xf>
    <xf numFmtId="0" fontId="2" fillId="0" borderId="102" xfId="0" applyFont="1" applyBorder="1" applyAlignment="1">
      <alignment horizontal="center" vertical="center"/>
    </xf>
    <xf numFmtId="0" fontId="2" fillId="0" borderId="12" xfId="0" applyFont="1" applyBorder="1" applyAlignment="1">
      <alignment horizontal="center" vertical="center"/>
    </xf>
    <xf numFmtId="1" fontId="2" fillId="0" borderId="12" xfId="0" applyNumberFormat="1" applyFont="1" applyBorder="1" applyAlignment="1">
      <alignment horizontal="center" vertical="center"/>
    </xf>
    <xf numFmtId="0" fontId="2" fillId="0" borderId="20" xfId="0" applyFont="1" applyBorder="1" applyAlignment="1">
      <alignment horizontal="center" vertical="center"/>
    </xf>
    <xf numFmtId="175" fontId="2" fillId="0" borderId="22" xfId="0" applyNumberFormat="1" applyFont="1" applyBorder="1" applyAlignment="1">
      <alignment horizontal="center" vertical="center"/>
    </xf>
    <xf numFmtId="175" fontId="2" fillId="0" borderId="23" xfId="0" applyNumberFormat="1" applyFont="1" applyBorder="1" applyAlignment="1">
      <alignment horizontal="center" vertical="center"/>
    </xf>
  </cellXfs>
  <cellStyles count="3">
    <cellStyle name="Lien hypertexte" xfId="1" builtinId="8"/>
    <cellStyle name="Normal" xfId="0" builtinId="0"/>
    <cellStyle name="Normal 2" xfId="2" xr:uid="{00000000-0005-0000-0000-000002000000}"/>
  </cellStyles>
  <dxfs count="54">
    <dxf>
      <font>
        <color theme="0"/>
      </font>
    </dxf>
    <dxf>
      <font>
        <color theme="0"/>
      </font>
    </dxf>
    <dxf>
      <font>
        <color theme="0"/>
      </font>
    </dxf>
    <dxf>
      <fill>
        <patternFill patternType="solid">
          <fgColor indexed="42"/>
          <bgColor rgb="FFFFFFCC"/>
        </patternFill>
      </fill>
    </dxf>
    <dxf>
      <fill>
        <patternFill patternType="solid">
          <fgColor indexed="31"/>
          <bgColor indexed="22"/>
        </patternFill>
      </fill>
    </dxf>
    <dxf>
      <fill>
        <patternFill patternType="solid">
          <fgColor indexed="27"/>
          <bgColor rgb="FFFFCCFF"/>
        </patternFill>
      </fill>
    </dxf>
    <dxf>
      <font>
        <color rgb="FFFF0000"/>
      </font>
    </dxf>
    <dxf>
      <font>
        <color rgb="FF808080"/>
      </font>
    </dxf>
    <dxf>
      <fill>
        <patternFill>
          <bgColor indexed="10"/>
        </patternFill>
      </fill>
    </dxf>
    <dxf>
      <fill>
        <patternFill patternType="solid">
          <fgColor indexed="53"/>
          <bgColor rgb="FFFF0000"/>
        </patternFill>
      </fill>
    </dxf>
    <dxf>
      <fill>
        <patternFill patternType="solid">
          <fgColor indexed="60"/>
          <bgColor indexed="10"/>
        </patternFill>
      </fill>
    </dxf>
    <dxf>
      <fill>
        <patternFill>
          <bgColor rgb="FFFF0000"/>
        </patternFill>
      </fill>
    </dxf>
    <dxf>
      <font>
        <color rgb="FFCCFFFF"/>
      </font>
    </dxf>
    <dxf>
      <font>
        <color rgb="FFCC6600"/>
      </font>
    </dxf>
    <dxf>
      <font>
        <color rgb="FFCC6600"/>
      </font>
    </dxf>
    <dxf>
      <fill>
        <patternFill>
          <bgColor rgb="FFFF0000"/>
        </patternFill>
      </fill>
    </dxf>
    <dxf>
      <font>
        <color theme="0"/>
      </font>
      <fill>
        <patternFill patternType="none">
          <bgColor indexed="65"/>
        </patternFill>
      </fill>
      <border>
        <left/>
        <right/>
        <top/>
        <bottom/>
      </border>
    </dxf>
    <dxf>
      <font>
        <color theme="0"/>
      </font>
      <fill>
        <patternFill patternType="none">
          <bgColor indexed="65"/>
        </patternFill>
      </fill>
      <border>
        <left/>
        <right/>
        <bottom/>
      </border>
    </dxf>
    <dxf>
      <font>
        <color rgb="FF99CCFF"/>
      </font>
    </dxf>
    <dxf>
      <fill>
        <patternFill>
          <bgColor indexed="10"/>
        </patternFill>
      </fill>
    </dxf>
    <dxf>
      <font>
        <color theme="0"/>
      </font>
      <fill>
        <patternFill>
          <bgColor theme="0"/>
        </patternFill>
      </fill>
      <border>
        <right/>
        <top/>
        <bottom/>
      </border>
    </dxf>
    <dxf>
      <font>
        <color indexed="9"/>
      </font>
      <fill>
        <patternFill patternType="solid">
          <bgColor indexed="9"/>
        </patternFill>
      </fill>
      <border>
        <left/>
        <right/>
        <top/>
        <bottom/>
      </border>
    </dxf>
    <dxf>
      <font>
        <color theme="0"/>
      </font>
      <fill>
        <patternFill>
          <bgColor theme="0"/>
        </patternFill>
      </fill>
      <border>
        <left/>
        <right/>
        <top/>
        <bottom/>
      </border>
    </dxf>
    <dxf>
      <font>
        <color theme="0"/>
      </font>
      <fill>
        <patternFill patternType="solid">
          <bgColor theme="0"/>
        </patternFill>
      </fill>
      <border>
        <right/>
        <bottom/>
      </border>
    </dxf>
    <dxf>
      <fill>
        <patternFill patternType="solid">
          <fgColor indexed="60"/>
          <bgColor indexed="10"/>
        </patternFill>
      </fill>
    </dxf>
    <dxf>
      <font>
        <color rgb="FFFFFF99"/>
        <name val="Cambria"/>
        <scheme val="none"/>
      </font>
    </dxf>
    <dxf>
      <font>
        <color rgb="FF808080"/>
      </font>
    </dxf>
    <dxf>
      <font>
        <color theme="0"/>
      </font>
      <fill>
        <patternFill>
          <bgColor theme="0"/>
        </patternFill>
      </fill>
      <border>
        <left/>
        <right/>
        <bottom/>
      </border>
    </dxf>
    <dxf>
      <font>
        <color rgb="FFFF0000"/>
      </font>
    </dxf>
    <dxf>
      <font>
        <color indexed="9"/>
      </font>
      <fill>
        <patternFill>
          <bgColor indexed="9"/>
        </patternFill>
      </fill>
      <border>
        <left/>
        <right/>
        <top/>
        <bottom/>
      </border>
    </dxf>
    <dxf>
      <font>
        <condense val="0"/>
        <extend val="0"/>
        <color indexed="9"/>
      </font>
      <fill>
        <patternFill patternType="none">
          <bgColor indexed="65"/>
        </patternFill>
      </fill>
      <border>
        <left/>
        <right/>
        <top/>
        <bottom/>
      </border>
    </dxf>
    <dxf>
      <font>
        <condense val="0"/>
        <extend val="0"/>
        <color indexed="9"/>
      </font>
      <fill>
        <patternFill patternType="none">
          <bgColor indexed="65"/>
        </patternFill>
      </fill>
      <border>
        <left/>
        <right/>
        <top/>
        <bottom/>
      </border>
    </dxf>
    <dxf>
      <font>
        <color theme="0"/>
      </font>
    </dxf>
    <dxf>
      <font>
        <color rgb="FFFF0000"/>
      </font>
    </dxf>
    <dxf>
      <font>
        <color rgb="FFFF0000"/>
      </font>
    </dxf>
    <dxf>
      <font>
        <color rgb="FFFF0000"/>
      </font>
    </dxf>
    <dxf>
      <font>
        <condense val="0"/>
        <extend val="0"/>
        <color indexed="11"/>
      </font>
    </dxf>
    <dxf>
      <font>
        <color rgb="FFFF0000"/>
      </font>
    </dxf>
    <dxf>
      <font>
        <color rgb="FFFF0000"/>
      </font>
    </dxf>
    <dxf>
      <font>
        <color rgb="FFFF0000"/>
      </font>
    </dxf>
    <dxf>
      <font>
        <color rgb="FFFF0000"/>
      </font>
    </dxf>
    <dxf>
      <font>
        <color theme="1"/>
      </font>
    </dxf>
    <dxf>
      <font>
        <color rgb="FFFFFF99"/>
      </font>
    </dxf>
    <dxf>
      <font>
        <color rgb="FFCC6600"/>
      </font>
    </dxf>
    <dxf>
      <font>
        <color rgb="FFCC6600"/>
      </font>
    </dxf>
    <dxf>
      <font>
        <color rgb="FFCC6600"/>
      </font>
    </dxf>
    <dxf>
      <font>
        <color rgb="FFCC6600"/>
      </font>
    </dxf>
    <dxf>
      <font>
        <color rgb="FFCC6600"/>
      </font>
    </dxf>
    <dxf>
      <font>
        <color theme="1"/>
      </font>
    </dxf>
    <dxf>
      <font>
        <color rgb="FFCC6600"/>
      </font>
    </dxf>
    <dxf>
      <font>
        <color rgb="FFCC6600"/>
      </font>
    </dxf>
    <dxf>
      <font>
        <color rgb="FFFF0000"/>
      </font>
    </dxf>
    <dxf>
      <font>
        <color rgb="FFCC6600"/>
      </font>
    </dxf>
    <dxf>
      <font>
        <color theme="0"/>
      </font>
      <fill>
        <patternFill patternType="none">
          <bgColor indexed="65"/>
        </patternFill>
      </fill>
      <border>
        <left/>
        <right/>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3CAFF"/>
      <rgbColor rgb="00993366"/>
      <rgbColor rgb="00E6E6E6"/>
      <rgbColor rgb="00CCFFFF"/>
      <rgbColor rgb="00660066"/>
      <rgbColor rgb="00FF8080"/>
      <rgbColor rgb="000066CC"/>
      <rgbColor rgb="00CCCCCC"/>
      <rgbColor rgb="00000080"/>
      <rgbColor rgb="00FF00FF"/>
      <rgbColor rgb="00FFFF00"/>
      <rgbColor rgb="0000FFFF"/>
      <rgbColor rgb="00800080"/>
      <rgbColor rgb="00800000"/>
      <rgbColor rgb="00008080"/>
      <rgbColor rgb="000000FF"/>
      <rgbColor rgb="0000CCFF"/>
      <rgbColor rgb="00D9D9D9"/>
      <rgbColor rgb="00CCFFCC"/>
      <rgbColor rgb="00FFFF99"/>
      <rgbColor rgb="0099CCFF"/>
      <rgbColor rgb="00FF99CC"/>
      <rgbColor rgb="00CC99FF"/>
      <rgbColor rgb="00FFCC99"/>
      <rgbColor rgb="003366FF"/>
      <rgbColor rgb="0033CCCC"/>
      <rgbColor rgb="0099CC00"/>
      <rgbColor rgb="00FFD320"/>
      <rgbColor rgb="00FF9900"/>
      <rgbColor rgb="00FF6600"/>
      <rgbColor rgb="00666699"/>
      <rgbColor rgb="00B3B3B3"/>
      <rgbColor rgb="0000458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970566137003713E-2"/>
          <c:y val="6.4690026954178192E-2"/>
          <c:w val="0.84871001627006748"/>
          <c:h val="0.90566037735849303"/>
        </c:manualLayout>
      </c:layout>
      <c:scatterChart>
        <c:scatterStyle val="lineMarker"/>
        <c:varyColors val="0"/>
        <c:ser>
          <c:idx val="0"/>
          <c:order val="0"/>
          <c:tx>
            <c:v>fuselage</c:v>
          </c:tx>
          <c:spPr>
            <a:ln w="25400">
              <a:solidFill>
                <a:srgbClr val="000080"/>
              </a:solidFill>
              <a:prstDash val="solid"/>
            </a:ln>
          </c:spPr>
          <c:marker>
            <c:symbol val="none"/>
          </c:marker>
          <c:xVal>
            <c:numRef>
              <c:f>Stabilito!$D$124:$D$131</c:f>
              <c:numCache>
                <c:formatCode>0</c:formatCode>
                <c:ptCount val="8"/>
                <c:pt idx="0">
                  <c:v>0</c:v>
                </c:pt>
                <c:pt idx="1">
                  <c:v>42</c:v>
                </c:pt>
                <c:pt idx="2">
                  <c:v>42</c:v>
                </c:pt>
                <c:pt idx="3">
                  <c:v>52</c:v>
                </c:pt>
                <c:pt idx="4">
                  <c:v>52</c:v>
                </c:pt>
                <c:pt idx="5">
                  <c:v>42</c:v>
                </c:pt>
                <c:pt idx="6">
                  <c:v>42</c:v>
                </c:pt>
                <c:pt idx="7">
                  <c:v>0</c:v>
                </c:pt>
              </c:numCache>
            </c:numRef>
          </c:xVal>
          <c:yVal>
            <c:numRef>
              <c:f>Stabilito!$C$124:$C$131</c:f>
              <c:numCache>
                <c:formatCode>0</c:formatCode>
                <c:ptCount val="8"/>
                <c:pt idx="0">
                  <c:v>-1</c:v>
                </c:pt>
                <c:pt idx="1">
                  <c:v>-1</c:v>
                </c:pt>
                <c:pt idx="2">
                  <c:v>-1</c:v>
                </c:pt>
                <c:pt idx="3">
                  <c:v>-61</c:v>
                </c:pt>
                <c:pt idx="4">
                  <c:v>-1070</c:v>
                </c:pt>
                <c:pt idx="5">
                  <c:v>-1120</c:v>
                </c:pt>
                <c:pt idx="6">
                  <c:v>-1120</c:v>
                </c:pt>
                <c:pt idx="7">
                  <c:v>-1120</c:v>
                </c:pt>
              </c:numCache>
            </c:numRef>
          </c:yVal>
          <c:smooth val="0"/>
          <c:extLst>
            <c:ext xmlns:c16="http://schemas.microsoft.com/office/drawing/2014/chart" uri="{C3380CC4-5D6E-409C-BE32-E72D297353CC}">
              <c16:uniqueId val="{00000000-F091-4909-B7A3-EF83D77F839F}"/>
            </c:ext>
          </c:extLst>
        </c:ser>
        <c:ser>
          <c:idx val="1"/>
          <c:order val="1"/>
          <c:tx>
            <c:v>aileron</c:v>
          </c:tx>
          <c:spPr>
            <a:ln w="25400">
              <a:solidFill>
                <a:srgbClr val="00FF00"/>
              </a:solidFill>
              <a:prstDash val="solid"/>
            </a:ln>
          </c:spPr>
          <c:marker>
            <c:symbol val="none"/>
          </c:marker>
          <c:xVal>
            <c:numRef>
              <c:f>Stabilito!$D$132:$D$136</c:f>
              <c:numCache>
                <c:formatCode>0</c:formatCode>
                <c:ptCount val="5"/>
                <c:pt idx="0">
                  <c:v>52</c:v>
                </c:pt>
                <c:pt idx="1">
                  <c:v>197</c:v>
                </c:pt>
                <c:pt idx="2">
                  <c:v>197</c:v>
                </c:pt>
                <c:pt idx="3">
                  <c:v>52</c:v>
                </c:pt>
                <c:pt idx="4">
                  <c:v>52</c:v>
                </c:pt>
              </c:numCache>
            </c:numRef>
          </c:xVal>
          <c:yVal>
            <c:numRef>
              <c:f>Stabilito!$C$132:$C$136</c:f>
              <c:numCache>
                <c:formatCode>0</c:formatCode>
                <c:ptCount val="5"/>
                <c:pt idx="0">
                  <c:v>-850</c:v>
                </c:pt>
                <c:pt idx="1">
                  <c:v>-1030</c:v>
                </c:pt>
                <c:pt idx="2">
                  <c:v>-1110</c:v>
                </c:pt>
                <c:pt idx="3">
                  <c:v>-1040</c:v>
                </c:pt>
                <c:pt idx="4">
                  <c:v>-850</c:v>
                </c:pt>
              </c:numCache>
            </c:numRef>
          </c:yVal>
          <c:smooth val="0"/>
          <c:extLst>
            <c:ext xmlns:c16="http://schemas.microsoft.com/office/drawing/2014/chart" uri="{C3380CC4-5D6E-409C-BE32-E72D297353CC}">
              <c16:uniqueId val="{00000001-F091-4909-B7A3-EF83D77F839F}"/>
            </c:ext>
          </c:extLst>
        </c:ser>
        <c:ser>
          <c:idx val="2"/>
          <c:order val="2"/>
          <c:tx>
            <c:v>fuselage2</c:v>
          </c:tx>
          <c:spPr>
            <a:ln w="25400">
              <a:solidFill>
                <a:srgbClr val="000080"/>
              </a:solidFill>
              <a:prstDash val="solid"/>
            </a:ln>
          </c:spPr>
          <c:marker>
            <c:symbol val="none"/>
          </c:marker>
          <c:xVal>
            <c:numRef>
              <c:f>Stabilito!$E$124:$E$131</c:f>
              <c:numCache>
                <c:formatCode>0</c:formatCode>
                <c:ptCount val="8"/>
                <c:pt idx="0">
                  <c:v>0</c:v>
                </c:pt>
                <c:pt idx="1">
                  <c:v>-42</c:v>
                </c:pt>
                <c:pt idx="2">
                  <c:v>-42</c:v>
                </c:pt>
                <c:pt idx="3">
                  <c:v>-52</c:v>
                </c:pt>
                <c:pt idx="4">
                  <c:v>-52</c:v>
                </c:pt>
                <c:pt idx="5">
                  <c:v>-42</c:v>
                </c:pt>
                <c:pt idx="6">
                  <c:v>-42</c:v>
                </c:pt>
                <c:pt idx="7">
                  <c:v>0</c:v>
                </c:pt>
              </c:numCache>
            </c:numRef>
          </c:xVal>
          <c:yVal>
            <c:numRef>
              <c:f>Stabilito!$C$124:$C$131</c:f>
              <c:numCache>
                <c:formatCode>0</c:formatCode>
                <c:ptCount val="8"/>
                <c:pt idx="0">
                  <c:v>-1</c:v>
                </c:pt>
                <c:pt idx="1">
                  <c:v>-1</c:v>
                </c:pt>
                <c:pt idx="2">
                  <c:v>-1</c:v>
                </c:pt>
                <c:pt idx="3">
                  <c:v>-61</c:v>
                </c:pt>
                <c:pt idx="4">
                  <c:v>-1070</c:v>
                </c:pt>
                <c:pt idx="5">
                  <c:v>-1120</c:v>
                </c:pt>
                <c:pt idx="6">
                  <c:v>-1120</c:v>
                </c:pt>
                <c:pt idx="7">
                  <c:v>-1120</c:v>
                </c:pt>
              </c:numCache>
            </c:numRef>
          </c:yVal>
          <c:smooth val="0"/>
          <c:extLst>
            <c:ext xmlns:c16="http://schemas.microsoft.com/office/drawing/2014/chart" uri="{C3380CC4-5D6E-409C-BE32-E72D297353CC}">
              <c16:uniqueId val="{00000002-F091-4909-B7A3-EF83D77F839F}"/>
            </c:ext>
          </c:extLst>
        </c:ser>
        <c:ser>
          <c:idx val="3"/>
          <c:order val="3"/>
          <c:tx>
            <c:v>aileron2</c:v>
          </c:tx>
          <c:spPr>
            <a:ln w="25400">
              <a:solidFill>
                <a:srgbClr val="00FF00"/>
              </a:solidFill>
              <a:prstDash val="solid"/>
            </a:ln>
          </c:spPr>
          <c:marker>
            <c:symbol val="none"/>
          </c:marker>
          <c:xVal>
            <c:numRef>
              <c:f>Stabilito!$E$132:$E$136</c:f>
              <c:numCache>
                <c:formatCode>0</c:formatCode>
                <c:ptCount val="5"/>
                <c:pt idx="0">
                  <c:v>-52</c:v>
                </c:pt>
                <c:pt idx="1">
                  <c:v>-197</c:v>
                </c:pt>
                <c:pt idx="2">
                  <c:v>-197</c:v>
                </c:pt>
                <c:pt idx="3">
                  <c:v>-52</c:v>
                </c:pt>
                <c:pt idx="4">
                  <c:v>-52</c:v>
                </c:pt>
              </c:numCache>
            </c:numRef>
          </c:xVal>
          <c:yVal>
            <c:numRef>
              <c:f>Stabilito!$C$132:$C$136</c:f>
              <c:numCache>
                <c:formatCode>0</c:formatCode>
                <c:ptCount val="5"/>
                <c:pt idx="0">
                  <c:v>-850</c:v>
                </c:pt>
                <c:pt idx="1">
                  <c:v>-1030</c:v>
                </c:pt>
                <c:pt idx="2">
                  <c:v>-1110</c:v>
                </c:pt>
                <c:pt idx="3">
                  <c:v>-1040</c:v>
                </c:pt>
                <c:pt idx="4">
                  <c:v>-850</c:v>
                </c:pt>
              </c:numCache>
            </c:numRef>
          </c:yVal>
          <c:smooth val="0"/>
          <c:extLst>
            <c:ext xmlns:c16="http://schemas.microsoft.com/office/drawing/2014/chart" uri="{C3380CC4-5D6E-409C-BE32-E72D297353CC}">
              <c16:uniqueId val="{00000003-F091-4909-B7A3-EF83D77F839F}"/>
            </c:ext>
          </c:extLst>
        </c:ser>
        <c:ser>
          <c:idx val="4"/>
          <c:order val="4"/>
          <c:tx>
            <c:strRef>
              <c:f>Stabilito!$B$13</c:f>
              <c:strCache>
                <c:ptCount val="1"/>
                <c:pt idx="0">
                  <c:v>Centre de Masse</c:v>
                </c:pt>
              </c:strCache>
            </c:strRef>
          </c:tx>
          <c:spPr>
            <a:ln w="25400">
              <a:solidFill>
                <a:srgbClr val="0000FF"/>
              </a:solidFill>
              <a:prstDash val="solid"/>
            </a:ln>
          </c:spPr>
          <c:marker>
            <c:symbol val="circle"/>
            <c:size val="5"/>
            <c:spPr>
              <a:solidFill>
                <a:srgbClr val="0000FF"/>
              </a:solidFill>
              <a:ln w="9525">
                <a:noFill/>
              </a:ln>
            </c:spPr>
          </c:marker>
          <c:dLbls>
            <c:dLbl>
              <c:idx val="1"/>
              <c:spPr>
                <a:noFill/>
                <a:ln w="25400">
                  <a:noFill/>
                </a:ln>
              </c:spPr>
              <c:txPr>
                <a:bodyPr/>
                <a:lstStyle/>
                <a:p>
                  <a:pPr>
                    <a:defRPr sz="800" b="0" i="0" u="none" strike="noStrike" baseline="0">
                      <a:solidFill>
                        <a:srgbClr val="0000FF"/>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Stabilito!$D$149:$D$150</c:f>
              <c:numCache>
                <c:formatCode>0</c:formatCode>
                <c:ptCount val="2"/>
                <c:pt idx="0">
                  <c:v>0</c:v>
                </c:pt>
                <c:pt idx="1">
                  <c:v>0</c:v>
                </c:pt>
              </c:numCache>
            </c:numRef>
          </c:xVal>
          <c:yVal>
            <c:numRef>
              <c:f>Stabilito!$C$149:$C$150</c:f>
              <c:numCache>
                <c:formatCode>0</c:formatCode>
                <c:ptCount val="2"/>
                <c:pt idx="0">
                  <c:v>-561.77403531720086</c:v>
                </c:pt>
                <c:pt idx="1">
                  <c:v>-495.41294511115484</c:v>
                </c:pt>
              </c:numCache>
            </c:numRef>
          </c:yVal>
          <c:smooth val="0"/>
          <c:extLst>
            <c:ext xmlns:c16="http://schemas.microsoft.com/office/drawing/2014/chart" uri="{C3380CC4-5D6E-409C-BE32-E72D297353CC}">
              <c16:uniqueId val="{00000005-F091-4909-B7A3-EF83D77F839F}"/>
            </c:ext>
          </c:extLst>
        </c:ser>
        <c:ser>
          <c:idx val="5"/>
          <c:order val="5"/>
          <c:tx>
            <c:strRef>
              <c:f>Stabilito!$F$28</c:f>
              <c:strCache>
                <c:ptCount val="1"/>
                <c:pt idx="0">
                  <c:v>Portance</c:v>
                </c:pt>
              </c:strCache>
            </c:strRef>
          </c:tx>
          <c:spPr>
            <a:ln w="25400">
              <a:solidFill>
                <a:srgbClr val="800000"/>
              </a:solidFill>
              <a:prstDash val="solid"/>
            </a:ln>
          </c:spPr>
          <c:marker>
            <c:symbol val="diamond"/>
            <c:size val="5"/>
            <c:spPr>
              <a:solidFill>
                <a:srgbClr val="800000"/>
              </a:solidFill>
              <a:ln>
                <a:solidFill>
                  <a:srgbClr val="800000"/>
                </a:solidFill>
                <a:prstDash val="solid"/>
              </a:ln>
            </c:spPr>
          </c:marker>
          <c:dLbls>
            <c:dLbl>
              <c:idx val="1"/>
              <c:spPr>
                <a:noFill/>
                <a:ln w="25400">
                  <a:noFill/>
                </a:ln>
              </c:spPr>
              <c:txPr>
                <a:bodyPr/>
                <a:lstStyle/>
                <a:p>
                  <a:pPr>
                    <a:defRPr sz="800" b="0" i="0" u="none" strike="noStrike" baseline="0">
                      <a:solidFill>
                        <a:srgbClr val="800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Stabilito!$D$151:$D$154</c:f>
              <c:numCache>
                <c:formatCode>0</c:formatCode>
                <c:ptCount val="4"/>
                <c:pt idx="0">
                  <c:v>0</c:v>
                </c:pt>
                <c:pt idx="1">
                  <c:v>108.6951459173211</c:v>
                </c:pt>
                <c:pt idx="2">
                  <c:v>108.6951459173211</c:v>
                </c:pt>
                <c:pt idx="3">
                  <c:v>0</c:v>
                </c:pt>
              </c:numCache>
            </c:numRef>
          </c:xVal>
          <c:yVal>
            <c:numRef>
              <c:f>Stabilito!$C$151:$C$154</c:f>
              <c:numCache>
                <c:formatCode>0</c:formatCode>
                <c:ptCount val="4"/>
                <c:pt idx="0">
                  <c:v>-836.17122860587619</c:v>
                </c:pt>
                <c:pt idx="1">
                  <c:v>-836.17122860587619</c:v>
                </c:pt>
                <c:pt idx="2">
                  <c:v>-836.17122860587619</c:v>
                </c:pt>
                <c:pt idx="3">
                  <c:v>-836.17122860587619</c:v>
                </c:pt>
              </c:numCache>
            </c:numRef>
          </c:yVal>
          <c:smooth val="0"/>
          <c:extLst>
            <c:ext xmlns:c16="http://schemas.microsoft.com/office/drawing/2014/chart" uri="{C3380CC4-5D6E-409C-BE32-E72D297353CC}">
              <c16:uniqueId val="{00000007-F091-4909-B7A3-EF83D77F839F}"/>
            </c:ext>
          </c:extLst>
        </c:ser>
        <c:ser>
          <c:idx val="6"/>
          <c:order val="6"/>
          <c:tx>
            <c:v>canard</c:v>
          </c:tx>
          <c:spPr>
            <a:ln w="25400">
              <a:solidFill>
                <a:srgbClr val="008000"/>
              </a:solidFill>
              <a:prstDash val="solid"/>
            </a:ln>
          </c:spPr>
          <c:marker>
            <c:symbol val="none"/>
          </c:marker>
          <c:xVal>
            <c:numRef>
              <c:f>Stabilito!$D$158:$D$162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8-F091-4909-B7A3-EF83D77F839F}"/>
            </c:ext>
          </c:extLst>
        </c:ser>
        <c:ser>
          <c:idx val="7"/>
          <c:order val="7"/>
          <c:tx>
            <c:v>canard2</c:v>
          </c:tx>
          <c:spPr>
            <a:ln w="25400">
              <a:solidFill>
                <a:srgbClr val="008000"/>
              </a:solidFill>
              <a:prstDash val="solid"/>
            </a:ln>
          </c:spPr>
          <c:marker>
            <c:symbol val="none"/>
          </c:marker>
          <c:xVal>
            <c:numRef>
              <c:f>Stabilito!$E$158:$E$162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9-F091-4909-B7A3-EF83D77F839F}"/>
            </c:ext>
          </c:extLst>
        </c:ser>
        <c:ser>
          <c:idx val="8"/>
          <c:order val="8"/>
          <c:tx>
            <c:v>masquage</c:v>
          </c:tx>
          <c:spPr>
            <a:ln w="25400">
              <a:solidFill>
                <a:srgbClr val="FF0000"/>
              </a:solidFill>
              <a:prstDash val="sysDash"/>
            </a:ln>
          </c:spPr>
          <c:marker>
            <c:symbol val="none"/>
          </c:marker>
          <c:xVal>
            <c:numRef>
              <c:f>Stabilito!$D$163:$D$167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A-F091-4909-B7A3-EF83D77F839F}"/>
            </c:ext>
          </c:extLst>
        </c:ser>
        <c:ser>
          <c:idx val="9"/>
          <c:order val="9"/>
          <c:tx>
            <c:v>masquage2</c:v>
          </c:tx>
          <c:spPr>
            <a:ln w="25400">
              <a:solidFill>
                <a:srgbClr val="FF0000"/>
              </a:solidFill>
              <a:prstDash val="sysDash"/>
            </a:ln>
          </c:spPr>
          <c:marker>
            <c:symbol val="none"/>
          </c:marker>
          <c:xVal>
            <c:numRef>
              <c:f>Stabilito!$E$163:$E$167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B-F091-4909-B7A3-EF83D77F839F}"/>
            </c:ext>
          </c:extLst>
        </c:ser>
        <c:ser>
          <c:idx val="10"/>
          <c:order val="10"/>
          <c:tx>
            <c:v>cadre</c:v>
          </c:tx>
          <c:spPr>
            <a:ln w="12700">
              <a:solidFill>
                <a:srgbClr val="FFFFFF"/>
              </a:solidFill>
              <a:prstDash val="solid"/>
            </a:ln>
          </c:spPr>
          <c:marker>
            <c:symbol val="none"/>
          </c:marker>
          <c:xVal>
            <c:numRef>
              <c:f>Stabilito!$D$168:$D$169</c:f>
              <c:numCache>
                <c:formatCode>0</c:formatCode>
                <c:ptCount val="2"/>
                <c:pt idx="0">
                  <c:v>373.33333333333331</c:v>
                </c:pt>
                <c:pt idx="1">
                  <c:v>-373.33333333333331</c:v>
                </c:pt>
              </c:numCache>
            </c:numRef>
          </c:xVal>
          <c:yVal>
            <c:numRef>
              <c:f>Stabilito!$C$168:$C$169</c:f>
              <c:numCache>
                <c:formatCode>0</c:formatCode>
                <c:ptCount val="2"/>
                <c:pt idx="0">
                  <c:v>-1131.2</c:v>
                </c:pt>
                <c:pt idx="1">
                  <c:v>-1131.2</c:v>
                </c:pt>
              </c:numCache>
            </c:numRef>
          </c:yVal>
          <c:smooth val="0"/>
          <c:extLst>
            <c:ext xmlns:c16="http://schemas.microsoft.com/office/drawing/2014/chart" uri="{C3380CC4-5D6E-409C-BE32-E72D297353CC}">
              <c16:uniqueId val="{0000000C-F091-4909-B7A3-EF83D77F839F}"/>
            </c:ext>
          </c:extLst>
        </c:ser>
        <c:ser>
          <c:idx val="11"/>
          <c:order val="11"/>
          <c:tx>
            <c:v>Propu</c:v>
          </c:tx>
          <c:spPr>
            <a:ln w="25400">
              <a:solidFill>
                <a:srgbClr val="FF00FF"/>
              </a:solidFill>
              <a:prstDash val="solid"/>
            </a:ln>
          </c:spPr>
          <c:marker>
            <c:symbol val="none"/>
          </c:marker>
          <c:xVal>
            <c:numRef>
              <c:f>Stabilito!$D$170:$D$174</c:f>
              <c:numCache>
                <c:formatCode>0</c:formatCode>
                <c:ptCount val="5"/>
                <c:pt idx="0">
                  <c:v>-27</c:v>
                </c:pt>
                <c:pt idx="1">
                  <c:v>27</c:v>
                </c:pt>
                <c:pt idx="2">
                  <c:v>27</c:v>
                </c:pt>
                <c:pt idx="3">
                  <c:v>-27</c:v>
                </c:pt>
                <c:pt idx="4">
                  <c:v>-27</c:v>
                </c:pt>
              </c:numCache>
            </c:numRef>
          </c:xVal>
          <c:yVal>
            <c:numRef>
              <c:f>Stabilito!$C$170:$C$174</c:f>
              <c:numCache>
                <c:formatCode>0</c:formatCode>
                <c:ptCount val="5"/>
                <c:pt idx="0">
                  <c:v>-632</c:v>
                </c:pt>
                <c:pt idx="1">
                  <c:v>-632</c:v>
                </c:pt>
                <c:pt idx="2">
                  <c:v>-1120</c:v>
                </c:pt>
                <c:pt idx="3">
                  <c:v>-1120</c:v>
                </c:pt>
                <c:pt idx="4">
                  <c:v>-632</c:v>
                </c:pt>
              </c:numCache>
            </c:numRef>
          </c:yVal>
          <c:smooth val="0"/>
          <c:extLst>
            <c:ext xmlns:c16="http://schemas.microsoft.com/office/drawing/2014/chart" uri="{C3380CC4-5D6E-409C-BE32-E72D297353CC}">
              <c16:uniqueId val="{0000000D-F091-4909-B7A3-EF83D77F839F}"/>
            </c:ext>
          </c:extLst>
        </c:ser>
        <c:ser>
          <c:idx val="12"/>
          <c:order val="12"/>
          <c:tx>
            <c:v>Cone</c:v>
          </c:tx>
          <c:spPr>
            <a:ln w="25400">
              <a:solidFill>
                <a:srgbClr val="800080"/>
              </a:solidFill>
              <a:prstDash val="solid"/>
            </a:ln>
          </c:spPr>
          <c:marker>
            <c:symbol val="none"/>
          </c:marker>
          <c:xVal>
            <c:numRef>
              <c:f>Stabilito!$D$175:$D$180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-0.1</c:v>
                </c:pt>
                <c:pt idx="2">
                  <c:v>-0.25</c:v>
                </c:pt>
                <c:pt idx="3">
                  <c:v>-0.5</c:v>
                </c:pt>
                <c:pt idx="4">
                  <c:v>-0.75</c:v>
                </c:pt>
                <c:pt idx="5">
                  <c:v>-1</c:v>
                </c:pt>
              </c:numCache>
            </c:numRef>
          </c:yVal>
          <c:smooth val="0"/>
          <c:extLst>
            <c:ext xmlns:c16="http://schemas.microsoft.com/office/drawing/2014/chart" uri="{C3380CC4-5D6E-409C-BE32-E72D297353CC}">
              <c16:uniqueId val="{0000000E-F091-4909-B7A3-EF83D77F839F}"/>
            </c:ext>
          </c:extLst>
        </c:ser>
        <c:ser>
          <c:idx val="13"/>
          <c:order val="13"/>
          <c:tx>
            <c:v>Cone1</c:v>
          </c:tx>
          <c:spPr>
            <a:ln w="25400">
              <a:solidFill>
                <a:srgbClr val="800080"/>
              </a:solidFill>
              <a:prstDash val="solid"/>
            </a:ln>
          </c:spPr>
          <c:marker>
            <c:symbol val="none"/>
          </c:marker>
          <c:xVal>
            <c:numRef>
              <c:f>Stabilito!$E$175:$E$180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-0.1</c:v>
                </c:pt>
                <c:pt idx="2">
                  <c:v>-0.25</c:v>
                </c:pt>
                <c:pt idx="3">
                  <c:v>-0.5</c:v>
                </c:pt>
                <c:pt idx="4">
                  <c:v>-0.75</c:v>
                </c:pt>
                <c:pt idx="5">
                  <c:v>-1</c:v>
                </c:pt>
              </c:numCache>
            </c:numRef>
          </c:yVal>
          <c:smooth val="0"/>
          <c:extLst>
            <c:ext xmlns:c16="http://schemas.microsoft.com/office/drawing/2014/chart" uri="{C3380CC4-5D6E-409C-BE32-E72D297353CC}">
              <c16:uniqueId val="{0000000F-F091-4909-B7A3-EF83D77F839F}"/>
            </c:ext>
          </c:extLst>
        </c:ser>
        <c:ser>
          <c:idx val="14"/>
          <c:order val="14"/>
          <c:tx>
            <c:strRef>
              <c:f>Stabilito!$B$137</c:f>
              <c:strCache>
                <c:ptCount val="1"/>
                <c:pt idx="0">
                  <c:v>Envergure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b"/>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Stabilito!$D$137:$D$139</c:f>
              <c:numCache>
                <c:formatCode>0</c:formatCode>
                <c:ptCount val="3"/>
                <c:pt idx="0">
                  <c:v>-197</c:v>
                </c:pt>
                <c:pt idx="1">
                  <c:v>-124.5</c:v>
                </c:pt>
                <c:pt idx="2">
                  <c:v>-52</c:v>
                </c:pt>
              </c:numCache>
            </c:numRef>
          </c:xVal>
          <c:yVal>
            <c:numRef>
              <c:f>Stabilito!$C$137:$C$139</c:f>
              <c:numCache>
                <c:formatCode>0</c:formatCode>
                <c:ptCount val="3"/>
                <c:pt idx="0">
                  <c:v>-1147.3333333333333</c:v>
                </c:pt>
                <c:pt idx="1">
                  <c:v>-1147.3333333333333</c:v>
                </c:pt>
                <c:pt idx="2">
                  <c:v>-1147.3333333333333</c:v>
                </c:pt>
              </c:numCache>
            </c:numRef>
          </c:yVal>
          <c:smooth val="0"/>
          <c:extLst>
            <c:ext xmlns:c16="http://schemas.microsoft.com/office/drawing/2014/chart" uri="{C3380CC4-5D6E-409C-BE32-E72D297353CC}">
              <c16:uniqueId val="{00000011-F091-4909-B7A3-EF83D77F839F}"/>
            </c:ext>
          </c:extLst>
        </c:ser>
        <c:ser>
          <c:idx val="15"/>
          <c:order val="15"/>
          <c:tx>
            <c:strRef>
              <c:f>Stabilito!$B$143</c:f>
              <c:strCache>
                <c:ptCount val="1"/>
                <c:pt idx="0">
                  <c:v>Flèche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2-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Stabilito!$D$143:$D$145</c:f>
              <c:numCache>
                <c:formatCode>0</c:formatCode>
                <c:ptCount val="3"/>
                <c:pt idx="0">
                  <c:v>-234.33333333333334</c:v>
                </c:pt>
                <c:pt idx="1">
                  <c:v>-234.33333333333334</c:v>
                </c:pt>
                <c:pt idx="2">
                  <c:v>-234.33333333333334</c:v>
                </c:pt>
              </c:numCache>
            </c:numRef>
          </c:xVal>
          <c:yVal>
            <c:numRef>
              <c:f>Stabilito!$C$143:$C$145</c:f>
              <c:numCache>
                <c:formatCode>0</c:formatCode>
                <c:ptCount val="3"/>
                <c:pt idx="0">
                  <c:v>-850</c:v>
                </c:pt>
                <c:pt idx="1">
                  <c:v>-940</c:v>
                </c:pt>
                <c:pt idx="2">
                  <c:v>-1030</c:v>
                </c:pt>
              </c:numCache>
            </c:numRef>
          </c:yVal>
          <c:smooth val="0"/>
          <c:extLst>
            <c:ext xmlns:c16="http://schemas.microsoft.com/office/drawing/2014/chart" uri="{C3380CC4-5D6E-409C-BE32-E72D297353CC}">
              <c16:uniqueId val="{00000013-F091-4909-B7A3-EF83D77F839F}"/>
            </c:ext>
          </c:extLst>
        </c:ser>
        <c:ser>
          <c:idx val="16"/>
          <c:order val="16"/>
          <c:tx>
            <c:strRef>
              <c:f>Stabilito!$B$146</c:f>
              <c:strCache>
                <c:ptCount val="1"/>
                <c:pt idx="0">
                  <c:v>Saumon</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Stabilito!$D$146:$D$148</c:f>
              <c:numCache>
                <c:formatCode>0</c:formatCode>
                <c:ptCount val="3"/>
                <c:pt idx="0">
                  <c:v>-253</c:v>
                </c:pt>
                <c:pt idx="1">
                  <c:v>-253</c:v>
                </c:pt>
                <c:pt idx="2">
                  <c:v>-253</c:v>
                </c:pt>
              </c:numCache>
            </c:numRef>
          </c:xVal>
          <c:yVal>
            <c:numRef>
              <c:f>Stabilito!$C$146:$C$148</c:f>
              <c:numCache>
                <c:formatCode>0</c:formatCode>
                <c:ptCount val="3"/>
                <c:pt idx="0">
                  <c:v>-1030</c:v>
                </c:pt>
                <c:pt idx="1">
                  <c:v>-1070</c:v>
                </c:pt>
                <c:pt idx="2">
                  <c:v>-1110</c:v>
                </c:pt>
              </c:numCache>
            </c:numRef>
          </c:yVal>
          <c:smooth val="0"/>
          <c:extLst>
            <c:ext xmlns:c16="http://schemas.microsoft.com/office/drawing/2014/chart" uri="{C3380CC4-5D6E-409C-BE32-E72D297353CC}">
              <c16:uniqueId val="{00000015-F091-4909-B7A3-EF83D77F839F}"/>
            </c:ext>
          </c:extLst>
        </c:ser>
        <c:ser>
          <c:idx val="17"/>
          <c:order val="17"/>
          <c:tx>
            <c:strRef>
              <c:f>Stabilito!$B$140</c:f>
              <c:strCache>
                <c:ptCount val="1"/>
                <c:pt idx="0">
                  <c:v>Emplanture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Stabilito!$D$140:$D$142</c:f>
              <c:numCache>
                <c:formatCode>0</c:formatCode>
                <c:ptCount val="3"/>
                <c:pt idx="0">
                  <c:v>253</c:v>
                </c:pt>
                <c:pt idx="1">
                  <c:v>253</c:v>
                </c:pt>
                <c:pt idx="2">
                  <c:v>253</c:v>
                </c:pt>
              </c:numCache>
            </c:numRef>
          </c:xVal>
          <c:yVal>
            <c:numRef>
              <c:f>Stabilito!$C$140:$C$142</c:f>
              <c:numCache>
                <c:formatCode>0</c:formatCode>
                <c:ptCount val="3"/>
                <c:pt idx="0">
                  <c:v>-850</c:v>
                </c:pt>
                <c:pt idx="1">
                  <c:v>-945</c:v>
                </c:pt>
                <c:pt idx="2">
                  <c:v>-1040</c:v>
                </c:pt>
              </c:numCache>
            </c:numRef>
          </c:yVal>
          <c:smooth val="0"/>
          <c:extLst>
            <c:ext xmlns:c16="http://schemas.microsoft.com/office/drawing/2014/chart" uri="{C3380CC4-5D6E-409C-BE32-E72D297353CC}">
              <c16:uniqueId val="{00000017-F091-4909-B7A3-EF83D77F839F}"/>
            </c:ext>
          </c:extLst>
        </c:ser>
        <c:ser>
          <c:idx val="18"/>
          <c:order val="18"/>
          <c:tx>
            <c:strRef>
              <c:f>Stabilito!$B$155</c:f>
              <c:strCache>
                <c:ptCount val="1"/>
                <c:pt idx="0">
                  <c:v>Marge Statique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8-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Stabilito!$D$155:$D$157</c:f>
              <c:numCache>
                <c:formatCode>0</c:formatCode>
                <c:ptCount val="3"/>
                <c:pt idx="0">
                  <c:v>-253</c:v>
                </c:pt>
                <c:pt idx="1">
                  <c:v>-253</c:v>
                </c:pt>
                <c:pt idx="2">
                  <c:v>-253</c:v>
                </c:pt>
              </c:numCache>
            </c:numRef>
          </c:xVal>
          <c:yVal>
            <c:numRef>
              <c:f>Stabilito!$C$155:$C$157</c:f>
              <c:numCache>
                <c:formatCode>0</c:formatCode>
                <c:ptCount val="3"/>
                <c:pt idx="0">
                  <c:v>-528.59349021417779</c:v>
                </c:pt>
                <c:pt idx="1">
                  <c:v>-682.38235941002699</c:v>
                </c:pt>
                <c:pt idx="2">
                  <c:v>-836.17122860587619</c:v>
                </c:pt>
              </c:numCache>
            </c:numRef>
          </c:yVal>
          <c:smooth val="0"/>
          <c:extLst>
            <c:ext xmlns:c16="http://schemas.microsoft.com/office/drawing/2014/chart" uri="{C3380CC4-5D6E-409C-BE32-E72D297353CC}">
              <c16:uniqueId val="{00000019-F091-4909-B7A3-EF83D77F839F}"/>
            </c:ext>
          </c:extLst>
        </c:ser>
        <c:dLbls>
          <c:showLegendKey val="0"/>
          <c:showVal val="0"/>
          <c:showCatName val="0"/>
          <c:showSerName val="0"/>
          <c:showPercent val="0"/>
          <c:showBubbleSize val="0"/>
        </c:dLbls>
        <c:axId val="148707200"/>
        <c:axId val="148708736"/>
      </c:scatterChart>
      <c:valAx>
        <c:axId val="148707200"/>
        <c:scaling>
          <c:orientation val="minMax"/>
        </c:scaling>
        <c:delete val="0"/>
        <c:axPos val="t"/>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8736"/>
        <c:crosses val="max"/>
        <c:crossBetween val="midCat"/>
      </c:valAx>
      <c:valAx>
        <c:axId val="148708736"/>
        <c:scaling>
          <c:orientation val="minMax"/>
        </c:scaling>
        <c:delete val="0"/>
        <c:axPos val="r"/>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7200"/>
        <c:crosses val="max"/>
        <c:crossBetween val="midCat"/>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Stabilito!$B$117</c:f>
          <c:strCache>
            <c:ptCount val="1"/>
            <c:pt idx="0">
              <c:v>Diagramme des critères de stabilité</c:v>
            </c:pt>
          </c:strCache>
        </c:strRef>
      </c:tx>
      <c:layout>
        <c:manualLayout>
          <c:xMode val="edge"/>
          <c:yMode val="edge"/>
          <c:x val="0.19620910443519407"/>
          <c:y val="8.0214173228346466E-2"/>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4.5092838196286504E-2"/>
          <c:y val="5.8823683008029475E-2"/>
          <c:w val="0.93899204244031864"/>
          <c:h val="0.82887916965859743"/>
        </c:manualLayout>
      </c:layout>
      <c:scatterChart>
        <c:scatterStyle val="smoothMarker"/>
        <c:varyColors val="0"/>
        <c:ser>
          <c:idx val="0"/>
          <c:order val="0"/>
          <c:tx>
            <c:v>Cna min</c:v>
          </c:tx>
          <c:spPr>
            <a:ln w="12700">
              <a:solidFill>
                <a:srgbClr val="FF0000"/>
              </a:solidFill>
              <a:prstDash val="solid"/>
            </a:ln>
          </c:spPr>
          <c:marker>
            <c:symbol val="none"/>
          </c:marker>
          <c:xVal>
            <c:numRef>
              <c:f>Stabilito!$B$182:$B$183</c:f>
              <c:numCache>
                <c:formatCode>General</c:formatCode>
                <c:ptCount val="2"/>
                <c:pt idx="0">
                  <c:v>0</c:v>
                </c:pt>
                <c:pt idx="1">
                  <c:v>7</c:v>
                </c:pt>
              </c:numCache>
            </c:numRef>
          </c:xVal>
          <c:yVal>
            <c:numRef>
              <c:f>Stabilito!$C$182:$C$183</c:f>
              <c:numCache>
                <c:formatCode>General</c:formatCode>
                <c:ptCount val="2"/>
                <c:pt idx="0">
                  <c:v>15</c:v>
                </c:pt>
                <c:pt idx="1">
                  <c:v>15</c:v>
                </c:pt>
              </c:numCache>
            </c:numRef>
          </c:yVal>
          <c:smooth val="1"/>
          <c:extLst>
            <c:ext xmlns:c16="http://schemas.microsoft.com/office/drawing/2014/chart" uri="{C3380CC4-5D6E-409C-BE32-E72D297353CC}">
              <c16:uniqueId val="{00000000-DD97-4068-951F-4990D529CDCA}"/>
            </c:ext>
          </c:extLst>
        </c:ser>
        <c:ser>
          <c:idx val="1"/>
          <c:order val="1"/>
          <c:tx>
            <c:v>Cna max</c:v>
          </c:tx>
          <c:spPr>
            <a:ln w="12700">
              <a:solidFill>
                <a:srgbClr val="FF0000"/>
              </a:solidFill>
              <a:prstDash val="solid"/>
            </a:ln>
          </c:spPr>
          <c:marker>
            <c:symbol val="none"/>
          </c:marker>
          <c:xVal>
            <c:numRef>
              <c:f>Stabilito!$B$184:$B$185</c:f>
              <c:numCache>
                <c:formatCode>General</c:formatCode>
                <c:ptCount val="2"/>
                <c:pt idx="0">
                  <c:v>0</c:v>
                </c:pt>
                <c:pt idx="1">
                  <c:v>7</c:v>
                </c:pt>
              </c:numCache>
            </c:numRef>
          </c:xVal>
          <c:yVal>
            <c:numRef>
              <c:f>Stabilito!$C$184:$C$185</c:f>
              <c:numCache>
                <c:formatCode>General</c:formatCode>
                <c:ptCount val="2"/>
                <c:pt idx="0">
                  <c:v>40</c:v>
                </c:pt>
                <c:pt idx="1">
                  <c:v>40</c:v>
                </c:pt>
              </c:numCache>
            </c:numRef>
          </c:yVal>
          <c:smooth val="1"/>
          <c:extLst>
            <c:ext xmlns:c16="http://schemas.microsoft.com/office/drawing/2014/chart" uri="{C3380CC4-5D6E-409C-BE32-E72D297353CC}">
              <c16:uniqueId val="{00000001-DD97-4068-951F-4990D529CDCA}"/>
            </c:ext>
          </c:extLst>
        </c:ser>
        <c:ser>
          <c:idx val="2"/>
          <c:order val="2"/>
          <c:tx>
            <c:v>MS min</c:v>
          </c:tx>
          <c:spPr>
            <a:ln w="12700">
              <a:solidFill>
                <a:srgbClr val="FF0000"/>
              </a:solidFill>
              <a:prstDash val="solid"/>
            </a:ln>
          </c:spPr>
          <c:marker>
            <c:symbol val="none"/>
          </c:marker>
          <c:xVal>
            <c:numRef>
              <c:f>Stabilito!$B$186:$B$187</c:f>
              <c:numCache>
                <c:formatCode>General</c:formatCode>
                <c:ptCount val="2"/>
                <c:pt idx="0">
                  <c:v>2</c:v>
                </c:pt>
                <c:pt idx="1">
                  <c:v>2</c:v>
                </c:pt>
              </c:numCache>
            </c:numRef>
          </c:xVal>
          <c:yVal>
            <c:numRef>
              <c:f>Stabilito!$C$186:$C$187</c:f>
              <c:numCache>
                <c:formatCode>General</c:formatCode>
                <c:ptCount val="2"/>
                <c:pt idx="0">
                  <c:v>0</c:v>
                </c:pt>
                <c:pt idx="1">
                  <c:v>55</c:v>
                </c:pt>
              </c:numCache>
            </c:numRef>
          </c:yVal>
          <c:smooth val="1"/>
          <c:extLst>
            <c:ext xmlns:c16="http://schemas.microsoft.com/office/drawing/2014/chart" uri="{C3380CC4-5D6E-409C-BE32-E72D297353CC}">
              <c16:uniqueId val="{00000002-DD97-4068-951F-4990D529CDCA}"/>
            </c:ext>
          </c:extLst>
        </c:ser>
        <c:ser>
          <c:idx val="3"/>
          <c:order val="3"/>
          <c:tx>
            <c:v>MS max</c:v>
          </c:tx>
          <c:spPr>
            <a:ln w="12700">
              <a:solidFill>
                <a:srgbClr val="FF0000"/>
              </a:solidFill>
              <a:prstDash val="solid"/>
            </a:ln>
          </c:spPr>
          <c:marker>
            <c:symbol val="none"/>
          </c:marker>
          <c:xVal>
            <c:numRef>
              <c:f>Stabilito!$B$188:$B$189</c:f>
              <c:numCache>
                <c:formatCode>General</c:formatCode>
                <c:ptCount val="2"/>
                <c:pt idx="0">
                  <c:v>6</c:v>
                </c:pt>
                <c:pt idx="1">
                  <c:v>6</c:v>
                </c:pt>
              </c:numCache>
            </c:numRef>
          </c:xVal>
          <c:yVal>
            <c:numRef>
              <c:f>Stabilito!$C$188:$C$189</c:f>
              <c:numCache>
                <c:formatCode>General</c:formatCode>
                <c:ptCount val="2"/>
                <c:pt idx="0">
                  <c:v>0</c:v>
                </c:pt>
                <c:pt idx="1">
                  <c:v>55</c:v>
                </c:pt>
              </c:numCache>
            </c:numRef>
          </c:yVal>
          <c:smooth val="1"/>
          <c:extLst>
            <c:ext xmlns:c16="http://schemas.microsoft.com/office/drawing/2014/chart" uri="{C3380CC4-5D6E-409C-BE32-E72D297353CC}">
              <c16:uniqueId val="{00000003-DD97-4068-951F-4990D529CDCA}"/>
            </c:ext>
          </c:extLst>
        </c:ser>
        <c:ser>
          <c:idx val="5"/>
          <c:order val="6"/>
          <c:tx>
            <c:v>MS*Cna min</c:v>
          </c:tx>
          <c:spPr>
            <a:ln w="12700">
              <a:solidFill>
                <a:srgbClr val="FF0000"/>
              </a:solidFill>
              <a:prstDash val="solid"/>
            </a:ln>
          </c:spPr>
          <c:marker>
            <c:symbol val="none"/>
          </c:marker>
          <c:xVal>
            <c:numRef>
              <c:f>Stabilito!$D$182:$D$187</c:f>
              <c:numCache>
                <c:formatCode>General</c:formatCode>
                <c:ptCount val="6"/>
                <c:pt idx="0">
                  <c:v>0.5</c:v>
                </c:pt>
                <c:pt idx="1">
                  <c:v>1</c:v>
                </c:pt>
                <c:pt idx="2">
                  <c:v>2</c:v>
                </c:pt>
                <c:pt idx="3">
                  <c:v>3</c:v>
                </c:pt>
                <c:pt idx="4">
                  <c:v>5</c:v>
                </c:pt>
                <c:pt idx="5">
                  <c:v>7</c:v>
                </c:pt>
              </c:numCache>
            </c:numRef>
          </c:xVal>
          <c:yVal>
            <c:numRef>
              <c:f>Stabilito!$E$182:$E$187</c:f>
              <c:numCache>
                <c:formatCode>General</c:formatCode>
                <c:ptCount val="6"/>
                <c:pt idx="0">
                  <c:v>80</c:v>
                </c:pt>
                <c:pt idx="1">
                  <c:v>40</c:v>
                </c:pt>
                <c:pt idx="2">
                  <c:v>20</c:v>
                </c:pt>
                <c:pt idx="3">
                  <c:v>13.333333333333334</c:v>
                </c:pt>
                <c:pt idx="4">
                  <c:v>8</c:v>
                </c:pt>
                <c:pt idx="5">
                  <c:v>5.7142857142857144</c:v>
                </c:pt>
              </c:numCache>
            </c:numRef>
          </c:yVal>
          <c:smooth val="1"/>
          <c:extLst>
            <c:ext xmlns:c16="http://schemas.microsoft.com/office/drawing/2014/chart" uri="{C3380CC4-5D6E-409C-BE32-E72D297353CC}">
              <c16:uniqueId val="{00000004-DD97-4068-951F-4990D529CDCA}"/>
            </c:ext>
          </c:extLst>
        </c:ser>
        <c:ser>
          <c:idx val="6"/>
          <c:order val="7"/>
          <c:tx>
            <c:v>MS*Cna max</c:v>
          </c:tx>
          <c:spPr>
            <a:ln w="12700">
              <a:solidFill>
                <a:srgbClr val="FF0000"/>
              </a:solidFill>
              <a:prstDash val="solid"/>
            </a:ln>
          </c:spPr>
          <c:marker>
            <c:symbol val="none"/>
          </c:marker>
          <c:xVal>
            <c:numRef>
              <c:f>Stabilito!$D$188:$D$193</c:f>
              <c:numCache>
                <c:formatCode>General</c:formatCode>
                <c:ptCount val="6"/>
                <c:pt idx="0">
                  <c:v>1</c:v>
                </c:pt>
                <c:pt idx="1">
                  <c:v>2</c:v>
                </c:pt>
                <c:pt idx="2">
                  <c:v>3</c:v>
                </c:pt>
                <c:pt idx="3">
                  <c:v>4</c:v>
                </c:pt>
                <c:pt idx="4">
                  <c:v>6</c:v>
                </c:pt>
                <c:pt idx="5">
                  <c:v>7</c:v>
                </c:pt>
              </c:numCache>
            </c:numRef>
          </c:xVal>
          <c:yVal>
            <c:numRef>
              <c:f>Stabilito!$E$188:$E$193</c:f>
              <c:numCache>
                <c:formatCode>General</c:formatCode>
                <c:ptCount val="6"/>
                <c:pt idx="0">
                  <c:v>100</c:v>
                </c:pt>
                <c:pt idx="1">
                  <c:v>50</c:v>
                </c:pt>
                <c:pt idx="2">
                  <c:v>33.333333333333336</c:v>
                </c:pt>
                <c:pt idx="3">
                  <c:v>25</c:v>
                </c:pt>
                <c:pt idx="4">
                  <c:v>16.666666666666668</c:v>
                </c:pt>
                <c:pt idx="5">
                  <c:v>14.285714285714286</c:v>
                </c:pt>
              </c:numCache>
            </c:numRef>
          </c:yVal>
          <c:smooth val="1"/>
          <c:extLst>
            <c:ext xmlns:c16="http://schemas.microsoft.com/office/drawing/2014/chart" uri="{C3380CC4-5D6E-409C-BE32-E72D297353CC}">
              <c16:uniqueId val="{00000005-DD97-4068-951F-4990D529CDCA}"/>
            </c:ext>
          </c:extLst>
        </c:ser>
        <c:ser>
          <c:idx val="7"/>
          <c:order val="8"/>
          <c:tx>
            <c:v>Cna moy</c:v>
          </c:tx>
          <c:spPr>
            <a:ln w="12700">
              <a:solidFill>
                <a:srgbClr val="FF0000"/>
              </a:solidFill>
              <a:prstDash val="solid"/>
            </a:ln>
          </c:spPr>
          <c:marker>
            <c:symbol val="none"/>
          </c:marker>
          <c:xVal>
            <c:numRef>
              <c:f>Stabilito!$B$195:$B$196</c:f>
              <c:numCache>
                <c:formatCode>General</c:formatCode>
                <c:ptCount val="2"/>
                <c:pt idx="0">
                  <c:v>0</c:v>
                </c:pt>
                <c:pt idx="1">
                  <c:v>2</c:v>
                </c:pt>
              </c:numCache>
            </c:numRef>
          </c:xVal>
          <c:yVal>
            <c:numRef>
              <c:f>Stabilito!$C$195:$C$196</c:f>
              <c:numCache>
                <c:formatCode>General</c:formatCode>
                <c:ptCount val="2"/>
                <c:pt idx="0">
                  <c:v>27.5</c:v>
                </c:pt>
                <c:pt idx="1">
                  <c:v>27.5</c:v>
                </c:pt>
              </c:numCache>
            </c:numRef>
          </c:yVal>
          <c:smooth val="1"/>
          <c:extLst>
            <c:ext xmlns:c16="http://schemas.microsoft.com/office/drawing/2014/chart" uri="{C3380CC4-5D6E-409C-BE32-E72D297353CC}">
              <c16:uniqueId val="{00000006-DD97-4068-951F-4990D529CDCA}"/>
            </c:ext>
          </c:extLst>
        </c:ser>
        <c:ser>
          <c:idx val="8"/>
          <c:order val="9"/>
          <c:tx>
            <c:v>Cna moy2</c:v>
          </c:tx>
          <c:spPr>
            <a:ln w="12700">
              <a:solidFill>
                <a:srgbClr val="FF0000"/>
              </a:solidFill>
              <a:prstDash val="solid"/>
            </a:ln>
          </c:spPr>
          <c:marker>
            <c:symbol val="none"/>
          </c:marker>
          <c:xVal>
            <c:numRef>
              <c:f>Stabilito!$B$197:$B$198</c:f>
              <c:numCache>
                <c:formatCode>General</c:formatCode>
                <c:ptCount val="2"/>
                <c:pt idx="0">
                  <c:v>3.6363636363636362</c:v>
                </c:pt>
                <c:pt idx="1">
                  <c:v>7</c:v>
                </c:pt>
              </c:numCache>
            </c:numRef>
          </c:xVal>
          <c:yVal>
            <c:numRef>
              <c:f>Stabilito!$C$197:$C$198</c:f>
              <c:numCache>
                <c:formatCode>General</c:formatCode>
                <c:ptCount val="2"/>
                <c:pt idx="0">
                  <c:v>27.5</c:v>
                </c:pt>
                <c:pt idx="1">
                  <c:v>27.5</c:v>
                </c:pt>
              </c:numCache>
            </c:numRef>
          </c:yVal>
          <c:smooth val="1"/>
          <c:extLst>
            <c:ext xmlns:c16="http://schemas.microsoft.com/office/drawing/2014/chart" uri="{C3380CC4-5D6E-409C-BE32-E72D297353CC}">
              <c16:uniqueId val="{00000007-DD97-4068-951F-4990D529CDCA}"/>
            </c:ext>
          </c:extLst>
        </c:ser>
        <c:ser>
          <c:idx val="9"/>
          <c:order val="10"/>
          <c:tx>
            <c:v>MS moy</c:v>
          </c:tx>
          <c:spPr>
            <a:ln w="12700">
              <a:solidFill>
                <a:srgbClr val="FF0000"/>
              </a:solidFill>
              <a:prstDash val="solid"/>
            </a:ln>
          </c:spPr>
          <c:marker>
            <c:symbol val="none"/>
          </c:marker>
          <c:xVal>
            <c:numRef>
              <c:f>Stabilito!$B$199:$B$200</c:f>
              <c:numCache>
                <c:formatCode>General</c:formatCode>
                <c:ptCount val="2"/>
                <c:pt idx="0">
                  <c:v>4</c:v>
                </c:pt>
                <c:pt idx="1">
                  <c:v>4</c:v>
                </c:pt>
              </c:numCache>
            </c:numRef>
          </c:xVal>
          <c:yVal>
            <c:numRef>
              <c:f>Stabilito!$C$199:$C$200</c:f>
              <c:numCache>
                <c:formatCode>General</c:formatCode>
                <c:ptCount val="2"/>
                <c:pt idx="0">
                  <c:v>0</c:v>
                </c:pt>
                <c:pt idx="1">
                  <c:v>15</c:v>
                </c:pt>
              </c:numCache>
            </c:numRef>
          </c:yVal>
          <c:smooth val="1"/>
          <c:extLst>
            <c:ext xmlns:c16="http://schemas.microsoft.com/office/drawing/2014/chart" uri="{C3380CC4-5D6E-409C-BE32-E72D297353CC}">
              <c16:uniqueId val="{00000008-DD97-4068-951F-4990D529CDCA}"/>
            </c:ext>
          </c:extLst>
        </c:ser>
        <c:ser>
          <c:idx val="10"/>
          <c:order val="11"/>
          <c:tx>
            <c:v>MS moy2</c:v>
          </c:tx>
          <c:spPr>
            <a:ln w="12700">
              <a:solidFill>
                <a:srgbClr val="FF0000"/>
              </a:solidFill>
              <a:prstDash val="solid"/>
            </a:ln>
          </c:spPr>
          <c:marker>
            <c:symbol val="none"/>
          </c:marker>
          <c:xVal>
            <c:numRef>
              <c:f>Stabilito!$B$201:$B$202</c:f>
              <c:numCache>
                <c:formatCode>General</c:formatCode>
                <c:ptCount val="2"/>
                <c:pt idx="0">
                  <c:v>4</c:v>
                </c:pt>
                <c:pt idx="1">
                  <c:v>4</c:v>
                </c:pt>
              </c:numCache>
            </c:numRef>
          </c:xVal>
          <c:yVal>
            <c:numRef>
              <c:f>Stabilito!$C$201:$C$202</c:f>
              <c:numCache>
                <c:formatCode>General</c:formatCode>
                <c:ptCount val="2"/>
                <c:pt idx="0">
                  <c:v>25</c:v>
                </c:pt>
                <c:pt idx="1">
                  <c:v>55</c:v>
                </c:pt>
              </c:numCache>
            </c:numRef>
          </c:yVal>
          <c:smooth val="1"/>
          <c:extLst>
            <c:ext xmlns:c16="http://schemas.microsoft.com/office/drawing/2014/chart" uri="{C3380CC4-5D6E-409C-BE32-E72D297353CC}">
              <c16:uniqueId val="{00000009-DD97-4068-951F-4990D529CDCA}"/>
            </c:ext>
          </c:extLst>
        </c:ser>
        <c:dLbls>
          <c:showLegendKey val="0"/>
          <c:showVal val="0"/>
          <c:showCatName val="0"/>
          <c:showSerName val="0"/>
          <c:showPercent val="0"/>
          <c:showBubbleSize val="0"/>
        </c:dLbls>
        <c:axId val="148471168"/>
        <c:axId val="148481536"/>
      </c:scatterChart>
      <c:scatterChart>
        <c:scatterStyle val="lineMarker"/>
        <c:varyColors val="0"/>
        <c:ser>
          <c:idx val="4"/>
          <c:order val="4"/>
          <c:tx>
            <c:v>Fusée en cours</c:v>
          </c:tx>
          <c:spPr>
            <a:ln w="25400">
              <a:solidFill>
                <a:schemeClr val="tx1"/>
              </a:solidFill>
            </a:ln>
          </c:spPr>
          <c:marker>
            <c:symbol val="diamond"/>
            <c:size val="7"/>
            <c:spPr>
              <a:solidFill>
                <a:schemeClr val="tx1"/>
              </a:solidFill>
              <a:ln>
                <a:noFill/>
              </a:ln>
            </c:spPr>
          </c:marker>
          <c:xVal>
            <c:numRef>
              <c:f>Stabilito!$B$190:$B$193</c:f>
              <c:numCache>
                <c:formatCode>0.00</c:formatCode>
                <c:ptCount val="4"/>
                <c:pt idx="0">
                  <c:v>2.6384345508526477</c:v>
                </c:pt>
                <c:pt idx="1">
                  <c:v>2.6384345508526477</c:v>
                </c:pt>
                <c:pt idx="2">
                  <c:v>3.2765219566800132</c:v>
                </c:pt>
                <c:pt idx="3">
                  <c:v>3.2765219566800132</c:v>
                </c:pt>
              </c:numCache>
            </c:numRef>
          </c:xVal>
          <c:yVal>
            <c:numRef>
              <c:f>Stabilito!$C$190:$C$193</c:f>
              <c:numCache>
                <c:formatCode>0.00</c:formatCode>
                <c:ptCount val="4"/>
                <c:pt idx="0">
                  <c:v>15.677184507305929</c:v>
                </c:pt>
                <c:pt idx="1">
                  <c:v>15.677184507305929</c:v>
                </c:pt>
                <c:pt idx="2">
                  <c:v>15.677184507305929</c:v>
                </c:pt>
                <c:pt idx="3">
                  <c:v>15.677184507305929</c:v>
                </c:pt>
              </c:numCache>
            </c:numRef>
          </c:yVal>
          <c:smooth val="0"/>
          <c:extLst>
            <c:ext xmlns:c16="http://schemas.microsoft.com/office/drawing/2014/chart" uri="{C3380CC4-5D6E-409C-BE32-E72D297353CC}">
              <c16:uniqueId val="{0000000A-DD97-4068-951F-4990D529CDCA}"/>
            </c:ext>
          </c:extLst>
        </c:ser>
        <c:ser>
          <c:idx val="11"/>
          <c:order val="5"/>
          <c:tx>
            <c:v>Fusée en cours0</c:v>
          </c:tx>
          <c:spPr>
            <a:ln w="25400">
              <a:solidFill>
                <a:schemeClr val="tx1"/>
              </a:solidFill>
            </a:ln>
          </c:spPr>
          <c:marker>
            <c:symbol val="none"/>
          </c:marker>
          <c:xVal>
            <c:numRef>
              <c:f>Stabilito!$B$193:$B$194</c:f>
              <c:numCache>
                <c:formatCode>0.00</c:formatCode>
                <c:ptCount val="2"/>
                <c:pt idx="0">
                  <c:v>3.2765219566800132</c:v>
                </c:pt>
                <c:pt idx="1">
                  <c:v>2.6384345508526477</c:v>
                </c:pt>
              </c:numCache>
            </c:numRef>
          </c:xVal>
          <c:yVal>
            <c:numRef>
              <c:f>Stabilito!$C$193:$C$194</c:f>
              <c:numCache>
                <c:formatCode>0.00</c:formatCode>
                <c:ptCount val="2"/>
                <c:pt idx="0">
                  <c:v>15.677184507305929</c:v>
                </c:pt>
                <c:pt idx="1">
                  <c:v>15.677184507305929</c:v>
                </c:pt>
              </c:numCache>
            </c:numRef>
          </c:yVal>
          <c:smooth val="0"/>
          <c:extLst>
            <c:ext xmlns:c16="http://schemas.microsoft.com/office/drawing/2014/chart" uri="{C3380CC4-5D6E-409C-BE32-E72D297353CC}">
              <c16:uniqueId val="{0000000B-DD97-4068-951F-4990D529CDCA}"/>
            </c:ext>
          </c:extLst>
        </c:ser>
        <c:dLbls>
          <c:showLegendKey val="0"/>
          <c:showVal val="0"/>
          <c:showCatName val="0"/>
          <c:showSerName val="0"/>
          <c:showPercent val="0"/>
          <c:showBubbleSize val="0"/>
        </c:dLbls>
        <c:axId val="148471168"/>
        <c:axId val="148481536"/>
      </c:scatterChart>
      <c:valAx>
        <c:axId val="148471168"/>
        <c:scaling>
          <c:orientation val="minMax"/>
          <c:max val="7"/>
          <c:min val="0"/>
        </c:scaling>
        <c:delete val="0"/>
        <c:axPos val="b"/>
        <c:title>
          <c:tx>
            <c:strRef>
              <c:f>Stabilito!$B$118</c:f>
              <c:strCache>
                <c:ptCount val="1"/>
                <c:pt idx="0">
                  <c:v>Marge Statique (MS)</c:v>
                </c:pt>
              </c:strCache>
            </c:strRef>
          </c:tx>
          <c:layout>
            <c:manualLayout>
              <c:xMode val="edge"/>
              <c:yMode val="edge"/>
              <c:x val="0.51717271009913568"/>
              <c:y val="0.73094047244094495"/>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81536"/>
        <c:crosses val="autoZero"/>
        <c:crossBetween val="midCat"/>
      </c:valAx>
      <c:valAx>
        <c:axId val="148481536"/>
        <c:scaling>
          <c:orientation val="minMax"/>
          <c:max val="55"/>
          <c:min val="0"/>
        </c:scaling>
        <c:delete val="0"/>
        <c:axPos val="l"/>
        <c:title>
          <c:tx>
            <c:strRef>
              <c:f>Stabilito!$B$119</c:f>
              <c:strCache>
                <c:ptCount val="1"/>
                <c:pt idx="0">
                  <c:v>Portance Cnα</c:v>
                </c:pt>
              </c:strCache>
            </c:strRef>
          </c:tx>
          <c:layout>
            <c:manualLayout>
              <c:xMode val="edge"/>
              <c:yMode val="edge"/>
              <c:x val="6.9119481083972797E-2"/>
              <c:y val="0.24099905511811029"/>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71168"/>
        <c:crosses val="autoZero"/>
        <c:crossBetween val="midCat"/>
      </c:valAx>
      <c:spPr>
        <a:no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Trajecto!$B$111</c:f>
          <c:strCache>
            <c:ptCount val="1"/>
            <c:pt idx="0">
              <c:v>Trajectoire (x z)</c:v>
            </c:pt>
          </c:strCache>
        </c:strRef>
      </c:tx>
      <c:layout>
        <c:manualLayout>
          <c:xMode val="edge"/>
          <c:yMode val="edge"/>
          <c:x val="0.66868786671936287"/>
          <c:y val="3.8575744069727136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6.9697175950449913E-2"/>
          <c:y val="3.5608360198500402E-2"/>
          <c:w val="0.89697235136230857"/>
          <c:h val="0.89614373166225958"/>
        </c:manualLayout>
      </c:layout>
      <c:scatterChart>
        <c:scatterStyle val="lineMarker"/>
        <c:varyColors val="0"/>
        <c:ser>
          <c:idx val="0"/>
          <c:order val="0"/>
          <c:tx>
            <c:v>Point invisible pour mise à l'echelle</c:v>
          </c:tx>
          <c:spPr>
            <a:ln w="3175">
              <a:solidFill>
                <a:srgbClr val="99CCFF"/>
              </a:solidFill>
              <a:prstDash val="solid"/>
            </a:ln>
          </c:spPr>
          <c:marker>
            <c:symbol val="none"/>
          </c:marker>
          <c:xVal>
            <c:numRef>
              <c:f>Trajecto!$B$121</c:f>
              <c:numCache>
                <c:formatCode>0</c:formatCode>
                <c:ptCount val="1"/>
                <c:pt idx="0">
                  <c:v>2217.1304653508096</c:v>
                </c:pt>
              </c:numCache>
            </c:numRef>
          </c:xVal>
          <c:yVal>
            <c:numRef>
              <c:f>Trajecto!$C$121</c:f>
              <c:numCache>
                <c:formatCode>0</c:formatCode>
                <c:ptCount val="1"/>
                <c:pt idx="0">
                  <c:v>2217.1304653508096</c:v>
                </c:pt>
              </c:numCache>
            </c:numRef>
          </c:yVal>
          <c:smooth val="1"/>
          <c:extLst>
            <c:ext xmlns:c16="http://schemas.microsoft.com/office/drawing/2014/chart" uri="{C3380CC4-5D6E-409C-BE32-E72D297353CC}">
              <c16:uniqueId val="{00000000-432A-49A9-9499-7ED3E32DDB07}"/>
            </c:ext>
          </c:extLst>
        </c:ser>
        <c:ser>
          <c:idx val="1"/>
          <c:order val="1"/>
          <c:tx>
            <c:v>1 point par seconde</c:v>
          </c:tx>
          <c:spPr>
            <a:ln w="28575">
              <a:noFill/>
            </a:ln>
          </c:spPr>
          <c:marker>
            <c:symbol val="plus"/>
            <c:size val="7"/>
            <c:spPr>
              <a:noFill/>
              <a:ln>
                <a:solidFill>
                  <a:srgbClr val="000000"/>
                </a:solidFill>
                <a:prstDash val="solid"/>
              </a:ln>
            </c:spPr>
          </c:marker>
          <c:xVal>
            <c:numRef>
              <c:f>Calculs!$AD$4:$AD$1004</c:f>
              <c:numCache>
                <c:formatCode>0</c:formatCode>
                <c:ptCount val="1001"/>
                <c:pt idx="0">
                  <c:v>0</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27.985765417362938</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74.349735073469944</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131.77349285330433</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189.54425130174459</c:v>
                </c:pt>
                <c:pt idx="401">
                  <c:v>#N/A</c:v>
                </c:pt>
                <c:pt idx="402">
                  <c:v>#N/A</c:v>
                </c:pt>
                <c:pt idx="403">
                  <c:v>#N/A</c:v>
                </c:pt>
                <c:pt idx="404">
                  <c:v>#N/A</c:v>
                </c:pt>
                <c:pt idx="405">
                  <c:v>#N/A</c:v>
                </c:pt>
                <c:pt idx="406">
                  <c:v>#N/A</c:v>
                </c:pt>
                <c:pt idx="407">
                  <c:v>#N/A</c:v>
                </c:pt>
                <c:pt idx="408">
                  <c:v>#N/A</c:v>
                </c:pt>
                <c:pt idx="409">
                  <c:v>#N/A</c:v>
                </c:pt>
                <c:pt idx="410">
                  <c:v>238.59723344636788</c:v>
                </c:pt>
                <c:pt idx="411">
                  <c:v>#N/A</c:v>
                </c:pt>
                <c:pt idx="412">
                  <c:v>#N/A</c:v>
                </c:pt>
                <c:pt idx="413">
                  <c:v>#N/A</c:v>
                </c:pt>
                <c:pt idx="414">
                  <c:v>#N/A</c:v>
                </c:pt>
                <c:pt idx="415">
                  <c:v>#N/A</c:v>
                </c:pt>
                <c:pt idx="416">
                  <c:v>#N/A</c:v>
                </c:pt>
                <c:pt idx="417">
                  <c:v>#N/A</c:v>
                </c:pt>
                <c:pt idx="418">
                  <c:v>#N/A</c:v>
                </c:pt>
                <c:pt idx="419">
                  <c:v>#N/A</c:v>
                </c:pt>
                <c:pt idx="420">
                  <c:v>281.10915554139939</c:v>
                </c:pt>
                <c:pt idx="421">
                  <c:v>#N/A</c:v>
                </c:pt>
                <c:pt idx="422">
                  <c:v>#N/A</c:v>
                </c:pt>
                <c:pt idx="423">
                  <c:v>#N/A</c:v>
                </c:pt>
                <c:pt idx="424">
                  <c:v>#N/A</c:v>
                </c:pt>
                <c:pt idx="425">
                  <c:v>#N/A</c:v>
                </c:pt>
                <c:pt idx="426">
                  <c:v>#N/A</c:v>
                </c:pt>
                <c:pt idx="427">
                  <c:v>#N/A</c:v>
                </c:pt>
                <c:pt idx="428">
                  <c:v>#N/A</c:v>
                </c:pt>
                <c:pt idx="429">
                  <c:v>#N/A</c:v>
                </c:pt>
                <c:pt idx="430">
                  <c:v>318.92826595861311</c:v>
                </c:pt>
                <c:pt idx="431">
                  <c:v>#N/A</c:v>
                </c:pt>
                <c:pt idx="432">
                  <c:v>#N/A</c:v>
                </c:pt>
                <c:pt idx="433">
                  <c:v>#N/A</c:v>
                </c:pt>
                <c:pt idx="434">
                  <c:v>#N/A</c:v>
                </c:pt>
                <c:pt idx="435">
                  <c:v>#N/A</c:v>
                </c:pt>
                <c:pt idx="436">
                  <c:v>#N/A</c:v>
                </c:pt>
                <c:pt idx="437">
                  <c:v>#N/A</c:v>
                </c:pt>
                <c:pt idx="438">
                  <c:v>#N/A</c:v>
                </c:pt>
                <c:pt idx="439">
                  <c:v>#N/A</c:v>
                </c:pt>
                <c:pt idx="440">
                  <c:v>353.24020340161132</c:v>
                </c:pt>
                <c:pt idx="441">
                  <c:v>#N/A</c:v>
                </c:pt>
                <c:pt idx="442">
                  <c:v>#N/A</c:v>
                </c:pt>
                <c:pt idx="443">
                  <c:v>#N/A</c:v>
                </c:pt>
                <c:pt idx="444">
                  <c:v>#N/A</c:v>
                </c:pt>
                <c:pt idx="445">
                  <c:v>#N/A</c:v>
                </c:pt>
                <c:pt idx="446">
                  <c:v>#N/A</c:v>
                </c:pt>
                <c:pt idx="447">
                  <c:v>#N/A</c:v>
                </c:pt>
                <c:pt idx="448">
                  <c:v>#N/A</c:v>
                </c:pt>
                <c:pt idx="449">
                  <c:v>#N/A</c:v>
                </c:pt>
                <c:pt idx="450">
                  <c:v>384.85580731325479</c:v>
                </c:pt>
                <c:pt idx="451">
                  <c:v>#N/A</c:v>
                </c:pt>
                <c:pt idx="452">
                  <c:v>#N/A</c:v>
                </c:pt>
                <c:pt idx="453">
                  <c:v>#N/A</c:v>
                </c:pt>
                <c:pt idx="454">
                  <c:v>#N/A</c:v>
                </c:pt>
                <c:pt idx="455">
                  <c:v>#N/A</c:v>
                </c:pt>
                <c:pt idx="456">
                  <c:v>#N/A</c:v>
                </c:pt>
                <c:pt idx="457">
                  <c:v>#N/A</c:v>
                </c:pt>
                <c:pt idx="458">
                  <c:v>#N/A</c:v>
                </c:pt>
                <c:pt idx="459">
                  <c:v>#N/A</c:v>
                </c:pt>
                <c:pt idx="460">
                  <c:v>414.35761370770643</c:v>
                </c:pt>
                <c:pt idx="461">
                  <c:v>#N/A</c:v>
                </c:pt>
                <c:pt idx="462">
                  <c:v>#N/A</c:v>
                </c:pt>
                <c:pt idx="463">
                  <c:v>#N/A</c:v>
                </c:pt>
                <c:pt idx="464">
                  <c:v>#N/A</c:v>
                </c:pt>
                <c:pt idx="465">
                  <c:v>#N/A</c:v>
                </c:pt>
                <c:pt idx="466">
                  <c:v>#N/A</c:v>
                </c:pt>
                <c:pt idx="467">
                  <c:v>#N/A</c:v>
                </c:pt>
                <c:pt idx="468">
                  <c:v>#N/A</c:v>
                </c:pt>
                <c:pt idx="469">
                  <c:v>#N/A</c:v>
                </c:pt>
                <c:pt idx="470">
                  <c:v>442.1810930231332</c:v>
                </c:pt>
                <c:pt idx="471">
                  <c:v>#N/A</c:v>
                </c:pt>
                <c:pt idx="472">
                  <c:v>#N/A</c:v>
                </c:pt>
                <c:pt idx="473">
                  <c:v>#N/A</c:v>
                </c:pt>
                <c:pt idx="474">
                  <c:v>#N/A</c:v>
                </c:pt>
                <c:pt idx="475">
                  <c:v>#N/A</c:v>
                </c:pt>
                <c:pt idx="476">
                  <c:v>#N/A</c:v>
                </c:pt>
                <c:pt idx="477">
                  <c:v>#N/A</c:v>
                </c:pt>
                <c:pt idx="478">
                  <c:v>#N/A</c:v>
                </c:pt>
                <c:pt idx="479">
                  <c:v>#N/A</c:v>
                </c:pt>
                <c:pt idx="480">
                  <c:v>468.66271272168609</c:v>
                </c:pt>
                <c:pt idx="481">
                  <c:v>#N/A</c:v>
                </c:pt>
                <c:pt idx="482">
                  <c:v>#N/A</c:v>
                </c:pt>
                <c:pt idx="483">
                  <c:v>#N/A</c:v>
                </c:pt>
                <c:pt idx="484">
                  <c:v>#N/A</c:v>
                </c:pt>
                <c:pt idx="485">
                  <c:v>#N/A</c:v>
                </c:pt>
                <c:pt idx="486">
                  <c:v>#N/A</c:v>
                </c:pt>
                <c:pt idx="487">
                  <c:v>#N/A</c:v>
                </c:pt>
                <c:pt idx="488">
                  <c:v>#N/A</c:v>
                </c:pt>
                <c:pt idx="489">
                  <c:v>#N/A</c:v>
                </c:pt>
                <c:pt idx="490">
                  <c:v>494.06977195875857</c:v>
                </c:pt>
                <c:pt idx="491">
                  <c:v>#N/A</c:v>
                </c:pt>
                <c:pt idx="492">
                  <c:v>#N/A</c:v>
                </c:pt>
                <c:pt idx="493">
                  <c:v>#N/A</c:v>
                </c:pt>
                <c:pt idx="494">
                  <c:v>#N/A</c:v>
                </c:pt>
                <c:pt idx="495">
                  <c:v>#N/A</c:v>
                </c:pt>
                <c:pt idx="496">
                  <c:v>#N/A</c:v>
                </c:pt>
                <c:pt idx="497">
                  <c:v>#N/A</c:v>
                </c:pt>
                <c:pt idx="498">
                  <c:v>#N/A</c:v>
                </c:pt>
                <c:pt idx="499">
                  <c:v>#N/A</c:v>
                </c:pt>
                <c:pt idx="500">
                  <c:v>518.61945654409647</c:v>
                </c:pt>
                <c:pt idx="501">
                  <c:v>#N/A</c:v>
                </c:pt>
                <c:pt idx="502">
                  <c:v>#N/A</c:v>
                </c:pt>
                <c:pt idx="503">
                  <c:v>#N/A</c:v>
                </c:pt>
                <c:pt idx="504">
                  <c:v>#N/A</c:v>
                </c:pt>
                <c:pt idx="505">
                  <c:v>#N/A</c:v>
                </c:pt>
                <c:pt idx="506">
                  <c:v>#N/A</c:v>
                </c:pt>
                <c:pt idx="507">
                  <c:v>#N/A</c:v>
                </c:pt>
                <c:pt idx="508">
                  <c:v>#N/A</c:v>
                </c:pt>
                <c:pt idx="509">
                  <c:v>#N/A</c:v>
                </c:pt>
                <c:pt idx="510">
                  <c:v>542.49087238326422</c:v>
                </c:pt>
                <c:pt idx="511">
                  <c:v>#N/A</c:v>
                </c:pt>
                <c:pt idx="512">
                  <c:v>#N/A</c:v>
                </c:pt>
                <c:pt idx="513">
                  <c:v>#N/A</c:v>
                </c:pt>
                <c:pt idx="514">
                  <c:v>#N/A</c:v>
                </c:pt>
                <c:pt idx="515">
                  <c:v>#N/A</c:v>
                </c:pt>
                <c:pt idx="516">
                  <c:v>#N/A</c:v>
                </c:pt>
                <c:pt idx="517">
                  <c:v>#N/A</c:v>
                </c:pt>
                <c:pt idx="518">
                  <c:v>#N/A</c:v>
                </c:pt>
                <c:pt idx="519">
                  <c:v>#N/A</c:v>
                </c:pt>
                <c:pt idx="520">
                  <c:v>565.83161535899944</c:v>
                </c:pt>
                <c:pt idx="521">
                  <c:v>#N/A</c:v>
                </c:pt>
                <c:pt idx="522">
                  <c:v>#N/A</c:v>
                </c:pt>
                <c:pt idx="523">
                  <c:v>#N/A</c:v>
                </c:pt>
                <c:pt idx="524">
                  <c:v>#N/A</c:v>
                </c:pt>
                <c:pt idx="525">
                  <c:v>#N/A</c:v>
                </c:pt>
                <c:pt idx="526">
                  <c:v>#N/A</c:v>
                </c:pt>
                <c:pt idx="527">
                  <c:v>#N/A</c:v>
                </c:pt>
                <c:pt idx="528">
                  <c:v>#N/A</c:v>
                </c:pt>
                <c:pt idx="529">
                  <c:v>#N/A</c:v>
                </c:pt>
                <c:pt idx="530">
                  <c:v>588.75860366150209</c:v>
                </c:pt>
                <c:pt idx="531">
                  <c:v>#N/A</c:v>
                </c:pt>
                <c:pt idx="532">
                  <c:v>#N/A</c:v>
                </c:pt>
                <c:pt idx="533">
                  <c:v>#N/A</c:v>
                </c:pt>
                <c:pt idx="534">
                  <c:v>#N/A</c:v>
                </c:pt>
                <c:pt idx="535">
                  <c:v>#N/A</c:v>
                </c:pt>
                <c:pt idx="536">
                  <c:v>#N/A</c:v>
                </c:pt>
                <c:pt idx="537">
                  <c:v>#N/A</c:v>
                </c:pt>
                <c:pt idx="538">
                  <c:v>#N/A</c:v>
                </c:pt>
                <c:pt idx="539">
                  <c:v>#N/A</c:v>
                </c:pt>
                <c:pt idx="540">
                  <c:v>611.35152497469494</c:v>
                </c:pt>
                <c:pt idx="541">
                  <c:v>#N/A</c:v>
                </c:pt>
                <c:pt idx="542">
                  <c:v>#N/A</c:v>
                </c:pt>
                <c:pt idx="543">
                  <c:v>#N/A</c:v>
                </c:pt>
                <c:pt idx="544">
                  <c:v>#N/A</c:v>
                </c:pt>
                <c:pt idx="545">
                  <c:v>#N/A</c:v>
                </c:pt>
                <c:pt idx="546">
                  <c:v>#N/A</c:v>
                </c:pt>
                <c:pt idx="547">
                  <c:v>#N/A</c:v>
                </c:pt>
                <c:pt idx="548">
                  <c:v>#N/A</c:v>
                </c:pt>
                <c:pt idx="549">
                  <c:v>#N/A</c:v>
                </c:pt>
                <c:pt idx="550">
                  <c:v>633.64080302332115</c:v>
                </c:pt>
                <c:pt idx="551">
                  <c:v>#N/A</c:v>
                </c:pt>
                <c:pt idx="552">
                  <c:v>#N/A</c:v>
                </c:pt>
                <c:pt idx="553">
                  <c:v>#N/A</c:v>
                </c:pt>
                <c:pt idx="554">
                  <c:v>#N/A</c:v>
                </c:pt>
                <c:pt idx="555">
                  <c:v>#N/A</c:v>
                </c:pt>
                <c:pt idx="556">
                  <c:v>#N/A</c:v>
                </c:pt>
                <c:pt idx="557">
                  <c:v>#N/A</c:v>
                </c:pt>
                <c:pt idx="558">
                  <c:v>#N/A</c:v>
                </c:pt>
                <c:pt idx="559">
                  <c:v>#N/A</c:v>
                </c:pt>
                <c:pt idx="560">
                  <c:v>655.60400723109547</c:v>
                </c:pt>
                <c:pt idx="561">
                  <c:v>#N/A</c:v>
                </c:pt>
                <c:pt idx="562">
                  <c:v>#N/A</c:v>
                </c:pt>
                <c:pt idx="563">
                  <c:v>#N/A</c:v>
                </c:pt>
                <c:pt idx="564">
                  <c:v>#N/A</c:v>
                </c:pt>
                <c:pt idx="565">
                  <c:v>#N/A</c:v>
                </c:pt>
                <c:pt idx="566">
                  <c:v>#N/A</c:v>
                </c:pt>
                <c:pt idx="567">
                  <c:v>#N/A</c:v>
                </c:pt>
                <c:pt idx="568">
                  <c:v>#N/A</c:v>
                </c:pt>
                <c:pt idx="569">
                  <c:v>#N/A</c:v>
                </c:pt>
                <c:pt idx="570">
                  <c:v>677.18069152458622</c:v>
                </c:pt>
                <c:pt idx="571">
                  <c:v>#N/A</c:v>
                </c:pt>
                <c:pt idx="572">
                  <c:v>#N/A</c:v>
                </c:pt>
                <c:pt idx="573">
                  <c:v>#N/A</c:v>
                </c:pt>
                <c:pt idx="574">
                  <c:v>#N/A</c:v>
                </c:pt>
                <c:pt idx="575">
                  <c:v>#N/A</c:v>
                </c:pt>
                <c:pt idx="576">
                  <c:v>#N/A</c:v>
                </c:pt>
                <c:pt idx="577">
                  <c:v>#N/A</c:v>
                </c:pt>
                <c:pt idx="578">
                  <c:v>#N/A</c:v>
                </c:pt>
                <c:pt idx="579">
                  <c:v>#N/A</c:v>
                </c:pt>
                <c:pt idx="580">
                  <c:v>698.29264129185026</c:v>
                </c:pt>
                <c:pt idx="581">
                  <c:v>#N/A</c:v>
                </c:pt>
                <c:pt idx="582">
                  <c:v>#N/A</c:v>
                </c:pt>
                <c:pt idx="583">
                  <c:v>#N/A</c:v>
                </c:pt>
                <c:pt idx="584">
                  <c:v>#N/A</c:v>
                </c:pt>
                <c:pt idx="585">
                  <c:v>#N/A</c:v>
                </c:pt>
                <c:pt idx="586">
                  <c:v>#N/A</c:v>
                </c:pt>
                <c:pt idx="587">
                  <c:v>#N/A</c:v>
                </c:pt>
                <c:pt idx="588">
                  <c:v>#N/A</c:v>
                </c:pt>
                <c:pt idx="589">
                  <c:v>#N/A</c:v>
                </c:pt>
                <c:pt idx="590">
                  <c:v>718.85784161298443</c:v>
                </c:pt>
                <c:pt idx="591">
                  <c:v>#N/A</c:v>
                </c:pt>
                <c:pt idx="592">
                  <c:v>#N/A</c:v>
                </c:pt>
                <c:pt idx="593">
                  <c:v>#N/A</c:v>
                </c:pt>
                <c:pt idx="594">
                  <c:v>#N/A</c:v>
                </c:pt>
                <c:pt idx="595">
                  <c:v>#N/A</c:v>
                </c:pt>
                <c:pt idx="596">
                  <c:v>#N/A</c:v>
                </c:pt>
                <c:pt idx="597">
                  <c:v>#N/A</c:v>
                </c:pt>
                <c:pt idx="598">
                  <c:v>#N/A</c:v>
                </c:pt>
                <c:pt idx="599">
                  <c:v>#N/A</c:v>
                </c:pt>
                <c:pt idx="600">
                  <c:v>738.79833426122104</c:v>
                </c:pt>
                <c:pt idx="601">
                  <c:v>#N/A</c:v>
                </c:pt>
                <c:pt idx="602">
                  <c:v>#N/A</c:v>
                </c:pt>
                <c:pt idx="603">
                  <c:v>#N/A</c:v>
                </c:pt>
                <c:pt idx="604">
                  <c:v>#N/A</c:v>
                </c:pt>
                <c:pt idx="605">
                  <c:v>#N/A</c:v>
                </c:pt>
                <c:pt idx="606">
                  <c:v>#N/A</c:v>
                </c:pt>
                <c:pt idx="607">
                  <c:v>#N/A</c:v>
                </c:pt>
                <c:pt idx="608">
                  <c:v>#N/A</c:v>
                </c:pt>
                <c:pt idx="609">
                  <c:v>#N/A</c:v>
                </c:pt>
                <c:pt idx="610">
                  <c:v>758.04457929526905</c:v>
                </c:pt>
                <c:pt idx="611">
                  <c:v>#N/A</c:v>
                </c:pt>
                <c:pt idx="612">
                  <c:v>#N/A</c:v>
                </c:pt>
                <c:pt idx="613">
                  <c:v>#N/A</c:v>
                </c:pt>
                <c:pt idx="614">
                  <c:v>#N/A</c:v>
                </c:pt>
                <c:pt idx="615">
                  <c:v>#N/A</c:v>
                </c:pt>
                <c:pt idx="616">
                  <c:v>#N/A</c:v>
                </c:pt>
                <c:pt idx="617">
                  <c:v>#N/A</c:v>
                </c:pt>
                <c:pt idx="618">
                  <c:v>#N/A</c:v>
                </c:pt>
                <c:pt idx="619">
                  <c:v>#N/A</c:v>
                </c:pt>
                <c:pt idx="620">
                  <c:v>776.53785829139713</c:v>
                </c:pt>
                <c:pt idx="621">
                  <c:v>#N/A</c:v>
                </c:pt>
                <c:pt idx="622">
                  <c:v>#N/A</c:v>
                </c:pt>
                <c:pt idx="623">
                  <c:v>#N/A</c:v>
                </c:pt>
                <c:pt idx="624">
                  <c:v>#N/A</c:v>
                </c:pt>
                <c:pt idx="625">
                  <c:v>#N/A</c:v>
                </c:pt>
                <c:pt idx="626">
                  <c:v>#N/A</c:v>
                </c:pt>
                <c:pt idx="627">
                  <c:v>#N/A</c:v>
                </c:pt>
                <c:pt idx="628">
                  <c:v>#N/A</c:v>
                </c:pt>
                <c:pt idx="629">
                  <c:v>#N/A</c:v>
                </c:pt>
                <c:pt idx="630">
                  <c:v>794.23145017202785</c:v>
                </c:pt>
                <c:pt idx="631">
                  <c:v>#N/A</c:v>
                </c:pt>
                <c:pt idx="632">
                  <c:v>#N/A</c:v>
                </c:pt>
                <c:pt idx="633">
                  <c:v>#N/A</c:v>
                </c:pt>
                <c:pt idx="634">
                  <c:v>#N/A</c:v>
                </c:pt>
                <c:pt idx="635">
                  <c:v>#N/A</c:v>
                </c:pt>
                <c:pt idx="636">
                  <c:v>#N/A</c:v>
                </c:pt>
                <c:pt idx="637">
                  <c:v>#N/A</c:v>
                </c:pt>
                <c:pt idx="638">
                  <c:v>#N/A</c:v>
                </c:pt>
                <c:pt idx="639">
                  <c:v>#N/A</c:v>
                </c:pt>
                <c:pt idx="640">
                  <c:v>811.09095649730864</c:v>
                </c:pt>
                <c:pt idx="641">
                  <c:v>#N/A</c:v>
                </c:pt>
                <c:pt idx="642">
                  <c:v>#N/A</c:v>
                </c:pt>
                <c:pt idx="643">
                  <c:v>#N/A</c:v>
                </c:pt>
                <c:pt idx="644">
                  <c:v>#N/A</c:v>
                </c:pt>
                <c:pt idx="645">
                  <c:v>#N/A</c:v>
                </c:pt>
                <c:pt idx="646">
                  <c:v>#N/A</c:v>
                </c:pt>
                <c:pt idx="647">
                  <c:v>#N/A</c:v>
                </c:pt>
                <c:pt idx="648">
                  <c:v>#N/A</c:v>
                </c:pt>
                <c:pt idx="649">
                  <c:v>#N/A</c:v>
                </c:pt>
                <c:pt idx="650">
                  <c:v>827.09400980062435</c:v>
                </c:pt>
                <c:pt idx="651">
                  <c:v>#N/A</c:v>
                </c:pt>
                <c:pt idx="652">
                  <c:v>#N/A</c:v>
                </c:pt>
                <c:pt idx="653">
                  <c:v>#N/A</c:v>
                </c:pt>
                <c:pt idx="654">
                  <c:v>#N/A</c:v>
                </c:pt>
                <c:pt idx="655">
                  <c:v>#N/A</c:v>
                </c:pt>
                <c:pt idx="656">
                  <c:v>#N/A</c:v>
                </c:pt>
                <c:pt idx="657">
                  <c:v>#N/A</c:v>
                </c:pt>
                <c:pt idx="658">
                  <c:v>#N/A</c:v>
                </c:pt>
                <c:pt idx="659">
                  <c:v>#N/A</c:v>
                </c:pt>
                <c:pt idx="660">
                  <c:v>842.22953731957114</c:v>
                </c:pt>
                <c:pt idx="661">
                  <c:v>#N/A</c:v>
                </c:pt>
                <c:pt idx="662">
                  <c:v>#N/A</c:v>
                </c:pt>
                <c:pt idx="663">
                  <c:v>#N/A</c:v>
                </c:pt>
                <c:pt idx="664">
                  <c:v>#N/A</c:v>
                </c:pt>
                <c:pt idx="665">
                  <c:v>#N/A</c:v>
                </c:pt>
                <c:pt idx="666">
                  <c:v>#N/A</c:v>
                </c:pt>
                <c:pt idx="667">
                  <c:v>#N/A</c:v>
                </c:pt>
                <c:pt idx="668">
                  <c:v>#N/A</c:v>
                </c:pt>
                <c:pt idx="669">
                  <c:v>#N/A</c:v>
                </c:pt>
                <c:pt idx="670">
                  <c:v>856.4967206284233</c:v>
                </c:pt>
                <c:pt idx="671">
                  <c:v>#N/A</c:v>
                </c:pt>
                <c:pt idx="672">
                  <c:v>#N/A</c:v>
                </c:pt>
                <c:pt idx="673">
                  <c:v>#N/A</c:v>
                </c:pt>
                <c:pt idx="674">
                  <c:v>#N/A</c:v>
                </c:pt>
                <c:pt idx="675">
                  <c:v>#N/A</c:v>
                </c:pt>
                <c:pt idx="676">
                  <c:v>#N/A</c:v>
                </c:pt>
                <c:pt idx="677">
                  <c:v>#N/A</c:v>
                </c:pt>
                <c:pt idx="678">
                  <c:v>#N/A</c:v>
                </c:pt>
                <c:pt idx="679">
                  <c:v>#N/A</c:v>
                </c:pt>
                <c:pt idx="680">
                  <c:v>869.90376906863219</c:v>
                </c:pt>
                <c:pt idx="681">
                  <c:v>#N/A</c:v>
                </c:pt>
                <c:pt idx="682">
                  <c:v>#N/A</c:v>
                </c:pt>
                <c:pt idx="683">
                  <c:v>#N/A</c:v>
                </c:pt>
                <c:pt idx="684">
                  <c:v>#N/A</c:v>
                </c:pt>
                <c:pt idx="685">
                  <c:v>#N/A</c:v>
                </c:pt>
                <c:pt idx="686">
                  <c:v>#N/A</c:v>
                </c:pt>
                <c:pt idx="687">
                  <c:v>#N/A</c:v>
                </c:pt>
                <c:pt idx="688">
                  <c:v>#N/A</c:v>
                </c:pt>
                <c:pt idx="689">
                  <c:v>#N/A</c:v>
                </c:pt>
                <c:pt idx="690">
                  <c:v>882.46660452128174</c:v>
                </c:pt>
                <c:pt idx="691">
                  <c:v>#N/A</c:v>
                </c:pt>
                <c:pt idx="692">
                  <c:v>#N/A</c:v>
                </c:pt>
                <c:pt idx="693">
                  <c:v>#N/A</c:v>
                </c:pt>
                <c:pt idx="694">
                  <c:v>#N/A</c:v>
                </c:pt>
                <c:pt idx="695">
                  <c:v>#N/A</c:v>
                </c:pt>
                <c:pt idx="696">
                  <c:v>#N/A</c:v>
                </c:pt>
                <c:pt idx="697">
                  <c:v>#N/A</c:v>
                </c:pt>
                <c:pt idx="698">
                  <c:v>#N/A</c:v>
                </c:pt>
                <c:pt idx="699">
                  <c:v>#N/A</c:v>
                </c:pt>
                <c:pt idx="700">
                  <c:v>894.20753526625776</c:v>
                </c:pt>
                <c:pt idx="701">
                  <c:v>#N/A</c:v>
                </c:pt>
                <c:pt idx="702">
                  <c:v>#N/A</c:v>
                </c:pt>
                <c:pt idx="703">
                  <c:v>#N/A</c:v>
                </c:pt>
                <c:pt idx="704">
                  <c:v>#N/A</c:v>
                </c:pt>
                <c:pt idx="705">
                  <c:v>#N/A</c:v>
                </c:pt>
                <c:pt idx="706">
                  <c:v>#N/A</c:v>
                </c:pt>
                <c:pt idx="707">
                  <c:v>#N/A</c:v>
                </c:pt>
                <c:pt idx="708">
                  <c:v>#N/A</c:v>
                </c:pt>
                <c:pt idx="709">
                  <c:v>#N/A</c:v>
                </c:pt>
                <c:pt idx="710">
                  <c:v>905.1539776812931</c:v>
                </c:pt>
                <c:pt idx="711">
                  <c:v>#N/A</c:v>
                </c:pt>
                <c:pt idx="712">
                  <c:v>#N/A</c:v>
                </c:pt>
                <c:pt idx="713">
                  <c:v>#N/A</c:v>
                </c:pt>
                <c:pt idx="714">
                  <c:v>#N/A</c:v>
                </c:pt>
                <c:pt idx="715">
                  <c:v>#N/A</c:v>
                </c:pt>
                <c:pt idx="716">
                  <c:v>#N/A</c:v>
                </c:pt>
                <c:pt idx="717">
                  <c:v>#N/A</c:v>
                </c:pt>
                <c:pt idx="718">
                  <c:v>#N/A</c:v>
                </c:pt>
                <c:pt idx="719">
                  <c:v>#N/A</c:v>
                </c:pt>
                <c:pt idx="720">
                  <c:v>915.33726712272914</c:v>
                </c:pt>
                <c:pt idx="721">
                  <c:v>#N/A</c:v>
                </c:pt>
                <c:pt idx="722">
                  <c:v>#N/A</c:v>
                </c:pt>
                <c:pt idx="723">
                  <c:v>#N/A</c:v>
                </c:pt>
                <c:pt idx="724">
                  <c:v>#N/A</c:v>
                </c:pt>
                <c:pt idx="725">
                  <c:v>#N/A</c:v>
                </c:pt>
                <c:pt idx="726">
                  <c:v>#N/A</c:v>
                </c:pt>
                <c:pt idx="727">
                  <c:v>#N/A</c:v>
                </c:pt>
                <c:pt idx="728">
                  <c:v>#N/A</c:v>
                </c:pt>
                <c:pt idx="729">
                  <c:v>#N/A</c:v>
                </c:pt>
                <c:pt idx="730">
                  <c:v>924.79158418620511</c:v>
                </c:pt>
                <c:pt idx="731">
                  <c:v>#N/A</c:v>
                </c:pt>
                <c:pt idx="732">
                  <c:v>#N/A</c:v>
                </c:pt>
                <c:pt idx="733">
                  <c:v>#N/A</c:v>
                </c:pt>
                <c:pt idx="734">
                  <c:v>#N/A</c:v>
                </c:pt>
                <c:pt idx="735">
                  <c:v>#N/A</c:v>
                </c:pt>
                <c:pt idx="736">
                  <c:v>#N/A</c:v>
                </c:pt>
                <c:pt idx="737">
                  <c:v>#N/A</c:v>
                </c:pt>
                <c:pt idx="738">
                  <c:v>#N/A</c:v>
                </c:pt>
                <c:pt idx="739">
                  <c:v>#N/A</c:v>
                </c:pt>
                <c:pt idx="740">
                  <c:v>933.55301006481932</c:v>
                </c:pt>
                <c:pt idx="741">
                  <c:v>#N/A</c:v>
                </c:pt>
                <c:pt idx="742">
                  <c:v>#N/A</c:v>
                </c:pt>
                <c:pt idx="743">
                  <c:v>#N/A</c:v>
                </c:pt>
                <c:pt idx="744">
                  <c:v>#N/A</c:v>
                </c:pt>
                <c:pt idx="745">
                  <c:v>#N/A</c:v>
                </c:pt>
                <c:pt idx="746">
                  <c:v>#N/A</c:v>
                </c:pt>
                <c:pt idx="747">
                  <c:v>#N/A</c:v>
                </c:pt>
                <c:pt idx="748">
                  <c:v>#N/A</c:v>
                </c:pt>
                <c:pt idx="749">
                  <c:v>#N/A</c:v>
                </c:pt>
                <c:pt idx="750">
                  <c:v>941.65871499016441</c:v>
                </c:pt>
                <c:pt idx="751">
                  <c:v>#N/A</c:v>
                </c:pt>
                <c:pt idx="752">
                  <c:v>#N/A</c:v>
                </c:pt>
                <c:pt idx="753">
                  <c:v>#N/A</c:v>
                </c:pt>
                <c:pt idx="754">
                  <c:v>#N/A</c:v>
                </c:pt>
                <c:pt idx="755">
                  <c:v>#N/A</c:v>
                </c:pt>
                <c:pt idx="756">
                  <c:v>#N/A</c:v>
                </c:pt>
                <c:pt idx="757">
                  <c:v>#N/A</c:v>
                </c:pt>
                <c:pt idx="758">
                  <c:v>#N/A</c:v>
                </c:pt>
                <c:pt idx="759">
                  <c:v>#N/A</c:v>
                </c:pt>
                <c:pt idx="760">
                  <c:v>949.14627659817074</c:v>
                </c:pt>
                <c:pt idx="761">
                  <c:v>#N/A</c:v>
                </c:pt>
                <c:pt idx="762">
                  <c:v>#N/A</c:v>
                </c:pt>
                <c:pt idx="763">
                  <c:v>#N/A</c:v>
                </c:pt>
                <c:pt idx="764">
                  <c:v>#N/A</c:v>
                </c:pt>
                <c:pt idx="765">
                  <c:v>#N/A</c:v>
                </c:pt>
                <c:pt idx="766">
                  <c:v>#N/A</c:v>
                </c:pt>
                <c:pt idx="767">
                  <c:v>#N/A</c:v>
                </c:pt>
                <c:pt idx="768">
                  <c:v>#N/A</c:v>
                </c:pt>
                <c:pt idx="769">
                  <c:v>#N/A</c:v>
                </c:pt>
                <c:pt idx="770">
                  <c:v>956.0531201890625</c:v>
                </c:pt>
                <c:pt idx="771">
                  <c:v>#N/A</c:v>
                </c:pt>
                <c:pt idx="772">
                  <c:v>#N/A</c:v>
                </c:pt>
                <c:pt idx="773">
                  <c:v>#N/A</c:v>
                </c:pt>
                <c:pt idx="774">
                  <c:v>#N/A</c:v>
                </c:pt>
                <c:pt idx="775">
                  <c:v>#N/A</c:v>
                </c:pt>
                <c:pt idx="776">
                  <c:v>#N/A</c:v>
                </c:pt>
                <c:pt idx="777">
                  <c:v>#N/A</c:v>
                </c:pt>
                <c:pt idx="778">
                  <c:v>#N/A</c:v>
                </c:pt>
                <c:pt idx="779">
                  <c:v>#N/A</c:v>
                </c:pt>
                <c:pt idx="780">
                  <c:v>962.41606985466763</c:v>
                </c:pt>
                <c:pt idx="781">
                  <c:v>#N/A</c:v>
                </c:pt>
                <c:pt idx="782">
                  <c:v>#N/A</c:v>
                </c:pt>
                <c:pt idx="783">
                  <c:v>#N/A</c:v>
                </c:pt>
                <c:pt idx="784">
                  <c:v>#N/A</c:v>
                </c:pt>
                <c:pt idx="785">
                  <c:v>#N/A</c:v>
                </c:pt>
                <c:pt idx="786">
                  <c:v>#N/A</c:v>
                </c:pt>
                <c:pt idx="787">
                  <c:v>#N/A</c:v>
                </c:pt>
                <c:pt idx="788">
                  <c:v>#N/A</c:v>
                </c:pt>
                <c:pt idx="789">
                  <c:v>#N/A</c:v>
                </c:pt>
                <c:pt idx="790">
                  <c:v>968.27099791893181</c:v>
                </c:pt>
                <c:pt idx="791">
                  <c:v>#N/A</c:v>
                </c:pt>
                <c:pt idx="792">
                  <c:v>#N/A</c:v>
                </c:pt>
                <c:pt idx="793">
                  <c:v>#N/A</c:v>
                </c:pt>
                <c:pt idx="794">
                  <c:v>#N/A</c:v>
                </c:pt>
                <c:pt idx="795">
                  <c:v>#N/A</c:v>
                </c:pt>
                <c:pt idx="796">
                  <c:v>#N/A</c:v>
                </c:pt>
                <c:pt idx="797">
                  <c:v>#N/A</c:v>
                </c:pt>
                <c:pt idx="798">
                  <c:v>#N/A</c:v>
                </c:pt>
                <c:pt idx="799">
                  <c:v>#N/A</c:v>
                </c:pt>
                <c:pt idx="800">
                  <c:v>973.65255969914074</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0</c:v>
                </c:pt>
                <c:pt idx="1">
                  <c:v>0.9847482099156567</c:v>
                </c:pt>
                <c:pt idx="2">
                  <c:v>1.9708158743514637</c:v>
                </c:pt>
                <c:pt idx="3">
                  <c:v>2.961079418210022</c:v>
                </c:pt>
                <c:pt idx="4">
                  <c:v>3.9584145720889357</c:v>
                </c:pt>
                <c:pt idx="5">
                  <c:v>4.9656827944024275</c:v>
                </c:pt>
                <c:pt idx="6">
                  <c:v>5.9850171664031286</c:v>
                </c:pt>
                <c:pt idx="7">
                  <c:v>7.0171068046332365</c:v>
                </c:pt>
                <c:pt idx="8">
                  <c:v>8.0619108910433823</c:v>
                </c:pt>
                <c:pt idx="9">
                  <c:v>9.1193883832660259</c:v>
                </c:pt>
                <c:pt idx="10">
                  <c:v>10.189498016550278</c:v>
                </c:pt>
                <c:pt idx="11">
                  <c:v>11.272198305715337</c:v>
                </c:pt>
                <c:pt idx="12">
                  <c:v>12.367447547121964</c:v>
                </c:pt>
                <c:pt idx="13">
                  <c:v>13.47520382066147</c:v>
                </c:pt>
                <c:pt idx="14">
                  <c:v>14.595424991761659</c:v>
                </c:pt>
                <c:pt idx="15">
                  <c:v>15.728068713409225</c:v>
                </c:pt>
                <c:pt idx="16">
                  <c:v>16.87309242818808</c:v>
                </c:pt>
                <c:pt idx="17">
                  <c:v>18.030453370333099</c:v>
                </c:pt>
                <c:pt idx="18">
                  <c:v>19.200108567798825</c:v>
                </c:pt>
                <c:pt idx="19">
                  <c:v>20.382014844342606</c:v>
                </c:pt>
                <c:pt idx="20">
                  <c:v>21.576128821621708</c:v>
                </c:pt>
                <c:pt idx="21">
                  <c:v>22.782406921303945</c:v>
                </c:pt>
                <c:pt idx="22">
                  <c:v>24.000805367191326</c:v>
                </c:pt>
                <c:pt idx="23">
                  <c:v>25.231280187356312</c:v>
                </c:pt>
                <c:pt idx="24">
                  <c:v>26.47378721629018</c:v>
                </c:pt>
                <c:pt idx="25">
                  <c:v>27.728282097063097</c:v>
                </c:pt>
                <c:pt idx="26">
                  <c:v>28.994720283495429</c:v>
                </c:pt>
                <c:pt idx="27">
                  <c:v>30.273057042339872</c:v>
                </c:pt>
                <c:pt idx="28">
                  <c:v>31.563247455473959</c:v>
                </c:pt>
                <c:pt idx="29">
                  <c:v>32.865246422102544</c:v>
                </c:pt>
                <c:pt idx="30">
                  <c:v>34.179008660969799</c:v>
                </c:pt>
                <c:pt idx="31">
                  <c:v>35.504488712580383</c:v>
                </c:pt>
                <c:pt idx="32">
                  <c:v>36.841640941429247</c:v>
                </c:pt>
                <c:pt idx="33">
                  <c:v>38.190419538239851</c:v>
                </c:pt>
                <c:pt idx="34">
                  <c:v>39.550778522210173</c:v>
                </c:pt>
                <c:pt idx="35">
                  <c:v>40.922671743266299</c:v>
                </c:pt>
                <c:pt idx="36">
                  <c:v>42.30605288432308</c:v>
                </c:pt>
                <c:pt idx="37">
                  <c:v>43.700875463551519</c:v>
                </c:pt>
                <c:pt idx="38">
                  <c:v>45.107092836652477</c:v>
                </c:pt>
                <c:pt idx="39">
                  <c:v>46.524658199136297</c:v>
                </c:pt>
                <c:pt idx="40">
                  <c:v>47.953524588608033</c:v>
                </c:pt>
                <c:pt idx="41">
                  <c:v>49.393644887057789</c:v>
                </c:pt>
                <c:pt idx="42">
                  <c:v>50.844971823155916</c:v>
                </c:pt>
                <c:pt idx="43">
                  <c:v>52.307457974552605</c:v>
                </c:pt>
                <c:pt idx="44">
                  <c:v>53.781055770181545</c:v>
                </c:pt>
                <c:pt idx="45">
                  <c:v>55.265717492567255</c:v>
                </c:pt>
                <c:pt idx="46">
                  <c:v>56.761395280135787</c:v>
                </c:pt>
                <c:pt idx="47">
                  <c:v>58.268041129528342</c:v>
                </c:pt>
                <c:pt idx="48">
                  <c:v>59.785606897917532</c:v>
                </c:pt>
                <c:pt idx="49">
                  <c:v>61.314044305325886</c:v>
                </c:pt>
                <c:pt idx="50">
                  <c:v>62.853304936946252</c:v>
                </c:pt>
                <c:pt idx="51">
                  <c:v>64.403344122442661</c:v>
                </c:pt>
                <c:pt idx="52">
                  <c:v>65.964124817409498</c:v>
                </c:pt>
                <c:pt idx="53">
                  <c:v>67.535613727695477</c:v>
                </c:pt>
                <c:pt idx="54">
                  <c:v>69.117777431181949</c:v>
                </c:pt>
                <c:pt idx="55">
                  <c:v>70.710582379331512</c:v>
                </c:pt>
                <c:pt idx="56">
                  <c:v>72.313994898741072</c:v>
                </c:pt>
                <c:pt idx="57">
                  <c:v>73.927981192699065</c:v>
                </c:pt>
                <c:pt idx="58">
                  <c:v>75.552507342746608</c:v>
                </c:pt>
                <c:pt idx="59">
                  <c:v>77.187539310242499</c:v>
                </c:pt>
                <c:pt idx="60">
                  <c:v>78.833042937931666</c:v>
                </c:pt>
                <c:pt idx="61">
                  <c:v>80.488983951517028</c:v>
                </c:pt>
                <c:pt idx="62">
                  <c:v>82.155327961234448</c:v>
                </c:pt>
                <c:pt idx="63">
                  <c:v>83.83204046343063</c:v>
                </c:pt>
                <c:pt idx="64">
                  <c:v>85.519086842143764</c:v>
                </c:pt>
                <c:pt idx="65">
                  <c:v>87.216432370686618</c:v>
                </c:pt>
                <c:pt idx="66">
                  <c:v>88.924042213232028</c:v>
                </c:pt>
                <c:pt idx="67">
                  <c:v>90.641881426400388</c:v>
                </c:pt>
                <c:pt idx="68">
                  <c:v>92.369914960849187</c:v>
                </c:pt>
                <c:pt idx="69">
                  <c:v>94.108107662864171</c:v>
                </c:pt>
                <c:pt idx="70">
                  <c:v>95.856424275951994</c:v>
                </c:pt>
                <c:pt idx="71">
                  <c:v>97.614829442434257</c:v>
                </c:pt>
                <c:pt idx="72">
                  <c:v>99.383287705042619</c:v>
                </c:pt>
                <c:pt idx="73">
                  <c:v>101.16176350851485</c:v>
                </c:pt>
                <c:pt idx="74">
                  <c:v>102.95022120119161</c:v>
                </c:pt>
                <c:pt idx="75">
                  <c:v>104.74862503661372</c:v>
                </c:pt>
                <c:pt idx="76">
                  <c:v>106.55693917511985</c:v>
                </c:pt>
                <c:pt idx="77">
                  <c:v>108.37512768544437</c:v>
                </c:pt>
                <c:pt idx="78">
                  <c:v>110.20315454631505</c:v>
                </c:pt>
                <c:pt idx="79">
                  <c:v>112.04098364805068</c:v>
                </c:pt>
                <c:pt idx="80">
                  <c:v>113.88857879415824</c:v>
                </c:pt>
                <c:pt idx="81">
                  <c:v>115.74590370292937</c:v>
                </c:pt>
                <c:pt idx="82">
                  <c:v>117.6129220090363</c:v>
                </c:pt>
                <c:pt idx="83">
                  <c:v>119.4895972651266</c:v>
                </c:pt>
                <c:pt idx="84">
                  <c:v>121.37589294341696</c:v>
                </c:pt>
                <c:pt idx="85">
                  <c:v>123.27177243728551</c:v>
                </c:pt>
                <c:pt idx="86">
                  <c:v>125.17719906286277</c:v>
                </c:pt>
                <c:pt idx="87">
                  <c:v>127.09213606062094</c:v>
                </c:pt>
                <c:pt idx="88">
                  <c:v>129.01654659696126</c:v>
                </c:pt>
                <c:pt idx="89">
                  <c:v>130.95039376579942</c:v>
                </c:pt>
                <c:pt idx="90">
                  <c:v>132.89364059014875</c:v>
                </c:pt>
                <c:pt idx="91">
                  <c:v>134.8462500237012</c:v>
                </c:pt>
                <c:pt idx="92">
                  <c:v>136.80818495240558</c:v>
                </c:pt>
                <c:pt idx="93">
                  <c:v>138.77940819604328</c:v>
                </c:pt>
                <c:pt idx="94">
                  <c:v>140.75988250980112</c:v>
                </c:pt>
                <c:pt idx="95">
                  <c:v>142.74957058584113</c:v>
                </c:pt>
                <c:pt idx="96">
                  <c:v>144.74843505486723</c:v>
                </c:pt>
                <c:pt idx="97">
                  <c:v>146.75643848768854</c:v>
                </c:pt>
                <c:pt idx="98">
                  <c:v>148.77354339677922</c:v>
                </c:pt>
                <c:pt idx="99">
                  <c:v>150.79971223783465</c:v>
                </c:pt>
                <c:pt idx="100">
                  <c:v>152.83490741132388</c:v>
                </c:pt>
                <c:pt idx="101">
                  <c:v>154.87908945814223</c:v>
                </c:pt>
                <c:pt idx="102">
                  <c:v>156.93221525581896</c:v>
                </c:pt>
                <c:pt idx="103">
                  <c:v>158.99423982945027</c:v>
                </c:pt>
                <c:pt idx="104">
                  <c:v>161.06511816222158</c:v>
                </c:pt>
                <c:pt idx="105">
                  <c:v>163.14480519724228</c:v>
                </c:pt>
                <c:pt idx="106">
                  <c:v>165.23325583937287</c:v>
                </c:pt>
                <c:pt idx="107">
                  <c:v>167.33042495704413</c:v>
                </c:pt>
                <c:pt idx="108">
                  <c:v>169.43626738406829</c:v>
                </c:pt>
                <c:pt idx="109">
                  <c:v>171.55073792144194</c:v>
                </c:pt>
                <c:pt idx="110">
                  <c:v>173.67379133914071</c:v>
                </c:pt>
                <c:pt idx="111">
                  <c:v>175.80538237790518</c:v>
                </c:pt>
                <c:pt idx="112">
                  <c:v>177.94546575101839</c:v>
                </c:pt>
                <c:pt idx="113">
                  <c:v>180.09399614607426</c:v>
                </c:pt>
                <c:pt idx="114">
                  <c:v>182.25092822673722</c:v>
                </c:pt>
                <c:pt idx="115">
                  <c:v>184.4162166344926</c:v>
                </c:pt>
                <c:pt idx="116">
                  <c:v>186.58981599038776</c:v>
                </c:pt>
                <c:pt idx="117">
                  <c:v>188.77168089676388</c:v>
                </c:pt>
                <c:pt idx="118">
                  <c:v>190.96176593897815</c:v>
                </c:pt>
                <c:pt idx="119">
                  <c:v>193.16002568711619</c:v>
                </c:pt>
                <c:pt idx="120">
                  <c:v>195.36641469769484</c:v>
                </c:pt>
                <c:pt idx="121">
                  <c:v>197.58088751535487</c:v>
                </c:pt>
                <c:pt idx="122">
                  <c:v>199.80339867454364</c:v>
                </c:pt>
                <c:pt idx="123">
                  <c:v>202.03390270118754</c:v>
                </c:pt>
                <c:pt idx="124">
                  <c:v>204.27235411435424</c:v>
                </c:pt>
                <c:pt idx="125">
                  <c:v>206.51870742790433</c:v>
                </c:pt>
                <c:pt idx="126">
                  <c:v>208.77291715213249</c:v>
                </c:pt>
                <c:pt idx="127">
                  <c:v>211.03493779539806</c:v>
                </c:pt>
                <c:pt idx="128">
                  <c:v>213.30472386574476</c:v>
                </c:pt>
                <c:pt idx="129">
                  <c:v>215.58222987250949</c:v>
                </c:pt>
                <c:pt idx="130">
                  <c:v>217.86741032792025</c:v>
                </c:pt>
                <c:pt idx="131">
                  <c:v>220.16021974868298</c:v>
                </c:pt>
                <c:pt idx="132">
                  <c:v>222.46061265755705</c:v>
                </c:pt>
                <c:pt idx="133">
                  <c:v>224.76854358491968</c:v>
                </c:pt>
                <c:pt idx="134">
                  <c:v>227.08396707031889</c:v>
                </c:pt>
                <c:pt idx="135">
                  <c:v>229.40683766401494</c:v>
                </c:pt>
                <c:pt idx="136">
                  <c:v>231.73710992851034</c:v>
                </c:pt>
                <c:pt idx="137">
                  <c:v>234.07473844006807</c:v>
                </c:pt>
                <c:pt idx="138">
                  <c:v>236.41967779021829</c:v>
                </c:pt>
                <c:pt idx="139">
                  <c:v>238.771882587253</c:v>
                </c:pt>
                <c:pt idx="140">
                  <c:v>241.13130745770911</c:v>
                </c:pt>
                <c:pt idx="141">
                  <c:v>243.49790704783928</c:v>
                </c:pt>
                <c:pt idx="142">
                  <c:v>245.87163602507093</c:v>
                </c:pt>
                <c:pt idx="143">
                  <c:v>248.2524490794531</c:v>
                </c:pt>
                <c:pt idx="144">
                  <c:v>250.6403009250912</c:v>
                </c:pt>
                <c:pt idx="145">
                  <c:v>253.0351463015694</c:v>
                </c:pt>
                <c:pt idx="146">
                  <c:v>255.43693997536093</c:v>
                </c:pt>
                <c:pt idx="147">
                  <c:v>257.84563674122592</c:v>
                </c:pt>
                <c:pt idx="148">
                  <c:v>260.26119142359687</c:v>
                </c:pt>
                <c:pt idx="149">
                  <c:v>262.68355887795167</c:v>
                </c:pt>
                <c:pt idx="150">
                  <c:v>265.11269399217417</c:v>
                </c:pt>
                <c:pt idx="151">
                  <c:v>267.54855230833056</c:v>
                </c:pt>
                <c:pt idx="152">
                  <c:v>269.99109064371459</c:v>
                </c:pt>
                <c:pt idx="153">
                  <c:v>272.44026646955751</c:v>
                </c:pt>
                <c:pt idx="154">
                  <c:v>274.89603729040419</c:v>
                </c:pt>
                <c:pt idx="155">
                  <c:v>277.3583606453318</c:v>
                </c:pt>
                <c:pt idx="156">
                  <c:v>279.82719410915723</c:v>
                </c:pt>
                <c:pt idx="157">
                  <c:v>282.3024952936326</c:v>
                </c:pt>
                <c:pt idx="158">
                  <c:v>284.78422184862956</c:v>
                </c:pt>
                <c:pt idx="159">
                  <c:v>287.27233146331179</c:v>
                </c:pt>
                <c:pt idx="160">
                  <c:v>289.766781867296</c:v>
                </c:pt>
                <c:pt idx="161">
                  <c:v>292.26753083180125</c:v>
                </c:pt>
                <c:pt idx="162">
                  <c:v>294.77453617078652</c:v>
                </c:pt>
                <c:pt idx="163">
                  <c:v>297.28775574207685</c:v>
                </c:pt>
                <c:pt idx="164">
                  <c:v>299.80714744847745</c:v>
                </c:pt>
                <c:pt idx="165">
                  <c:v>302.33266923887635</c:v>
                </c:pt>
                <c:pt idx="166">
                  <c:v>304.86427910933503</c:v>
                </c:pt>
                <c:pt idx="167">
                  <c:v>307.40193510416759</c:v>
                </c:pt>
                <c:pt idx="168">
                  <c:v>309.9455953170081</c:v>
                </c:pt>
                <c:pt idx="169">
                  <c:v>312.49521789186599</c:v>
                </c:pt>
                <c:pt idx="170">
                  <c:v>315.05076102416967</c:v>
                </c:pt>
                <c:pt idx="171">
                  <c:v>317.61218296179874</c:v>
                </c:pt>
                <c:pt idx="172">
                  <c:v>320.17944200610384</c:v>
                </c:pt>
                <c:pt idx="173">
                  <c:v>322.75249651291517</c:v>
                </c:pt>
                <c:pt idx="174">
                  <c:v>325.33130489353891</c:v>
                </c:pt>
                <c:pt idx="175">
                  <c:v>327.91582561574205</c:v>
                </c:pt>
                <c:pt idx="176">
                  <c:v>330.50601720472525</c:v>
                </c:pt>
                <c:pt idx="177">
                  <c:v>333.10183824408404</c:v>
                </c:pt>
                <c:pt idx="178">
                  <c:v>335.7032473767581</c:v>
                </c:pt>
                <c:pt idx="179">
                  <c:v>338.31020330596903</c:v>
                </c:pt>
                <c:pt idx="180">
                  <c:v>340.92266479614597</c:v>
                </c:pt>
                <c:pt idx="181">
                  <c:v>343.54059067383969</c:v>
                </c:pt>
                <c:pt idx="182">
                  <c:v>346.16393982862502</c:v>
                </c:pt>
                <c:pt idx="183">
                  <c:v>348.79267121399135</c:v>
                </c:pt>
                <c:pt idx="184">
                  <c:v>351.42674384822141</c:v>
                </c:pt>
                <c:pt idx="185">
                  <c:v>354.06611681525857</c:v>
                </c:pt>
                <c:pt idx="186">
                  <c:v>356.7107492655623</c:v>
                </c:pt>
                <c:pt idx="187">
                  <c:v>359.36060041695191</c:v>
                </c:pt>
                <c:pt idx="188">
                  <c:v>362.01562955543881</c:v>
                </c:pt>
                <c:pt idx="189">
                  <c:v>364.67579603604702</c:v>
                </c:pt>
                <c:pt idx="190">
                  <c:v>367.3410592836222</c:v>
                </c:pt>
                <c:pt idx="191">
                  <c:v>370.01137879362904</c:v>
                </c:pt>
                <c:pt idx="192">
                  <c:v>372.68671413293714</c:v>
                </c:pt>
                <c:pt idx="193">
                  <c:v>375.36702494059534</c:v>
                </c:pt>
                <c:pt idx="194">
                  <c:v>378.05227092859468</c:v>
                </c:pt>
                <c:pt idx="195">
                  <c:v>380.74241188261971</c:v>
                </c:pt>
                <c:pt idx="196">
                  <c:v>383.43740766278864</c:v>
                </c:pt>
                <c:pt idx="197">
                  <c:v>386.1372182043819</c:v>
                </c:pt>
                <c:pt idx="198">
                  <c:v>388.8418035185594</c:v>
                </c:pt>
                <c:pt idx="199">
                  <c:v>391.55112369306664</c:v>
                </c:pt>
                <c:pt idx="200">
                  <c:v>394.26513889292926</c:v>
                </c:pt>
                <c:pt idx="201">
                  <c:v>396.98380936113665</c:v>
                </c:pt>
                <c:pt idx="202">
                  <c:v>399.7070954193141</c:v>
                </c:pt>
                <c:pt idx="203">
                  <c:v>402.43495746838403</c:v>
                </c:pt>
                <c:pt idx="204">
                  <c:v>405.16735598921593</c:v>
                </c:pt>
                <c:pt idx="205">
                  <c:v>407.90425154326527</c:v>
                </c:pt>
                <c:pt idx="206">
                  <c:v>410.64560477320157</c:v>
                </c:pt>
                <c:pt idx="207">
                  <c:v>413.3913764035251</c:v>
                </c:pt>
                <c:pt idx="208">
                  <c:v>416.14152724117315</c:v>
                </c:pt>
                <c:pt idx="209">
                  <c:v>418.89601817611492</c:v>
                </c:pt>
                <c:pt idx="210">
                  <c:v>421.65481018193594</c:v>
                </c:pt>
                <c:pt idx="211">
                  <c:v>424.41786431641145</c:v>
                </c:pt>
                <c:pt idx="212">
                  <c:v>427.18514172206926</c:v>
                </c:pt>
                <c:pt idx="213">
                  <c:v>429.95660362674175</c:v>
                </c:pt>
                <c:pt idx="214">
                  <c:v>432.73221134410733</c:v>
                </c:pt>
                <c:pt idx="215">
                  <c:v>435.5119262742212</c:v>
                </c:pt>
                <c:pt idx="216">
                  <c:v>438.29570990403579</c:v>
                </c:pt>
                <c:pt idx="217">
                  <c:v>441.08352380791047</c:v>
                </c:pt>
                <c:pt idx="218">
                  <c:v>443.87532964811106</c:v>
                </c:pt>
                <c:pt idx="219">
                  <c:v>446.67108917529885</c:v>
                </c:pt>
                <c:pt idx="220">
                  <c:v>449.47076422900932</c:v>
                </c:pt>
                <c:pt idx="221">
                  <c:v>452.27431673812072</c:v>
                </c:pt>
                <c:pt idx="222">
                  <c:v>455.08170872131222</c:v>
                </c:pt>
                <c:pt idx="223">
                  <c:v>457.8929022875123</c:v>
                </c:pt>
                <c:pt idx="224">
                  <c:v>460.70785963633659</c:v>
                </c:pt>
                <c:pt idx="225">
                  <c:v>463.52654305851615</c:v>
                </c:pt>
                <c:pt idx="226">
                  <c:v>466.34891493631551</c:v>
                </c:pt>
                <c:pt idx="227">
                  <c:v>469.17493774394092</c:v>
                </c:pt>
                <c:pt idx="228">
                  <c:v>472.00457404793877</c:v>
                </c:pt>
                <c:pt idx="229">
                  <c:v>474.83778650758421</c:v>
                </c:pt>
                <c:pt idx="230">
                  <c:v>477.67453787526011</c:v>
                </c:pt>
                <c:pt idx="231">
                  <c:v>480.51479099682638</c:v>
                </c:pt>
                <c:pt idx="232">
                  <c:v>483.35850881197962</c:v>
                </c:pt>
                <c:pt idx="233">
                  <c:v>486.20565435460338</c:v>
                </c:pt>
                <c:pt idx="234">
                  <c:v>489.05619075310892</c:v>
                </c:pt>
                <c:pt idx="235">
                  <c:v>491.91008123076654</c:v>
                </c:pt>
                <c:pt idx="236">
                  <c:v>494.76728910602776</c:v>
                </c:pt>
                <c:pt idx="237">
                  <c:v>497.62777779283806</c:v>
                </c:pt>
                <c:pt idx="238">
                  <c:v>500.49151080094055</c:v>
                </c:pt>
                <c:pt idx="239">
                  <c:v>503.35845173617042</c:v>
                </c:pt>
                <c:pt idx="240">
                  <c:v>506.22856430074057</c:v>
                </c:pt>
                <c:pt idx="241">
                  <c:v>509.10181229351804</c:v>
                </c:pt>
                <c:pt idx="242">
                  <c:v>511.97815961029153</c:v>
                </c:pt>
                <c:pt idx="243">
                  <c:v>514.85757024403028</c:v>
                </c:pt>
                <c:pt idx="244">
                  <c:v>517.74000828513385</c:v>
                </c:pt>
                <c:pt idx="245">
                  <c:v>520.62543792167378</c:v>
                </c:pt>
                <c:pt idx="246">
                  <c:v>523.51382343962575</c:v>
                </c:pt>
                <c:pt idx="247">
                  <c:v>526.40512922309415</c:v>
                </c:pt>
                <c:pt idx="248">
                  <c:v>529.29931975452723</c:v>
                </c:pt>
                <c:pt idx="249">
                  <c:v>532.1963596149244</c:v>
                </c:pt>
                <c:pt idx="250">
                  <c:v>535.09621348403539</c:v>
                </c:pt>
                <c:pt idx="251">
                  <c:v>537.99884341880193</c:v>
                </c:pt>
                <c:pt idx="252">
                  <c:v>540.90420613836181</c:v>
                </c:pt>
                <c:pt idx="253">
                  <c:v>543.81225576174711</c:v>
                </c:pt>
                <c:pt idx="254">
                  <c:v>546.72294653906238</c:v>
                </c:pt>
                <c:pt idx="255">
                  <c:v>549.63623285175743</c:v>
                </c:pt>
                <c:pt idx="256">
                  <c:v>552.55206921288629</c:v>
                </c:pt>
                <c:pt idx="257">
                  <c:v>555.47041026735417</c:v>
                </c:pt>
                <c:pt idx="258">
                  <c:v>558.39121079215079</c:v>
                </c:pt>
                <c:pt idx="259">
                  <c:v>561.31442569657179</c:v>
                </c:pt>
                <c:pt idx="260">
                  <c:v>564.2400100224271</c:v>
                </c:pt>
                <c:pt idx="261">
                  <c:v>567.16791894423716</c:v>
                </c:pt>
                <c:pt idx="262">
                  <c:v>570.09810776941697</c:v>
                </c:pt>
                <c:pt idx="263">
                  <c:v>573.03053193844767</c:v>
                </c:pt>
                <c:pt idx="264">
                  <c:v>575.96514702503623</c:v>
                </c:pt>
                <c:pt idx="265">
                  <c:v>578.90190873626341</c:v>
                </c:pt>
                <c:pt idx="266">
                  <c:v>581.84077291271979</c:v>
                </c:pt>
                <c:pt idx="267">
                  <c:v>584.78169552862994</c:v>
                </c:pt>
                <c:pt idx="268">
                  <c:v>587.72463269196521</c:v>
                </c:pt>
                <c:pt idx="269">
                  <c:v>590.66954064454535</c:v>
                </c:pt>
                <c:pt idx="270">
                  <c:v>593.61637576212831</c:v>
                </c:pt>
                <c:pt idx="271">
                  <c:v>596.56509455448929</c:v>
                </c:pt>
                <c:pt idx="272">
                  <c:v>599.51565366548846</c:v>
                </c:pt>
                <c:pt idx="273">
                  <c:v>602.46800987312781</c:v>
                </c:pt>
                <c:pt idx="274">
                  <c:v>605.42212008959723</c:v>
                </c:pt>
                <c:pt idx="275">
                  <c:v>608.37794136130992</c:v>
                </c:pt>
                <c:pt idx="276">
                  <c:v>611.33543086892735</c:v>
                </c:pt>
                <c:pt idx="277">
                  <c:v>614.29454592737306</c:v>
                </c:pt>
                <c:pt idx="278">
                  <c:v>617.25524398583707</c:v>
                </c:pt>
                <c:pt idx="279">
                  <c:v>620.21748262776964</c:v>
                </c:pt>
                <c:pt idx="280">
                  <c:v>623.18121957086464</c:v>
                </c:pt>
                <c:pt idx="281">
                  <c:v>626.1464126670337</c:v>
                </c:pt>
                <c:pt idx="282">
                  <c:v>629.1130199023695</c:v>
                </c:pt>
                <c:pt idx="283">
                  <c:v>632.08099939710041</c:v>
                </c:pt>
                <c:pt idx="284">
                  <c:v>635.05030940553468</c:v>
                </c:pt>
                <c:pt idx="285">
                  <c:v>638.02090831599526</c:v>
                </c:pt>
                <c:pt idx="286">
                  <c:v>640.99275465074584</c:v>
                </c:pt>
                <c:pt idx="287">
                  <c:v>643.96580706590669</c:v>
                </c:pt>
                <c:pt idx="288">
                  <c:v>646.94002435136235</c:v>
                </c:pt>
                <c:pt idx="289">
                  <c:v>649.91536543065934</c:v>
                </c:pt>
                <c:pt idx="290">
                  <c:v>652.89178936089547</c:v>
                </c:pt>
                <c:pt idx="291">
                  <c:v>655.86925533260069</c:v>
                </c:pt>
                <c:pt idx="292">
                  <c:v>658.84772266960829</c:v>
                </c:pt>
                <c:pt idx="293">
                  <c:v>661.82715082891832</c:v>
                </c:pt>
                <c:pt idx="294">
                  <c:v>664.80749940055239</c:v>
                </c:pt>
                <c:pt idx="295">
                  <c:v>667.78872810740006</c:v>
                </c:pt>
                <c:pt idx="296">
                  <c:v>670.77079680505688</c:v>
                </c:pt>
                <c:pt idx="297">
                  <c:v>673.75366548165459</c:v>
                </c:pt>
                <c:pt idx="298">
                  <c:v>676.73726419430136</c:v>
                </c:pt>
                <c:pt idx="299">
                  <c:v>679.72146309386619</c:v>
                </c:pt>
                <c:pt idx="300">
                  <c:v>682.70610268891232</c:v>
                </c:pt>
                <c:pt idx="301">
                  <c:v>685.69102402235717</c:v>
                </c:pt>
                <c:pt idx="302">
                  <c:v>688.67606867337076</c:v>
                </c:pt>
                <c:pt idx="303">
                  <c:v>691.66107875913838</c:v>
                </c:pt>
                <c:pt idx="304">
                  <c:v>694.64589693649054</c:v>
                </c:pt>
                <c:pt idx="305">
                  <c:v>697.63036640340101</c:v>
                </c:pt>
                <c:pt idx="306">
                  <c:v>700.61433090035405</c:v>
                </c:pt>
                <c:pt idx="307">
                  <c:v>703.59763471158431</c:v>
                </c:pt>
                <c:pt idx="308">
                  <c:v>706.5801226661888</c:v>
                </c:pt>
                <c:pt idx="309">
                  <c:v>709.5616401391145</c:v>
                </c:pt>
                <c:pt idx="310">
                  <c:v>712.54203305202202</c:v>
                </c:pt>
                <c:pt idx="311">
                  <c:v>715.52114787402741</c:v>
                </c:pt>
                <c:pt idx="312">
                  <c:v>718.49883162232436</c:v>
                </c:pt>
                <c:pt idx="313">
                  <c:v>721.47493186268719</c:v>
                </c:pt>
                <c:pt idx="314">
                  <c:v>724.44929670985789</c:v>
                </c:pt>
                <c:pt idx="315">
                  <c:v>727.42177482781722</c:v>
                </c:pt>
                <c:pt idx="316">
                  <c:v>730.39221542994323</c:v>
                </c:pt>
                <c:pt idx="317">
                  <c:v>733.36046827905727</c:v>
                </c:pt>
                <c:pt idx="318">
                  <c:v>736.32638368736093</c:v>
                </c:pt>
                <c:pt idx="319">
                  <c:v>739.28981251626362</c:v>
                </c:pt>
                <c:pt idx="320">
                  <c:v>742.25060617610438</c:v>
                </c:pt>
                <c:pt idx="321">
                  <c:v>745.20862860487659</c:v>
                </c:pt>
                <c:pt idx="322">
                  <c:v>748.1637682030489</c:v>
                </c:pt>
                <c:pt idx="323">
                  <c:v>751.11592576136957</c:v>
                </c:pt>
                <c:pt idx="324">
                  <c:v>754.06500243216237</c:v>
                </c:pt>
                <c:pt idx="325">
                  <c:v>757.01089972814884</c:v>
                </c:pt>
                <c:pt idx="326">
                  <c:v>759.95351952123269</c:v>
                </c:pt>
                <c:pt idx="327">
                  <c:v>762.89276404124644</c:v>
                </c:pt>
                <c:pt idx="328">
                  <c:v>765.82853587466104</c:v>
                </c:pt>
                <c:pt idx="329">
                  <c:v>768.7607379632592</c:v>
                </c:pt>
                <c:pt idx="330">
                  <c:v>771.68927360277394</c:v>
                </c:pt>
                <c:pt idx="331">
                  <c:v>774.61404644149138</c:v>
                </c:pt>
                <c:pt idx="332">
                  <c:v>777.53496047882038</c:v>
                </c:pt>
                <c:pt idx="333">
                  <c:v>780.4519200638282</c:v>
                </c:pt>
                <c:pt idx="334">
                  <c:v>783.36482989374372</c:v>
                </c:pt>
                <c:pt idx="335">
                  <c:v>786.2735950124287</c:v>
                </c:pt>
                <c:pt idx="336">
                  <c:v>789.17812080881743</c:v>
                </c:pt>
                <c:pt idx="337">
                  <c:v>792.07831301532588</c:v>
                </c:pt>
                <c:pt idx="338">
                  <c:v>794.9740777062309</c:v>
                </c:pt>
                <c:pt idx="339">
                  <c:v>797.86532129601994</c:v>
                </c:pt>
                <c:pt idx="340">
                  <c:v>800.75195053771176</c:v>
                </c:pt>
                <c:pt idx="341">
                  <c:v>803.63387252114944</c:v>
                </c:pt>
                <c:pt idx="342">
                  <c:v>806.51099467126573</c:v>
                </c:pt>
                <c:pt idx="343">
                  <c:v>809.38322474632128</c:v>
                </c:pt>
                <c:pt idx="344">
                  <c:v>812.25047083611719</c:v>
                </c:pt>
                <c:pt idx="345">
                  <c:v>815.11264136018133</c:v>
                </c:pt>
                <c:pt idx="346">
                  <c:v>817.96964506592963</c:v>
                </c:pt>
                <c:pt idx="347">
                  <c:v>820.82139102680355</c:v>
                </c:pt>
                <c:pt idx="348">
                  <c:v>823.66778993327443</c:v>
                </c:pt>
                <c:pt idx="349">
                  <c:v>826.50875537856575</c:v>
                </c:pt>
                <c:pt idx="350">
                  <c:v>829.34420255321231</c:v>
                </c:pt>
                <c:pt idx="351">
                  <c:v>832.17404694488971</c:v>
                </c:pt>
                <c:pt idx="352">
                  <c:v>834.9982043365037</c:v>
                </c:pt>
                <c:pt idx="353">
                  <c:v>837.81659080426164</c:v>
                </c:pt>
                <c:pt idx="354">
                  <c:v>840.62912271572691</c:v>
                </c:pt>
                <c:pt idx="355">
                  <c:v>843.43571672785697</c:v>
                </c:pt>
                <c:pt idx="356">
                  <c:v>846.23628978502529</c:v>
                </c:pt>
                <c:pt idx="357">
                  <c:v>849.0307591170274</c:v>
                </c:pt>
                <c:pt idx="358">
                  <c:v>851.81904223707159</c:v>
                </c:pt>
                <c:pt idx="359">
                  <c:v>854.60105693975493</c:v>
                </c:pt>
                <c:pt idx="360">
                  <c:v>857.37674818526625</c:v>
                </c:pt>
                <c:pt idx="361">
                  <c:v>860.14611487112461</c:v>
                </c:pt>
                <c:pt idx="362">
                  <c:v>862.90918272102988</c:v>
                </c:pt>
                <c:pt idx="363">
                  <c:v>865.66597728795637</c:v>
                </c:pt>
                <c:pt idx="364">
                  <c:v>868.41652395566973</c:v>
                </c:pt>
                <c:pt idx="365">
                  <c:v>871.16084794022731</c:v>
                </c:pt>
                <c:pt idx="366">
                  <c:v>873.8989742914614</c:v>
                </c:pt>
                <c:pt idx="367">
                  <c:v>876.63092789444613</c:v>
                </c:pt>
                <c:pt idx="368">
                  <c:v>879.35673347094837</c:v>
                </c:pt>
                <c:pt idx="369">
                  <c:v>882.0764155808622</c:v>
                </c:pt>
                <c:pt idx="370">
                  <c:v>884.78999862362798</c:v>
                </c:pt>
                <c:pt idx="371">
                  <c:v>887.49750683963543</c:v>
                </c:pt>
                <c:pt idx="372">
                  <c:v>890.19896431161158</c:v>
                </c:pt>
                <c:pt idx="373">
                  <c:v>892.89439496599334</c:v>
                </c:pt>
                <c:pt idx="374">
                  <c:v>895.58382257428514</c:v>
                </c:pt>
                <c:pt idx="375">
                  <c:v>898.26727075440203</c:v>
                </c:pt>
                <c:pt idx="376">
                  <c:v>900.94476297199753</c:v>
                </c:pt>
                <c:pt idx="377">
                  <c:v>903.61632254177778</c:v>
                </c:pt>
                <c:pt idx="378">
                  <c:v>906.28197262880099</c:v>
                </c:pt>
                <c:pt idx="379">
                  <c:v>908.94173624976304</c:v>
                </c:pt>
                <c:pt idx="380">
                  <c:v>911.59563627426905</c:v>
                </c:pt>
                <c:pt idx="381">
                  <c:v>914.24369542609168</c:v>
                </c:pt>
                <c:pt idx="382">
                  <c:v>916.88593628441527</c:v>
                </c:pt>
                <c:pt idx="383">
                  <c:v>919.52238128506735</c:v>
                </c:pt>
                <c:pt idx="384">
                  <c:v>922.15305272173634</c:v>
                </c:pt>
                <c:pt idx="385">
                  <c:v>924.77797274717693</c:v>
                </c:pt>
                <c:pt idx="386">
                  <c:v>927.397163374402</c:v>
                </c:pt>
                <c:pt idx="387">
                  <c:v>930.01064647786234</c:v>
                </c:pt>
                <c:pt idx="388">
                  <c:v>932.61844379461354</c:v>
                </c:pt>
                <c:pt idx="389">
                  <c:v>935.22057692547082</c:v>
                </c:pt>
                <c:pt idx="390">
                  <c:v>937.81706733615158</c:v>
                </c:pt>
                <c:pt idx="391">
                  <c:v>940.40793635840566</c:v>
                </c:pt>
                <c:pt idx="392">
                  <c:v>942.99320519113439</c:v>
                </c:pt>
                <c:pt idx="393">
                  <c:v>945.57289490149697</c:v>
                </c:pt>
                <c:pt idx="394">
                  <c:v>948.14702642600639</c:v>
                </c:pt>
                <c:pt idx="395">
                  <c:v>950.7156205716127</c:v>
                </c:pt>
                <c:pt idx="396">
                  <c:v>953.27869801677605</c:v>
                </c:pt>
                <c:pt idx="397">
                  <c:v>955.83627931252806</c:v>
                </c:pt>
                <c:pt idx="398">
                  <c:v>958.38838488352201</c:v>
                </c:pt>
                <c:pt idx="399">
                  <c:v>960.93503502907276</c:v>
                </c:pt>
                <c:pt idx="400">
                  <c:v>963.47624992418537</c:v>
                </c:pt>
                <c:pt idx="401">
                  <c:v>988.59101272768726</c:v>
                </c:pt>
                <c:pt idx="402">
                  <c:v>1013.175072855261</c:v>
                </c:pt>
                <c:pt idx="403">
                  <c:v>1037.2474832232151</c:v>
                </c:pt>
                <c:pt idx="404">
                  <c:v>1060.8261774100238</c:v>
                </c:pt>
                <c:pt idx="405">
                  <c:v>1083.9280563520347</c:v>
                </c:pt>
                <c:pt idx="406">
                  <c:v>1106.5690667296578</c:v>
                </c:pt>
                <c:pt idx="407">
                  <c:v>1128.7642719871212</c:v>
                </c:pt>
                <c:pt idx="408">
                  <c:v>1150.5279168057789</c:v>
                </c:pt>
                <c:pt idx="409">
                  <c:v>1171.8734857459551</c:v>
                </c:pt>
                <c:pt idx="410">
                  <c:v>1192.8137566824398</c:v>
                </c:pt>
                <c:pt idx="411">
                  <c:v>1213.3608495816145</c:v>
                </c:pt>
                <c:pt idx="412">
                  <c:v>1233.5262711017738</c:v>
                </c:pt>
                <c:pt idx="413">
                  <c:v>1253.3209554408654</c:v>
                </c:pt>
                <c:pt idx="414">
                  <c:v>1272.7553018062345</c:v>
                </c:pt>
                <c:pt idx="415">
                  <c:v>1291.8392088378616</c:v>
                </c:pt>
                <c:pt idx="416">
                  <c:v>1310.5821062790887</c:v>
                </c:pt>
                <c:pt idx="417">
                  <c:v>1328.9929841561147</c:v>
                </c:pt>
                <c:pt idx="418">
                  <c:v>1347.080419698935</c:v>
                </c:pt>
                <c:pt idx="419">
                  <c:v>1364.8526022113342</c:v>
                </c:pt>
                <c:pt idx="420">
                  <c:v>1382.3173560755197</c:v>
                </c:pt>
                <c:pt idx="421">
                  <c:v>1399.4821620576013</c:v>
                </c:pt>
                <c:pt idx="422">
                  <c:v>1416.3541770630281</c:v>
                </c:pt>
                <c:pt idx="423">
                  <c:v>1432.940252475986</c:v>
                </c:pt>
                <c:pt idx="424">
                  <c:v>1449.2469512033774</c:v>
                </c:pt>
                <c:pt idx="425">
                  <c:v>1465.2805635321401</c:v>
                </c:pt>
                <c:pt idx="426">
                  <c:v>1481.0471218981097</c:v>
                </c:pt>
                <c:pt idx="427">
                  <c:v>1496.5524146552398</c:v>
                </c:pt>
                <c:pt idx="428">
                  <c:v>1511.80199892562</c:v>
                </c:pt>
                <c:pt idx="429">
                  <c:v>1526.8012126032452</c:v>
                </c:pt>
                <c:pt idx="430">
                  <c:v>1541.5551855777974</c:v>
                </c:pt>
                <c:pt idx="431">
                  <c:v>1556.0688502387006</c:v>
                </c:pt>
                <c:pt idx="432">
                  <c:v>1570.3469513143245</c:v>
                </c:pt>
                <c:pt idx="433">
                  <c:v>1584.3940550963703</c:v>
                </c:pt>
                <c:pt idx="434">
                  <c:v>1598.2145580951164</c:v>
                </c:pt>
                <c:pt idx="435">
                  <c:v>1611.8126951672771</c:v>
                </c:pt>
                <c:pt idx="436">
                  <c:v>1625.1925471546715</c:v>
                </c:pt>
                <c:pt idx="437">
                  <c:v>1638.3580480687119</c:v>
                </c:pt>
                <c:pt idx="438">
                  <c:v>1651.3129918528041</c:v>
                </c:pt>
                <c:pt idx="439">
                  <c:v>1664.0610387521367</c:v>
                </c:pt>
                <c:pt idx="440">
                  <c:v>1676.6057213179454</c:v>
                </c:pt>
                <c:pt idx="441">
                  <c:v>1688.9504500711755</c:v>
                </c:pt>
                <c:pt idx="442">
                  <c:v>1701.0985188484963</c:v>
                </c:pt>
                <c:pt idx="443">
                  <c:v>1713.0531098518254</c:v>
                </c:pt>
                <c:pt idx="444">
                  <c:v>1724.8172984208916</c:v>
                </c:pt>
                <c:pt idx="445">
                  <c:v>1736.3940575468671</c:v>
                </c:pt>
                <c:pt idx="446">
                  <c:v>1747.7862621437439</c:v>
                </c:pt>
                <c:pt idx="447">
                  <c:v>1758.9966930928802</c:v>
                </c:pt>
                <c:pt idx="448">
                  <c:v>1770.0280410750017</c:v>
                </c:pt>
                <c:pt idx="449">
                  <c:v>1780.8829102029038</c:v>
                </c:pt>
                <c:pt idx="450">
                  <c:v>1791.5638214671321</c:v>
                </c:pt>
                <c:pt idx="451">
                  <c:v>1802.0732160060543</c:v>
                </c:pt>
                <c:pt idx="452">
                  <c:v>1812.4134582109125</c:v>
                </c:pt>
                <c:pt idx="453">
                  <c:v>1822.5868386757145</c:v>
                </c:pt>
                <c:pt idx="454">
                  <c:v>1832.5955770011324</c:v>
                </c:pt>
                <c:pt idx="455">
                  <c:v>1842.4418244609471</c:v>
                </c:pt>
                <c:pt idx="456">
                  <c:v>1852.1276665390005</c:v>
                </c:pt>
                <c:pt idx="457">
                  <c:v>1861.6551253440741</c:v>
                </c:pt>
                <c:pt idx="458">
                  <c:v>1871.0261619096252</c:v>
                </c:pt>
                <c:pt idx="459">
                  <c:v>1880.2426783848484</c:v>
                </c:pt>
                <c:pt idx="460">
                  <c:v>1889.30652012311</c:v>
                </c:pt>
                <c:pt idx="461">
                  <c:v>1898.2194776734104</c:v>
                </c:pt>
                <c:pt idx="462">
                  <c:v>1906.9832886801662</c:v>
                </c:pt>
                <c:pt idx="463">
                  <c:v>1915.5996396962662</c:v>
                </c:pt>
                <c:pt idx="464">
                  <c:v>1924.0701679140466</c:v>
                </c:pt>
                <c:pt idx="465">
                  <c:v>1932.3964628185381</c:v>
                </c:pt>
                <c:pt idx="466">
                  <c:v>1940.5800677670682</c:v>
                </c:pt>
                <c:pt idx="467">
                  <c:v>1948.6224814990537</c:v>
                </c:pt>
                <c:pt idx="468">
                  <c:v>1956.5251595795858</c:v>
                </c:pt>
                <c:pt idx="469">
                  <c:v>1964.2895157801895</c:v>
                </c:pt>
                <c:pt idx="470">
                  <c:v>1971.9169233999437</c:v>
                </c:pt>
                <c:pt idx="471">
                  <c:v>1979.4087165299552</c:v>
                </c:pt>
                <c:pt idx="472">
                  <c:v>1986.7661912640065</c:v>
                </c:pt>
                <c:pt idx="473">
                  <c:v>1993.9906068580353</c:v>
                </c:pt>
                <c:pt idx="474">
                  <c:v>2001.0831868409487</c:v>
                </c:pt>
                <c:pt idx="475">
                  <c:v>2008.0451200791335</c:v>
                </c:pt>
                <c:pt idx="476">
                  <c:v>2014.877561796894</c:v>
                </c:pt>
                <c:pt idx="477">
                  <c:v>2021.5816345549181</c:v>
                </c:pt>
                <c:pt idx="478">
                  <c:v>2028.1584291887632</c:v>
                </c:pt>
                <c:pt idx="479">
                  <c:v>2034.6090057092433</c:v>
                </c:pt>
                <c:pt idx="480">
                  <c:v>2040.9343941664927</c:v>
                </c:pt>
                <c:pt idx="481">
                  <c:v>2047.135595479393</c:v>
                </c:pt>
                <c:pt idx="482">
                  <c:v>2053.2135822319601</c:v>
                </c:pt>
                <c:pt idx="483">
                  <c:v>2059.1692994382015</c:v>
                </c:pt>
                <c:pt idx="484">
                  <c:v>2065.0036652768822</c:v>
                </c:pt>
                <c:pt idx="485">
                  <c:v>2070.7175717975615</c:v>
                </c:pt>
                <c:pt idx="486">
                  <c:v>2076.3118855991988</c:v>
                </c:pt>
                <c:pt idx="487">
                  <c:v>2081.7874484825606</c:v>
                </c:pt>
                <c:pt idx="488">
                  <c:v>2087.1450780776045</c:v>
                </c:pt>
                <c:pt idx="489">
                  <c:v>2092.3855684469631</c:v>
                </c:pt>
                <c:pt idx="490">
                  <c:v>2097.5096906665985</c:v>
                </c:pt>
                <c:pt idx="491">
                  <c:v>2102.5181933846507</c:v>
                </c:pt>
                <c:pt idx="492">
                  <c:v>2107.4118033594664</c:v>
                </c:pt>
                <c:pt idx="493">
                  <c:v>2112.1912259777473</c:v>
                </c:pt>
                <c:pt idx="494">
                  <c:v>2116.8571457537323</c:v>
                </c:pt>
                <c:pt idx="495">
                  <c:v>2121.410226810282</c:v>
                </c:pt>
                <c:pt idx="496">
                  <c:v>2125.8511133427241</c:v>
                </c:pt>
                <c:pt idx="497">
                  <c:v>2130.1804300662739</c:v>
                </c:pt>
                <c:pt idx="498">
                  <c:v>2134.3987826478397</c:v>
                </c:pt>
                <c:pt idx="499">
                  <c:v>2138.5067581229946</c:v>
                </c:pt>
                <c:pt idx="500">
                  <c:v>2142.5049252988888</c:v>
                </c:pt>
                <c:pt idx="501">
                  <c:v>2146.3938351438624</c:v>
                </c:pt>
                <c:pt idx="502">
                  <c:v>2150.1740211645179</c:v>
                </c:pt>
                <c:pt idx="503">
                  <c:v>2153.8459997710061</c:v>
                </c:pt>
                <c:pt idx="504">
                  <c:v>2157.4102706312883</c:v>
                </c:pt>
                <c:pt idx="505">
                  <c:v>2160.8673170151383</c:v>
                </c:pt>
                <c:pt idx="506">
                  <c:v>2164.2176061286723</c:v>
                </c:pt>
                <c:pt idx="507">
                  <c:v>2167.461589440205</c:v>
                </c:pt>
                <c:pt idx="508">
                  <c:v>2170.5997029982659</c:v>
                </c:pt>
                <c:pt idx="509">
                  <c:v>2173.6323677426335</c:v>
                </c:pt>
                <c:pt idx="510">
                  <c:v>2176.5599898092951</c:v>
                </c:pt>
                <c:pt idx="511">
                  <c:v>2179.3829608302826</c:v>
                </c:pt>
                <c:pt idx="512">
                  <c:v>2182.1016582293946</c:v>
                </c:pt>
                <c:pt idx="513">
                  <c:v>2184.71644551488</c:v>
                </c:pt>
                <c:pt idx="514">
                  <c:v>2187.2276725702386</c:v>
                </c:pt>
                <c:pt idx="515">
                  <c:v>2189.6356759443729</c:v>
                </c:pt>
                <c:pt idx="516">
                  <c:v>2191.9407791424287</c:v>
                </c:pt>
                <c:pt idx="517">
                  <c:v>2194.1432929187604</c:v>
                </c:pt>
                <c:pt idx="518">
                  <c:v>2196.2435155735784</c:v>
                </c:pt>
                <c:pt idx="519">
                  <c:v>2198.2417332549526</c:v>
                </c:pt>
                <c:pt idx="520">
                  <c:v>2200.1382202679761</c:v>
                </c:pt>
                <c:pt idx="521">
                  <c:v>2201.9332393930194</c:v>
                </c:pt>
                <c:pt idx="522">
                  <c:v>2203.6270422151415</c:v>
                </c:pt>
                <c:pt idx="523">
                  <c:v>2205.2198694668296</c:v>
                </c:pt>
                <c:pt idx="524">
                  <c:v>2206.7119513863536</c:v>
                </c:pt>
                <c:pt idx="525">
                  <c:v>2208.1035080940915</c:v>
                </c:pt>
                <c:pt idx="526">
                  <c:v>2209.3947499892201</c:v>
                </c:pt>
                <c:pt idx="527">
                  <c:v>2210.5858781691522</c:v>
                </c:pt>
                <c:pt idx="528">
                  <c:v>2211.6770848740157</c:v>
                </c:pt>
                <c:pt idx="529">
                  <c:v>2212.6685539583027</c:v>
                </c:pt>
                <c:pt idx="530">
                  <c:v>2213.5604613915507</c:v>
                </c:pt>
                <c:pt idx="531">
                  <c:v>2214.3529757895258</c:v>
                </c:pt>
                <c:pt idx="532">
                  <c:v>2215.0462589768704</c:v>
                </c:pt>
                <c:pt idx="533">
                  <c:v>2215.6404665815344</c:v>
                </c:pt>
                <c:pt idx="534">
                  <c:v>2216.1357486605439</c:v>
                </c:pt>
                <c:pt idx="535">
                  <c:v>2216.5322503557763</c:v>
                </c:pt>
                <c:pt idx="536">
                  <c:v>2216.8301125774638</c:v>
                </c:pt>
                <c:pt idx="537">
                  <c:v>2217.029472712145</c:v>
                </c:pt>
                <c:pt idx="538">
                  <c:v>2217.1304653508096</c:v>
                </c:pt>
                <c:pt idx="539">
                  <c:v>2217.1332230320722</c:v>
                </c:pt>
                <c:pt idx="540">
                  <c:v>2217.0378769944482</c:v>
                </c:pt>
                <c:pt idx="541">
                  <c:v>2216.8445579312311</c:v>
                </c:pt>
                <c:pt idx="542">
                  <c:v>2216.5533967411411</c:v>
                </c:pt>
                <c:pt idx="543">
                  <c:v>2216.1645252678532</c:v>
                </c:pt>
                <c:pt idx="544">
                  <c:v>2215.6780770217192</c:v>
                </c:pt>
                <c:pt idx="545">
                  <c:v>2215.0941878774706</c:v>
                </c:pt>
                <c:pt idx="546">
                  <c:v>2214.4129967423728</c:v>
                </c:pt>
                <c:pt idx="547">
                  <c:v>2213.6346461901558</c:v>
                </c:pt>
                <c:pt idx="548">
                  <c:v>2212.7592830570052</c:v>
                </c:pt>
                <c:pt idx="549">
                  <c:v>2211.7870589969002</c:v>
                </c:pt>
                <c:pt idx="550">
                  <c:v>2210.7181309945686</c:v>
                </c:pt>
                <c:pt idx="551">
                  <c:v>2209.5526618352569</c:v>
                </c:pt>
                <c:pt idx="552">
                  <c:v>2208.290820531332</c:v>
                </c:pt>
                <c:pt idx="553">
                  <c:v>2206.932782706434</c:v>
                </c:pt>
                <c:pt idx="554">
                  <c:v>2205.4787309384715</c:v>
                </c:pt>
                <c:pt idx="555">
                  <c:v>2203.9288550631786</c:v>
                </c:pt>
                <c:pt idx="556">
                  <c:v>2202.2833524402749</c:v>
                </c:pt>
                <c:pt idx="557">
                  <c:v>2200.5424281844612</c:v>
                </c:pt>
                <c:pt idx="558">
                  <c:v>2198.7062953636009</c:v>
                </c:pt>
                <c:pt idx="559">
                  <c:v>2196.7751751664564</c:v>
                </c:pt>
                <c:pt idx="560">
                  <c:v>2194.7492970423232</c:v>
                </c:pt>
                <c:pt idx="561">
                  <c:v>2192.6288988148308</c:v>
                </c:pt>
                <c:pt idx="562">
                  <c:v>2190.4142267720649</c:v>
                </c:pt>
                <c:pt idx="563">
                  <c:v>2188.1055357350438</c:v>
                </c:pt>
                <c:pt idx="564">
                  <c:v>2185.7030891064337</c:v>
                </c:pt>
                <c:pt idx="565">
                  <c:v>2183.2071589012512</c:v>
                </c:pt>
                <c:pt idx="566">
                  <c:v>2180.6180257611481</c:v>
                </c:pt>
                <c:pt idx="567">
                  <c:v>2177.9359789537421</c:v>
                </c:pt>
                <c:pt idx="568">
                  <c:v>2175.1613163583147</c:v>
                </c:pt>
                <c:pt idx="569">
                  <c:v>2172.2943444390821</c:v>
                </c:pt>
                <c:pt idx="570">
                  <c:v>2169.3353782071231</c:v>
                </c:pt>
                <c:pt idx="571">
                  <c:v>2166.2847411719417</c:v>
                </c:pt>
                <c:pt idx="572">
                  <c:v>2163.1427652835564</c:v>
                </c:pt>
                <c:pt idx="573">
                  <c:v>2159.9097908659051</c:v>
                </c:pt>
                <c:pt idx="574">
                  <c:v>2156.5861665422931</c:v>
                </c:pt>
                <c:pt idx="575">
                  <c:v>2153.1722491535315</c:v>
                </c:pt>
                <c:pt idx="576">
                  <c:v>2149.668403669355</c:v>
                </c:pt>
                <c:pt idx="577">
                  <c:v>2146.0750030936524</c:v>
                </c:pt>
                <c:pt idx="578">
                  <c:v>2142.3924283639967</c:v>
                </c:pt>
                <c:pt idx="579">
                  <c:v>2138.6210682459127</c:v>
                </c:pt>
                <c:pt idx="580">
                  <c:v>2134.7613192222884</c:v>
                </c:pt>
                <c:pt idx="581">
                  <c:v>2130.8135853782978</c:v>
                </c:pt>
                <c:pt idx="582">
                  <c:v>2126.7782782821741</c:v>
                </c:pt>
                <c:pt idx="583">
                  <c:v>2122.6558168621482</c:v>
                </c:pt>
                <c:pt idx="584">
                  <c:v>2118.4466272798381</c:v>
                </c:pt>
                <c:pt idx="585">
                  <c:v>2114.1511428003619</c:v>
                </c:pt>
                <c:pt idx="586">
                  <c:v>2109.769803659422</c:v>
                </c:pt>
                <c:pt idx="587">
                  <c:v>2105.3030569275948</c:v>
                </c:pt>
                <c:pt idx="588">
                  <c:v>2100.7513563720458</c:v>
                </c:pt>
                <c:pt idx="589">
                  <c:v>2096.1151623158785</c:v>
                </c:pt>
                <c:pt idx="590">
                  <c:v>2091.3949414953058</c:v>
                </c:pt>
                <c:pt idx="591">
                  <c:v>2086.5911669148377</c:v>
                </c:pt>
                <c:pt idx="592">
                  <c:v>2081.7043177006531</c:v>
                </c:pt>
                <c:pt idx="593">
                  <c:v>2076.7348789523248</c:v>
                </c:pt>
                <c:pt idx="594">
                  <c:v>2071.683341593061</c:v>
                </c:pt>
                <c:pt idx="595">
                  <c:v>2066.5502022186101</c:v>
                </c:pt>
                <c:pt idx="596">
                  <c:v>2061.3359629449792</c:v>
                </c:pt>
                <c:pt idx="597">
                  <c:v>2056.0411312551059</c:v>
                </c:pt>
                <c:pt idx="598">
                  <c:v>2050.6662198446188</c:v>
                </c:pt>
                <c:pt idx="599">
                  <c:v>2045.2117464668172</c:v>
                </c:pt>
                <c:pt idx="600">
                  <c:v>2039.6782337769962</c:v>
                </c:pt>
                <c:pt idx="601">
                  <c:v>2034.0662091762392</c:v>
                </c:pt>
                <c:pt idx="602">
                  <c:v>2028.3762046547956</c:v>
                </c:pt>
                <c:pt idx="603">
                  <c:v>2022.6087566351584</c:v>
                </c:pt>
                <c:pt idx="604">
                  <c:v>2016.7644058149508</c:v>
                </c:pt>
                <c:pt idx="605">
                  <c:v>2010.8436970097312</c:v>
                </c:pt>
                <c:pt idx="606">
                  <c:v>2004.8471789958194</c:v>
                </c:pt>
                <c:pt idx="607">
                  <c:v>1998.7754043532445</c:v>
                </c:pt>
                <c:pt idx="608">
                  <c:v>1992.6289293089146</c:v>
                </c:pt>
                <c:pt idx="609">
                  <c:v>1986.4083135800995</c:v>
                </c:pt>
                <c:pt idx="610">
                  <c:v>1980.1141202183233</c:v>
                </c:pt>
                <c:pt idx="611">
                  <c:v>1973.7469154537525</c:v>
                </c:pt>
                <c:pt idx="612">
                  <c:v>1967.3072685401694</c:v>
                </c:pt>
                <c:pt idx="613">
                  <c:v>1960.7957516006111</c:v>
                </c:pt>
                <c:pt idx="614">
                  <c:v>1954.2129394737599</c:v>
                </c:pt>
                <c:pt idx="615">
                  <c:v>1947.5594095611611</c:v>
                </c:pt>
                <c:pt idx="616">
                  <c:v>1940.8357416753461</c:v>
                </c:pt>
                <c:pt idx="617">
                  <c:v>1934.0425178889332</c:v>
                </c:pt>
                <c:pt idx="618">
                  <c:v>1927.1803223847789</c:v>
                </c:pt>
                <c:pt idx="619">
                  <c:v>1920.2497413072488</c:v>
                </c:pt>
                <c:pt idx="620">
                  <c:v>1913.2513626146729</c:v>
                </c:pt>
                <c:pt idx="621">
                  <c:v>1906.1857759330514</c:v>
                </c:pt>
                <c:pt idx="622">
                  <c:v>1899.0535724110719</c:v>
                </c:pt>
                <c:pt idx="623">
                  <c:v>1891.8553445764965</c:v>
                </c:pt>
                <c:pt idx="624">
                  <c:v>1884.5916861939779</c:v>
                </c:pt>
                <c:pt idx="625">
                  <c:v>1877.2631921243571</c:v>
                </c:pt>
                <c:pt idx="626">
                  <c:v>1869.8704581854963</c:v>
                </c:pt>
                <c:pt idx="627">
                  <c:v>1862.4140810146964</c:v>
                </c:pt>
                <c:pt idx="628">
                  <c:v>1854.894657932748</c:v>
                </c:pt>
                <c:pt idx="629">
                  <c:v>1847.3127868096601</c:v>
                </c:pt>
                <c:pt idx="630">
                  <c:v>1839.6690659321096</c:v>
                </c:pt>
                <c:pt idx="631">
                  <c:v>1831.964093872655</c:v>
                </c:pt>
                <c:pt idx="632">
                  <c:v>1824.198469360751</c:v>
                </c:pt>
                <c:pt idx="633">
                  <c:v>1816.3727911556005</c:v>
                </c:pt>
                <c:pt idx="634">
                  <c:v>1808.4876579208806</c:v>
                </c:pt>
                <c:pt idx="635">
                  <c:v>1800.5436681013739</c:v>
                </c:pt>
                <c:pt idx="636">
                  <c:v>1792.5414198015346</c:v>
                </c:pt>
                <c:pt idx="637">
                  <c:v>1784.4815106660196</c:v>
                </c:pt>
                <c:pt idx="638">
                  <c:v>1776.3645377622092</c:v>
                </c:pt>
                <c:pt idx="639">
                  <c:v>1768.1910974647424</c:v>
                </c:pt>
                <c:pt idx="640">
                  <c:v>1759.9617853420893</c:v>
                </c:pt>
                <c:pt idx="641">
                  <c:v>1751.6771960451813</c:v>
                </c:pt>
                <c:pt idx="642">
                  <c:v>1743.3379231981155</c:v>
                </c:pt>
                <c:pt idx="643">
                  <c:v>1734.9445592909524</c:v>
                </c:pt>
                <c:pt idx="644">
                  <c:v>1726.4976955746201</c:v>
                </c:pt>
                <c:pt idx="645">
                  <c:v>1717.9979219579384</c:v>
                </c:pt>
                <c:pt idx="646">
                  <c:v>1709.4458269067741</c:v>
                </c:pt>
                <c:pt idx="647">
                  <c:v>1700.841997345336</c:v>
                </c:pt>
                <c:pt idx="648">
                  <c:v>1692.1870185596188</c:v>
                </c:pt>
                <c:pt idx="649">
                  <c:v>1683.4814741030004</c:v>
                </c:pt>
                <c:pt idx="650">
                  <c:v>1674.7259457039988</c:v>
                </c:pt>
                <c:pt idx="651">
                  <c:v>1665.9210131761888</c:v>
                </c:pt>
                <c:pt idx="652">
                  <c:v>1657.0672543302828</c:v>
                </c:pt>
                <c:pt idx="653">
                  <c:v>1648.1652448883738</c:v>
                </c:pt>
                <c:pt idx="654">
                  <c:v>1639.2155584003383</c:v>
                </c:pt>
                <c:pt idx="655">
                  <c:v>1630.2187661623989</c:v>
                </c:pt>
                <c:pt idx="656">
                  <c:v>1621.1754371378386</c:v>
                </c:pt>
                <c:pt idx="657">
                  <c:v>1612.0861378798629</c:v>
                </c:pt>
                <c:pt idx="658">
                  <c:v>1602.9514324566037</c:v>
                </c:pt>
                <c:pt idx="659">
                  <c:v>1593.7718823782534</c:v>
                </c:pt>
                <c:pt idx="660">
                  <c:v>1584.5480465263231</c:v>
                </c:pt>
                <c:pt idx="661">
                  <c:v>1575.2804810850125</c:v>
                </c:pt>
                <c:pt idx="662">
                  <c:v>1565.969739474679</c:v>
                </c:pt>
                <c:pt idx="663">
                  <c:v>1556.6163722873953</c:v>
                </c:pt>
                <c:pt idx="664">
                  <c:v>1547.2209272245789</c:v>
                </c:pt>
                <c:pt idx="665">
                  <c:v>1537.7839490366807</c:v>
                </c:pt>
                <c:pt idx="666">
                  <c:v>1528.3059794649159</c:v>
                </c:pt>
                <c:pt idx="667">
                  <c:v>1518.7875571850195</c:v>
                </c:pt>
                <c:pt idx="668">
                  <c:v>1509.2292177530103</c:v>
                </c:pt>
                <c:pt idx="669">
                  <c:v>1499.6314935529442</c:v>
                </c:pt>
                <c:pt idx="670">
                  <c:v>1489.9949137466363</c:v>
                </c:pt>
                <c:pt idx="671">
                  <c:v>1480.3200042253338</c:v>
                </c:pt>
                <c:pt idx="672">
                  <c:v>1470.6072875633167</c:v>
                </c:pt>
                <c:pt idx="673">
                  <c:v>1460.8572829734062</c:v>
                </c:pt>
                <c:pt idx="674">
                  <c:v>1451.0705062643578</c:v>
                </c:pt>
                <c:pt idx="675">
                  <c:v>1441.2474698001176</c:v>
                </c:pt>
                <c:pt idx="676">
                  <c:v>1431.388682460916</c:v>
                </c:pt>
                <c:pt idx="677">
                  <c:v>1421.4946496061775</c:v>
                </c:pt>
                <c:pt idx="678">
                  <c:v>1411.5658730392202</c:v>
                </c:pt>
                <c:pt idx="679">
                  <c:v>1401.6028509737214</c:v>
                </c:pt>
                <c:pt idx="680">
                  <c:v>1391.6060780019238</c:v>
                </c:pt>
                <c:pt idx="681">
                  <c:v>1381.5760450645555</c:v>
                </c:pt>
                <c:pt idx="682">
                  <c:v>1371.513239422439</c:v>
                </c:pt>
                <c:pt idx="683">
                  <c:v>1361.4181446297625</c:v>
                </c:pt>
                <c:pt idx="684">
                  <c:v>1351.2912405089862</c:v>
                </c:pt>
                <c:pt idx="685">
                  <c:v>1341.1330031273567</c:v>
                </c:pt>
                <c:pt idx="686">
                  <c:v>1330.9439047750034</c:v>
                </c:pt>
                <c:pt idx="687">
                  <c:v>1320.7244139445872</c:v>
                </c:pt>
                <c:pt idx="688">
                  <c:v>1310.4749953124772</c:v>
                </c:pt>
                <c:pt idx="689">
                  <c:v>1300.196109721423</c:v>
                </c:pt>
                <c:pt idx="690">
                  <c:v>1289.8882141646998</c:v>
                </c:pt>
                <c:pt idx="691">
                  <c:v>1279.5517617716939</c:v>
                </c:pt>
                <c:pt idx="692">
                  <c:v>1269.1872017949033</c:v>
                </c:pt>
                <c:pt idx="693">
                  <c:v>1258.7949795983232</c:v>
                </c:pt>
                <c:pt idx="694">
                  <c:v>1248.3755366471901</c:v>
                </c:pt>
                <c:pt idx="695">
                  <c:v>1237.9293104990545</c:v>
                </c:pt>
                <c:pt idx="696">
                  <c:v>1227.4567347961554</c:v>
                </c:pt>
                <c:pt idx="697">
                  <c:v>1216.9582392590676</c:v>
                </c:pt>
                <c:pt idx="698">
                  <c:v>1206.434249681593</c:v>
                </c:pt>
                <c:pt idx="699">
                  <c:v>1195.88518792687</c:v>
                </c:pt>
                <c:pt idx="700">
                  <c:v>1185.3114719246703</c:v>
                </c:pt>
                <c:pt idx="701">
                  <c:v>1174.7135156698575</c:v>
                </c:pt>
                <c:pt idx="702">
                  <c:v>1164.0917292219785</c:v>
                </c:pt>
                <c:pt idx="703">
                  <c:v>1153.44651870596</c:v>
                </c:pt>
                <c:pt idx="704">
                  <c:v>1142.778286313883</c:v>
                </c:pt>
                <c:pt idx="705">
                  <c:v>1132.0874303078085</c:v>
                </c:pt>
                <c:pt idx="706">
                  <c:v>1121.374345023627</c:v>
                </c:pt>
                <c:pt idx="707">
                  <c:v>1110.6394208759036</c:v>
                </c:pt>
                <c:pt idx="708">
                  <c:v>1099.8830443636939</c:v>
                </c:pt>
                <c:pt idx="709">
                  <c:v>1089.1055980773033</c:v>
                </c:pt>
                <c:pt idx="710">
                  <c:v>1078.3074607059639</c:v>
                </c:pt>
                <c:pt idx="711">
                  <c:v>1067.4890070464021</c:v>
                </c:pt>
                <c:pt idx="712">
                  <c:v>1056.6506080122722</c:v>
                </c:pt>
                <c:pt idx="713">
                  <c:v>1045.7926306444301</c:v>
                </c:pt>
                <c:pt idx="714">
                  <c:v>1034.9154381220224</c:v>
                </c:pt>
                <c:pt idx="715">
                  <c:v>1024.0193897743645</c:v>
                </c:pt>
                <c:pt idx="716">
                  <c:v>1013.1048410935863</c:v>
                </c:pt>
                <c:pt idx="717">
                  <c:v>1002.1721437480164</c:v>
                </c:pt>
                <c:pt idx="718">
                  <c:v>991.22164559628607</c:v>
                </c:pt>
                <c:pt idx="719">
                  <c:v>980.25369070212548</c:v>
                </c:pt>
                <c:pt idx="720">
                  <c:v>969.26861934983071</c:v>
                </c:pt>
                <c:pt idx="721">
                  <c:v>958.26676806037767</c:v>
                </c:pt>
                <c:pt idx="722">
                  <c:v>947.24846960816126</c:v>
                </c:pt>
                <c:pt idx="723">
                  <c:v>936.21405303833637</c:v>
                </c:pt>
                <c:pt idx="724">
                  <c:v>925.16384368473905</c:v>
                </c:pt>
                <c:pt idx="725">
                  <c:v>914.09816318836693</c:v>
                </c:pt>
                <c:pt idx="726">
                  <c:v>903.01732951639644</c:v>
                </c:pt>
                <c:pt idx="727">
                  <c:v>891.92165698171675</c:v>
                </c:pt>
                <c:pt idx="728">
                  <c:v>880.81145626295938</c:v>
                </c:pt>
                <c:pt idx="729">
                  <c:v>869.68703442500339</c:v>
                </c:pt>
                <c:pt idx="730">
                  <c:v>858.54869493993635</c:v>
                </c:pt>
                <c:pt idx="731">
                  <c:v>847.39673770845184</c:v>
                </c:pt>
                <c:pt idx="732">
                  <c:v>836.23145908166305</c:v>
                </c:pt>
                <c:pt idx="733">
                  <c:v>825.05315188331565</c:v>
                </c:pt>
                <c:pt idx="734">
                  <c:v>813.86210543237974</c:v>
                </c:pt>
                <c:pt idx="735">
                  <c:v>802.65860556600387</c:v>
                </c:pt>
                <c:pt idx="736">
                  <c:v>791.44293466281283</c:v>
                </c:pt>
                <c:pt idx="737">
                  <c:v>780.21537166653229</c:v>
                </c:pt>
                <c:pt idx="738">
                  <c:v>768.97619210992286</c:v>
                </c:pt>
                <c:pt idx="739">
                  <c:v>757.72566813900721</c:v>
                </c:pt>
                <c:pt idx="740">
                  <c:v>746.46406853757378</c:v>
                </c:pt>
                <c:pt idx="741">
                  <c:v>735.19165875194153</c:v>
                </c:pt>
                <c:pt idx="742">
                  <c:v>723.90870091596958</c:v>
                </c:pt>
                <c:pt idx="743">
                  <c:v>712.6154538762969</c:v>
                </c:pt>
                <c:pt idx="744">
                  <c:v>701.31217321779684</c:v>
                </c:pt>
                <c:pt idx="745">
                  <c:v>689.9991112892327</c:v>
                </c:pt>
                <c:pt idx="746">
                  <c:v>678.67651722909886</c:v>
                </c:pt>
                <c:pt idx="747">
                  <c:v>667.34463699163518</c:v>
                </c:pt>
                <c:pt idx="748">
                  <c:v>656.00371337299941</c:v>
                </c:pt>
                <c:pt idx="749">
                  <c:v>644.65398603758626</c:v>
                </c:pt>
                <c:pt idx="750">
                  <c:v>633.29569154447881</c:v>
                </c:pt>
                <c:pt idx="751">
                  <c:v>621.9290633740203</c:v>
                </c:pt>
                <c:pt idx="752">
                  <c:v>610.55433195449416</c:v>
                </c:pt>
                <c:pt idx="753">
                  <c:v>599.17172468890055</c:v>
                </c:pt>
                <c:pt idx="754">
                  <c:v>587.78146598181695</c:v>
                </c:pt>
                <c:pt idx="755">
                  <c:v>576.38377726633303</c:v>
                </c:pt>
                <c:pt idx="756">
                  <c:v>564.97887703104698</c:v>
                </c:pt>
                <c:pt idx="757">
                  <c:v>553.56698084711479</c:v>
                </c:pt>
                <c:pt idx="758">
                  <c:v>542.1483013953399</c:v>
                </c:pt>
                <c:pt idx="759">
                  <c:v>530.72304849329532</c:v>
                </c:pt>
                <c:pt idx="760">
                  <c:v>519.29142912246664</c:v>
                </c:pt>
                <c:pt idx="761">
                  <c:v>507.85364745540755</c:v>
                </c:pt>
                <c:pt idx="762">
                  <c:v>496.40990488289839</c:v>
                </c:pt>
                <c:pt idx="763">
                  <c:v>484.96040004109875</c:v>
                </c:pt>
                <c:pt idx="764">
                  <c:v>473.5053288386855</c:v>
                </c:pt>
                <c:pt idx="765">
                  <c:v>462.04488448396808</c:v>
                </c:pt>
                <c:pt idx="766">
                  <c:v>450.57925751197246</c:v>
                </c:pt>
                <c:pt idx="767">
                  <c:v>439.10863581148664</c:v>
                </c:pt>
                <c:pt idx="768">
                  <c:v>427.63320465205942</c:v>
                </c:pt>
                <c:pt idx="769">
                  <c:v>416.15314671094569</c:v>
                </c:pt>
                <c:pt idx="770">
                  <c:v>404.66864209999051</c:v>
                </c:pt>
                <c:pt idx="771">
                  <c:v>393.17986839244577</c:v>
                </c:pt>
                <c:pt idx="772">
                  <c:v>381.68700064971256</c:v>
                </c:pt>
                <c:pt idx="773">
                  <c:v>370.19021144800274</c:v>
                </c:pt>
                <c:pt idx="774">
                  <c:v>358.68967090491378</c:v>
                </c:pt>
                <c:pt idx="775">
                  <c:v>347.18554670591095</c:v>
                </c:pt>
                <c:pt idx="776">
                  <c:v>335.67800413071092</c:v>
                </c:pt>
                <c:pt idx="777">
                  <c:v>324.16720607956154</c:v>
                </c:pt>
                <c:pt idx="778">
                  <c:v>312.65331309941246</c:v>
                </c:pt>
                <c:pt idx="779">
                  <c:v>301.13648340997167</c:v>
                </c:pt>
                <c:pt idx="780">
                  <c:v>289.61687292964257</c:v>
                </c:pt>
                <c:pt idx="781">
                  <c:v>278.09463530133769</c:v>
                </c:pt>
                <c:pt idx="782">
                  <c:v>266.56992191816386</c:v>
                </c:pt>
                <c:pt idx="783">
                  <c:v>255.04288194897509</c:v>
                </c:pt>
                <c:pt idx="784">
                  <c:v>243.51366236378882</c:v>
                </c:pt>
                <c:pt idx="785">
                  <c:v>231.9824079590615</c:v>
                </c:pt>
                <c:pt idx="786">
                  <c:v>220.44926138282011</c:v>
                </c:pt>
                <c:pt idx="787">
                  <c:v>208.91436315964575</c:v>
                </c:pt>
                <c:pt idx="788">
                  <c:v>197.37785171550604</c:v>
                </c:pt>
                <c:pt idx="789">
                  <c:v>185.83986340243317</c:v>
                </c:pt>
                <c:pt idx="790">
                  <c:v>174.30053252304421</c:v>
                </c:pt>
                <c:pt idx="791">
                  <c:v>162.7599913549013</c:v>
                </c:pt>
                <c:pt idx="792">
                  <c:v>151.21837017470838</c:v>
                </c:pt>
                <c:pt idx="793">
                  <c:v>139.6757972823423</c:v>
                </c:pt>
                <c:pt idx="794">
                  <c:v>128.13239902471554</c:v>
                </c:pt>
                <c:pt idx="795">
                  <c:v>116.58829981946835</c:v>
                </c:pt>
                <c:pt idx="796">
                  <c:v>105.04362217848822</c:v>
                </c:pt>
                <c:pt idx="797">
                  <c:v>93.498486731254374</c:v>
                </c:pt>
                <c:pt idx="798">
                  <c:v>81.953012248005535</c:v>
                </c:pt>
                <c:pt idx="799">
                  <c:v>70.407315662729161</c:v>
                </c:pt>
                <c:pt idx="800">
                  <c:v>58.861512095970397</c:v>
                </c:pt>
                <c:pt idx="801">
                  <c:v>47.315714877459257</c:v>
                </c:pt>
                <c:pt idx="802">
                  <c:v>35.770035568554562</c:v>
                </c:pt>
                <c:pt idx="803">
                  <c:v>24.224583984503333</c:v>
                </c:pt>
                <c:pt idx="804">
                  <c:v>12.679468216514387</c:v>
                </c:pt>
                <c:pt idx="805">
                  <c:v>1.1347946536450735</c:v>
                </c:pt>
                <c:pt idx="806">
                  <c:v>-10.409331995499883</c:v>
                </c:pt>
                <c:pt idx="807">
                  <c:v>-10.420875822373183</c:v>
                </c:pt>
                <c:pt idx="808">
                  <c:v>-10.432419648545357</c:v>
                </c:pt>
                <c:pt idx="809">
                  <c:v>-10.443963474016304</c:v>
                </c:pt>
                <c:pt idx="810">
                  <c:v>-10.455507298785923</c:v>
                </c:pt>
                <c:pt idx="811">
                  <c:v>-10.467051122854114</c:v>
                </c:pt>
                <c:pt idx="812">
                  <c:v>-10.478594946220776</c:v>
                </c:pt>
                <c:pt idx="813">
                  <c:v>-10.490138768885808</c:v>
                </c:pt>
                <c:pt idx="814">
                  <c:v>-10.501682590849112</c:v>
                </c:pt>
                <c:pt idx="815">
                  <c:v>-10.513226412110585</c:v>
                </c:pt>
                <c:pt idx="816">
                  <c:v>-10.524770232670127</c:v>
                </c:pt>
                <c:pt idx="817">
                  <c:v>-10.536314052527638</c:v>
                </c:pt>
                <c:pt idx="818">
                  <c:v>-10.547857871683018</c:v>
                </c:pt>
                <c:pt idx="819">
                  <c:v>-10.559401690136164</c:v>
                </c:pt>
                <c:pt idx="820">
                  <c:v>-10.570945507886979</c:v>
                </c:pt>
                <c:pt idx="821">
                  <c:v>-10.582489324935359</c:v>
                </c:pt>
                <c:pt idx="822">
                  <c:v>-10.594033141281207</c:v>
                </c:pt>
                <c:pt idx="823">
                  <c:v>-10.60557695692442</c:v>
                </c:pt>
                <c:pt idx="824">
                  <c:v>-10.617120771864897</c:v>
                </c:pt>
                <c:pt idx="825">
                  <c:v>-10.62866458610254</c:v>
                </c:pt>
                <c:pt idx="826">
                  <c:v>-10.640208399637245</c:v>
                </c:pt>
                <c:pt idx="827">
                  <c:v>-10.651752212468915</c:v>
                </c:pt>
                <c:pt idx="828">
                  <c:v>-10.663296024597448</c:v>
                </c:pt>
                <c:pt idx="829">
                  <c:v>-10.674839836022743</c:v>
                </c:pt>
                <c:pt idx="830">
                  <c:v>-10.6863836467447</c:v>
                </c:pt>
                <c:pt idx="831">
                  <c:v>-10.697927456763217</c:v>
                </c:pt>
                <c:pt idx="832">
                  <c:v>-10.709471266078197</c:v>
                </c:pt>
                <c:pt idx="833">
                  <c:v>-10.721015074689536</c:v>
                </c:pt>
                <c:pt idx="834">
                  <c:v>-10.732558882597136</c:v>
                </c:pt>
                <c:pt idx="835">
                  <c:v>-10.744102689800895</c:v>
                </c:pt>
                <c:pt idx="836">
                  <c:v>-10.755646496300713</c:v>
                </c:pt>
                <c:pt idx="837">
                  <c:v>-10.767190302096489</c:v>
                </c:pt>
                <c:pt idx="838">
                  <c:v>-10.778734107188123</c:v>
                </c:pt>
                <c:pt idx="839">
                  <c:v>-10.790277911575515</c:v>
                </c:pt>
                <c:pt idx="840">
                  <c:v>-10.801821715258564</c:v>
                </c:pt>
                <c:pt idx="841">
                  <c:v>-10.81336551823717</c:v>
                </c:pt>
                <c:pt idx="842">
                  <c:v>-10.824909320511232</c:v>
                </c:pt>
                <c:pt idx="843">
                  <c:v>-10.836453122080648</c:v>
                </c:pt>
                <c:pt idx="844">
                  <c:v>-10.84799692294532</c:v>
                </c:pt>
                <c:pt idx="845">
                  <c:v>-10.859540723105146</c:v>
                </c:pt>
                <c:pt idx="846">
                  <c:v>-10.871084522560027</c:v>
                </c:pt>
                <c:pt idx="847">
                  <c:v>-10.882628321309861</c:v>
                </c:pt>
                <c:pt idx="848">
                  <c:v>-10.894172119354549</c:v>
                </c:pt>
                <c:pt idx="849">
                  <c:v>-10.905715916693989</c:v>
                </c:pt>
                <c:pt idx="850">
                  <c:v>-10.917259713328081</c:v>
                </c:pt>
                <c:pt idx="851">
                  <c:v>-10.928803509256724</c:v>
                </c:pt>
                <c:pt idx="852">
                  <c:v>-10.940347304479818</c:v>
                </c:pt>
                <c:pt idx="853">
                  <c:v>-10.951891098997264</c:v>
                </c:pt>
                <c:pt idx="854">
                  <c:v>-10.963434892808959</c:v>
                </c:pt>
                <c:pt idx="855">
                  <c:v>-10.974978685914804</c:v>
                </c:pt>
                <c:pt idx="856">
                  <c:v>-10.986522478314699</c:v>
                </c:pt>
                <c:pt idx="857">
                  <c:v>-10.998066270008541</c:v>
                </c:pt>
                <c:pt idx="858">
                  <c:v>-11.009610060996232</c:v>
                </c:pt>
                <c:pt idx="859">
                  <c:v>-11.021153851277672</c:v>
                </c:pt>
                <c:pt idx="860">
                  <c:v>-11.032697640852758</c:v>
                </c:pt>
                <c:pt idx="861">
                  <c:v>-11.044241429721392</c:v>
                </c:pt>
                <c:pt idx="862">
                  <c:v>-11.055785217883471</c:v>
                </c:pt>
                <c:pt idx="863">
                  <c:v>-11.067329005338898</c:v>
                </c:pt>
                <c:pt idx="864">
                  <c:v>-11.078872792087569</c:v>
                </c:pt>
                <c:pt idx="865">
                  <c:v>-11.090416578129386</c:v>
                </c:pt>
                <c:pt idx="866">
                  <c:v>-11.101960363464247</c:v>
                </c:pt>
                <c:pt idx="867">
                  <c:v>-11.113504148092053</c:v>
                </c:pt>
                <c:pt idx="868">
                  <c:v>-11.125047932012702</c:v>
                </c:pt>
                <c:pt idx="869">
                  <c:v>-11.136591715226094</c:v>
                </c:pt>
                <c:pt idx="870">
                  <c:v>-11.148135497732129</c:v>
                </c:pt>
                <c:pt idx="871">
                  <c:v>-11.159679279530707</c:v>
                </c:pt>
                <c:pt idx="872">
                  <c:v>-11.171223060621728</c:v>
                </c:pt>
                <c:pt idx="873">
                  <c:v>-11.182766841005089</c:v>
                </c:pt>
                <c:pt idx="874">
                  <c:v>-11.194310620680691</c:v>
                </c:pt>
                <c:pt idx="875">
                  <c:v>-11.205854399648434</c:v>
                </c:pt>
                <c:pt idx="876">
                  <c:v>-11.217398177908217</c:v>
                </c:pt>
                <c:pt idx="877">
                  <c:v>-11.228941955459941</c:v>
                </c:pt>
                <c:pt idx="878">
                  <c:v>-11.240485732303505</c:v>
                </c:pt>
                <c:pt idx="879">
                  <c:v>-11.252029508438806</c:v>
                </c:pt>
                <c:pt idx="880">
                  <c:v>-11.263573283865746</c:v>
                </c:pt>
                <c:pt idx="881">
                  <c:v>-11.275117058584224</c:v>
                </c:pt>
                <c:pt idx="882">
                  <c:v>-11.286660832594139</c:v>
                </c:pt>
                <c:pt idx="883">
                  <c:v>-11.298204605895391</c:v>
                </c:pt>
                <c:pt idx="884">
                  <c:v>-11.30974837848788</c:v>
                </c:pt>
                <c:pt idx="885">
                  <c:v>-11.321292150371507</c:v>
                </c:pt>
                <c:pt idx="886">
                  <c:v>-11.332835921546168</c:v>
                </c:pt>
                <c:pt idx="887">
                  <c:v>-11.344379692011765</c:v>
                </c:pt>
                <c:pt idx="888">
                  <c:v>-11.355923461768198</c:v>
                </c:pt>
                <c:pt idx="889">
                  <c:v>-11.367467230815365</c:v>
                </c:pt>
                <c:pt idx="890">
                  <c:v>-11.379010999153166</c:v>
                </c:pt>
                <c:pt idx="891">
                  <c:v>-11.390554766781502</c:v>
                </c:pt>
                <c:pt idx="892">
                  <c:v>-11.40209853370027</c:v>
                </c:pt>
                <c:pt idx="893">
                  <c:v>-11.413642299909371</c:v>
                </c:pt>
                <c:pt idx="894">
                  <c:v>-11.425186065408706</c:v>
                </c:pt>
                <c:pt idx="895">
                  <c:v>-11.436729830198173</c:v>
                </c:pt>
                <c:pt idx="896">
                  <c:v>-11.448273594277671</c:v>
                </c:pt>
                <c:pt idx="897">
                  <c:v>-11.459817357647101</c:v>
                </c:pt>
                <c:pt idx="898">
                  <c:v>-11.471361120306362</c:v>
                </c:pt>
                <c:pt idx="899">
                  <c:v>-11.482904882255353</c:v>
                </c:pt>
                <c:pt idx="900">
                  <c:v>-11.494448643493975</c:v>
                </c:pt>
                <c:pt idx="901">
                  <c:v>-11.505992404022127</c:v>
                </c:pt>
                <c:pt idx="902">
                  <c:v>-11.517536163839708</c:v>
                </c:pt>
                <c:pt idx="903">
                  <c:v>-11.529079922946618</c:v>
                </c:pt>
                <c:pt idx="904">
                  <c:v>-11.540623681342757</c:v>
                </c:pt>
                <c:pt idx="905">
                  <c:v>-11.552167439028024</c:v>
                </c:pt>
                <c:pt idx="906">
                  <c:v>-11.563711196002318</c:v>
                </c:pt>
                <c:pt idx="907">
                  <c:v>-11.57525495226554</c:v>
                </c:pt>
                <c:pt idx="908">
                  <c:v>-11.586798707817589</c:v>
                </c:pt>
                <c:pt idx="909">
                  <c:v>-11.598342462658366</c:v>
                </c:pt>
                <c:pt idx="910">
                  <c:v>-11.609886216787768</c:v>
                </c:pt>
                <c:pt idx="911">
                  <c:v>-11.621429970205696</c:v>
                </c:pt>
                <c:pt idx="912">
                  <c:v>-11.63297372291205</c:v>
                </c:pt>
                <c:pt idx="913">
                  <c:v>-11.64451747490673</c:v>
                </c:pt>
                <c:pt idx="914">
                  <c:v>-11.656061226189633</c:v>
                </c:pt>
                <c:pt idx="915">
                  <c:v>-11.667604976760662</c:v>
                </c:pt>
                <c:pt idx="916">
                  <c:v>-11.679148726619715</c:v>
                </c:pt>
                <c:pt idx="917">
                  <c:v>-11.69069247576669</c:v>
                </c:pt>
                <c:pt idx="918">
                  <c:v>-11.70223622420149</c:v>
                </c:pt>
                <c:pt idx="919">
                  <c:v>-11.713779971924012</c:v>
                </c:pt>
                <c:pt idx="920">
                  <c:v>-11.725323718934156</c:v>
                </c:pt>
                <c:pt idx="921">
                  <c:v>-11.736867465231823</c:v>
                </c:pt>
                <c:pt idx="922">
                  <c:v>-11.748411210816911</c:v>
                </c:pt>
                <c:pt idx="923">
                  <c:v>-11.759954955689322</c:v>
                </c:pt>
                <c:pt idx="924">
                  <c:v>-11.771498699848953</c:v>
                </c:pt>
                <c:pt idx="925">
                  <c:v>-11.783042443295706</c:v>
                </c:pt>
                <c:pt idx="926">
                  <c:v>-11.794586186029479</c:v>
                </c:pt>
                <c:pt idx="927">
                  <c:v>-11.806129928050172</c:v>
                </c:pt>
                <c:pt idx="928">
                  <c:v>-11.817673669357685</c:v>
                </c:pt>
                <c:pt idx="929">
                  <c:v>-11.829217409951916</c:v>
                </c:pt>
                <c:pt idx="930">
                  <c:v>-11.840761149832767</c:v>
                </c:pt>
                <c:pt idx="931">
                  <c:v>-11.852304889000136</c:v>
                </c:pt>
                <c:pt idx="932">
                  <c:v>-11.863848627453924</c:v>
                </c:pt>
                <c:pt idx="933">
                  <c:v>-11.875392365194029</c:v>
                </c:pt>
                <c:pt idx="934">
                  <c:v>-11.886936102220353</c:v>
                </c:pt>
                <c:pt idx="935">
                  <c:v>-11.898479838532793</c:v>
                </c:pt>
                <c:pt idx="936">
                  <c:v>-11.910023574131252</c:v>
                </c:pt>
                <c:pt idx="937">
                  <c:v>-11.921567309015625</c:v>
                </c:pt>
                <c:pt idx="938">
                  <c:v>-11.933111043185816</c:v>
                </c:pt>
                <c:pt idx="939">
                  <c:v>-11.944654776641721</c:v>
                </c:pt>
                <c:pt idx="940">
                  <c:v>-11.956198509383244</c:v>
                </c:pt>
                <c:pt idx="941">
                  <c:v>-11.967742241410281</c:v>
                </c:pt>
                <c:pt idx="942">
                  <c:v>-11.979285972722733</c:v>
                </c:pt>
                <c:pt idx="943">
                  <c:v>-11.9908297033205</c:v>
                </c:pt>
                <c:pt idx="944">
                  <c:v>-12.002373433203481</c:v>
                </c:pt>
                <c:pt idx="945">
                  <c:v>-12.013917162371575</c:v>
                </c:pt>
                <c:pt idx="946">
                  <c:v>-12.025460890824684</c:v>
                </c:pt>
                <c:pt idx="947">
                  <c:v>-12.037004618562706</c:v>
                </c:pt>
                <c:pt idx="948">
                  <c:v>-12.048548345585541</c:v>
                </c:pt>
                <c:pt idx="949">
                  <c:v>-12.060092071893088</c:v>
                </c:pt>
                <c:pt idx="950">
                  <c:v>-12.071635797485248</c:v>
                </c:pt>
                <c:pt idx="951">
                  <c:v>-12.08317952236192</c:v>
                </c:pt>
                <c:pt idx="952">
                  <c:v>-12.094723246523003</c:v>
                </c:pt>
                <c:pt idx="953">
                  <c:v>-12.106266969968397</c:v>
                </c:pt>
                <c:pt idx="954">
                  <c:v>-12.117810692698002</c:v>
                </c:pt>
                <c:pt idx="955">
                  <c:v>-12.129354414711718</c:v>
                </c:pt>
                <c:pt idx="956">
                  <c:v>-12.140898136009445</c:v>
                </c:pt>
                <c:pt idx="957">
                  <c:v>-12.152441856591082</c:v>
                </c:pt>
                <c:pt idx="958">
                  <c:v>-12.163985576456529</c:v>
                </c:pt>
                <c:pt idx="959">
                  <c:v>-12.175529295605685</c:v>
                </c:pt>
                <c:pt idx="960">
                  <c:v>-12.18707301403845</c:v>
                </c:pt>
                <c:pt idx="961">
                  <c:v>-12.198616731754726</c:v>
                </c:pt>
                <c:pt idx="962">
                  <c:v>-12.210160448754408</c:v>
                </c:pt>
                <c:pt idx="963">
                  <c:v>-12.2217041650374</c:v>
                </c:pt>
                <c:pt idx="964">
                  <c:v>-12.233247880603599</c:v>
                </c:pt>
                <c:pt idx="965">
                  <c:v>-12.244791595452906</c:v>
                </c:pt>
                <c:pt idx="966">
                  <c:v>-12.25633530958522</c:v>
                </c:pt>
                <c:pt idx="967">
                  <c:v>-12.267879023000441</c:v>
                </c:pt>
                <c:pt idx="968">
                  <c:v>-12.27942273569847</c:v>
                </c:pt>
                <c:pt idx="969">
                  <c:v>-12.290966447679205</c:v>
                </c:pt>
                <c:pt idx="970">
                  <c:v>-12.302510158942546</c:v>
                </c:pt>
                <c:pt idx="971">
                  <c:v>-12.314053869488394</c:v>
                </c:pt>
                <c:pt idx="972">
                  <c:v>-12.325597579316646</c:v>
                </c:pt>
                <c:pt idx="973">
                  <c:v>-12.337141288427205</c:v>
                </c:pt>
                <c:pt idx="974">
                  <c:v>-12.348684996819969</c:v>
                </c:pt>
                <c:pt idx="975">
                  <c:v>-12.360228704494839</c:v>
                </c:pt>
                <c:pt idx="976">
                  <c:v>-12.371772411451712</c:v>
                </c:pt>
                <c:pt idx="977">
                  <c:v>-12.383316117690489</c:v>
                </c:pt>
                <c:pt idx="978">
                  <c:v>-12.394859823211071</c:v>
                </c:pt>
                <c:pt idx="979">
                  <c:v>-12.406403528013357</c:v>
                </c:pt>
                <c:pt idx="980">
                  <c:v>-12.417947232097246</c:v>
                </c:pt>
                <c:pt idx="981">
                  <c:v>-12.429490935462638</c:v>
                </c:pt>
                <c:pt idx="982">
                  <c:v>-12.441034638109434</c:v>
                </c:pt>
                <c:pt idx="983">
                  <c:v>-12.452578340037531</c:v>
                </c:pt>
                <c:pt idx="984">
                  <c:v>-12.464122041246831</c:v>
                </c:pt>
                <c:pt idx="985">
                  <c:v>-12.475665741737235</c:v>
                </c:pt>
                <c:pt idx="986">
                  <c:v>-12.487209441508639</c:v>
                </c:pt>
                <c:pt idx="987">
                  <c:v>-12.498753140560945</c:v>
                </c:pt>
                <c:pt idx="988">
                  <c:v>-12.510296838894053</c:v>
                </c:pt>
                <c:pt idx="989">
                  <c:v>-12.521840536507861</c:v>
                </c:pt>
                <c:pt idx="990">
                  <c:v>-12.533384233402272</c:v>
                </c:pt>
                <c:pt idx="991">
                  <c:v>-12.544927929577181</c:v>
                </c:pt>
                <c:pt idx="992">
                  <c:v>-12.556471625032492</c:v>
                </c:pt>
                <c:pt idx="993">
                  <c:v>-12.568015319768103</c:v>
                </c:pt>
                <c:pt idx="994">
                  <c:v>-12.579559013783912</c:v>
                </c:pt>
                <c:pt idx="995">
                  <c:v>-12.591102707079823</c:v>
                </c:pt>
                <c:pt idx="996">
                  <c:v>-12.602646399655733</c:v>
                </c:pt>
                <c:pt idx="997">
                  <c:v>-12.614190091511542</c:v>
                </c:pt>
                <c:pt idx="998">
                  <c:v>-12.625733782647149</c:v>
                </c:pt>
                <c:pt idx="999">
                  <c:v>-12.637277473062456</c:v>
                </c:pt>
                <c:pt idx="1000">
                  <c:v>-12.648821162757361</c:v>
                </c:pt>
              </c:numCache>
            </c:numRef>
          </c:yVal>
          <c:smooth val="1"/>
          <c:extLst>
            <c:ext xmlns:c16="http://schemas.microsoft.com/office/drawing/2014/chart" uri="{C3380CC4-5D6E-409C-BE32-E72D297353CC}">
              <c16:uniqueId val="{00000001-432A-49A9-9499-7ED3E32DDB07}"/>
            </c:ext>
          </c:extLst>
        </c:ser>
        <c:ser>
          <c:idx val="2"/>
          <c:order val="2"/>
          <c:tx>
            <c:strRef>
              <c:f>Trajecto!$B$108</c:f>
              <c:strCache>
                <c:ptCount val="1"/>
                <c:pt idx="0">
                  <c:v>Descente balistique</c:v>
                </c:pt>
              </c:strCache>
            </c:strRef>
          </c:tx>
          <c:spPr>
            <a:ln w="12700">
              <a:solidFill>
                <a:srgbClr val="808080"/>
              </a:solidFill>
              <a:prstDash val="sysDash"/>
            </a:ln>
          </c:spPr>
          <c:marker>
            <c:symbol val="none"/>
          </c:marker>
          <c:xVal>
            <c:numRef>
              <c:f>Calculs!$J$4:$J$1004</c:f>
              <c:numCache>
                <c:formatCode>0.00</c:formatCode>
                <c:ptCount val="1001"/>
                <c:pt idx="0">
                  <c:v>0</c:v>
                </c:pt>
                <c:pt idx="1">
                  <c:v>0.17363767227451923</c:v>
                </c:pt>
                <c:pt idx="2">
                  <c:v>0.34750797462468086</c:v>
                </c:pt>
                <c:pt idx="3">
                  <c:v>0.52211807299830937</c:v>
                </c:pt>
                <c:pt idx="4">
                  <c:v>0.69797501089247393</c:v>
                </c:pt>
                <c:pt idx="5">
                  <c:v>0.87566986072227493</c:v>
                </c:pt>
                <c:pt idx="6">
                  <c:v>1.0556664482660607</c:v>
                </c:pt>
                <c:pt idx="7">
                  <c:v>1.238088610732125</c:v>
                </c:pt>
                <c:pt idx="8">
                  <c:v>1.4229314391374186</c:v>
                </c:pt>
                <c:pt idx="9">
                  <c:v>1.6101899453699768</c:v>
                </c:pt>
                <c:pt idx="10">
                  <c:v>1.7998590633320544</c:v>
                </c:pt>
                <c:pt idx="11">
                  <c:v>1.9919336500561797</c:v>
                </c:pt>
                <c:pt idx="12">
                  <c:v>2.1864084867956048</c:v>
                </c:pt>
                <c:pt idx="13">
                  <c:v>2.3832782800905279</c:v>
                </c:pt>
                <c:pt idx="14">
                  <c:v>2.5825376628113803</c:v>
                </c:pt>
                <c:pt idx="15">
                  <c:v>2.7841811951803823</c:v>
                </c:pt>
                <c:pt idx="16">
                  <c:v>2.9882033657724976</c:v>
                </c:pt>
                <c:pt idx="17">
                  <c:v>3.1945985924968436</c:v>
                </c:pt>
                <c:pt idx="18">
                  <c:v>3.4033612235595543</c:v>
                </c:pt>
                <c:pt idx="19">
                  <c:v>3.6144855384090158</c:v>
                </c:pt>
                <c:pt idx="20">
                  <c:v>3.8279657486643588</c:v>
                </c:pt>
                <c:pt idx="21">
                  <c:v>4.0437959990280188</c:v>
                </c:pt>
                <c:pt idx="22">
                  <c:v>4.261970368183138</c:v>
                </c:pt>
                <c:pt idx="23">
                  <c:v>4.4824828696765273</c:v>
                </c:pt>
                <c:pt idx="24">
                  <c:v>4.7053274527878735</c:v>
                </c:pt>
                <c:pt idx="25">
                  <c:v>4.9304980033858259</c:v>
                </c:pt>
                <c:pt idx="26">
                  <c:v>5.1579883447715664</c:v>
                </c:pt>
                <c:pt idx="27">
                  <c:v>5.3877922385104231</c:v>
                </c:pt>
                <c:pt idx="28">
                  <c:v>5.6199033852520675</c:v>
                </c:pt>
                <c:pt idx="29">
                  <c:v>5.8543154255397898</c:v>
                </c:pt>
                <c:pt idx="30">
                  <c:v>6.0910219406093251</c:v>
                </c:pt>
                <c:pt idx="31">
                  <c:v>6.3300164531776772</c:v>
                </c:pt>
                <c:pt idx="32">
                  <c:v>6.5712924282223559</c:v>
                </c:pt>
                <c:pt idx="33">
                  <c:v>6.8148432737514257</c:v>
                </c:pt>
                <c:pt idx="34">
                  <c:v>7.0606623415647292</c:v>
                </c:pt>
                <c:pt idx="35">
                  <c:v>7.3087429280066472</c:v>
                </c:pt>
                <c:pt idx="36">
                  <c:v>7.5590782747107177</c:v>
                </c:pt>
                <c:pt idx="37">
                  <c:v>7.8116615693364233</c:v>
                </c:pt>
                <c:pt idx="38">
                  <c:v>8.0664859462984495</c:v>
                </c:pt>
                <c:pt idx="39">
                  <c:v>8.3235444874886806</c:v>
                </c:pt>
                <c:pt idx="40">
                  <c:v>8.5828302229911984</c:v>
                </c:pt>
                <c:pt idx="41">
                  <c:v>8.8443361317905325</c:v>
                </c:pt>
                <c:pt idx="42">
                  <c:v>9.1080551424733844</c:v>
                </c:pt>
                <c:pt idx="43">
                  <c:v>9.3739801339240572</c:v>
                </c:pt>
                <c:pt idx="44">
                  <c:v>9.6421039360137808</c:v>
                </c:pt>
                <c:pt idx="45">
                  <c:v>9.9124193302841448</c:v>
                </c:pt>
                <c:pt idx="46">
                  <c:v>10.184919050624799</c:v>
                </c:pt>
                <c:pt idx="47">
                  <c:v>10.45959578394562</c:v>
                </c:pt>
                <c:pt idx="48">
                  <c:v>10.736442170843484</c:v>
                </c:pt>
                <c:pt idx="49">
                  <c:v>11.015450806263809</c:v>
                </c:pt>
                <c:pt idx="50">
                  <c:v>11.296614240157009</c:v>
                </c:pt>
                <c:pt idx="51">
                  <c:v>11.579925686528231</c:v>
                </c:pt>
                <c:pt idx="52">
                  <c:v>11.865379734213658</c:v>
                </c:pt>
                <c:pt idx="53">
                  <c:v>12.152971640701326</c:v>
                </c:pt>
                <c:pt idx="54">
                  <c:v>12.442696624121892</c:v>
                </c:pt>
                <c:pt idx="55">
                  <c:v>12.734549863694301</c:v>
                </c:pt>
                <c:pt idx="56">
                  <c:v>13.028526500168926</c:v>
                </c:pt>
                <c:pt idx="57">
                  <c:v>13.32462163626824</c:v>
                </c:pt>
                <c:pt idx="58">
                  <c:v>13.622830337125105</c:v>
                </c:pt>
                <c:pt idx="59">
                  <c:v>13.923147630718729</c:v>
                </c:pt>
                <c:pt idx="60">
                  <c:v>14.22556850830836</c:v>
                </c:pt>
                <c:pt idx="61">
                  <c:v>14.530087924864777</c:v>
                </c:pt>
                <c:pt idx="62">
                  <c:v>14.836700799499621</c:v>
                </c:pt>
                <c:pt idx="63">
                  <c:v>15.14540201589263</c:v>
                </c:pt>
                <c:pt idx="64">
                  <c:v>15.456186422716817</c:v>
                </c:pt>
                <c:pt idx="65">
                  <c:v>15.769048834061634</c:v>
                </c:pt>
                <c:pt idx="66">
                  <c:v>16.083984029854175</c:v>
                </c:pt>
                <c:pt idx="67">
                  <c:v>16.400986756278453</c:v>
                </c:pt>
                <c:pt idx="68">
                  <c:v>16.720051726192775</c:v>
                </c:pt>
                <c:pt idx="69">
                  <c:v>17.041173619545258</c:v>
                </c:pt>
                <c:pt idx="70">
                  <c:v>17.364347083787539</c:v>
                </c:pt>
                <c:pt idx="71">
                  <c:v>17.689566734286664</c:v>
                </c:pt>
                <c:pt idx="72">
                  <c:v>18.016827154735221</c:v>
                </c:pt>
                <c:pt idx="73">
                  <c:v>18.346122897559727</c:v>
                </c:pt>
                <c:pt idx="74">
                  <c:v>18.677448484327289</c:v>
                </c:pt>
                <c:pt idx="75">
                  <c:v>19.010798406150574</c:v>
                </c:pt>
                <c:pt idx="76">
                  <c:v>19.346167124091096</c:v>
                </c:pt>
                <c:pt idx="77">
                  <c:v>19.68354906956084</c:v>
                </c:pt>
                <c:pt idx="78">
                  <c:v>20.022938644722238</c:v>
                </c:pt>
                <c:pt idx="79">
                  <c:v>20.364330222886522</c:v>
                </c:pt>
                <c:pt idx="80">
                  <c:v>20.707718148910455</c:v>
                </c:pt>
                <c:pt idx="81">
                  <c:v>21.053096739591464</c:v>
                </c:pt>
                <c:pt idx="82">
                  <c:v>21.400460284061165</c:v>
                </c:pt>
                <c:pt idx="83">
                  <c:v>21.749803044177316</c:v>
                </c:pt>
                <c:pt idx="84">
                  <c:v>22.101119254914185</c:v>
                </c:pt>
                <c:pt idx="85">
                  <c:v>22.454403124751359</c:v>
                </c:pt>
                <c:pt idx="86">
                  <c:v>22.809648836060976</c:v>
                </c:pt>
                <c:pt idx="87">
                  <c:v>23.166850545493404</c:v>
                </c:pt>
                <c:pt idx="88">
                  <c:v>23.526002384361362</c:v>
                </c:pt>
                <c:pt idx="89">
                  <c:v>23.887098459022507</c:v>
                </c:pt>
                <c:pt idx="90">
                  <c:v>24.250132851260435</c:v>
                </c:pt>
                <c:pt idx="91">
                  <c:v>24.615099618664175</c:v>
                </c:pt>
                <c:pt idx="92">
                  <c:v>24.9819927950061</c:v>
                </c:pt>
                <c:pt idx="93">
                  <c:v>25.350806390618306</c:v>
                </c:pt>
                <c:pt idx="94">
                  <c:v>25.721534392767445</c:v>
                </c:pt>
                <c:pt idx="95">
                  <c:v>26.094170766028</c:v>
                </c:pt>
                <c:pt idx="96">
                  <c:v>26.468709452654</c:v>
                </c:pt>
                <c:pt idx="97">
                  <c:v>26.845144372949193</c:v>
                </c:pt>
                <c:pt idx="98">
                  <c:v>27.223469425635649</c:v>
                </c:pt>
                <c:pt idx="99">
                  <c:v>27.603678488220805</c:v>
                </c:pt>
                <c:pt idx="100">
                  <c:v>27.985765417362938</c:v>
                </c:pt>
                <c:pt idx="101">
                  <c:v>28.369723710115395</c:v>
                </c:pt>
                <c:pt idx="102">
                  <c:v>28.755546164787916</c:v>
                </c:pt>
                <c:pt idx="103">
                  <c:v>29.143225220440371</c:v>
                </c:pt>
                <c:pt idx="104">
                  <c:v>29.532753296791054</c:v>
                </c:pt>
                <c:pt idx="105">
                  <c:v>29.924122794643459</c:v>
                </c:pt>
                <c:pt idx="106">
                  <c:v>30.317326096310719</c:v>
                </c:pt>
                <c:pt idx="107">
                  <c:v>30.712355566037701</c:v>
                </c:pt>
                <c:pt idx="108">
                  <c:v>31.109203550420748</c:v>
                </c:pt>
                <c:pt idx="109">
                  <c:v>31.507862378825077</c:v>
                </c:pt>
                <c:pt idx="110">
                  <c:v>31.908324363799789</c:v>
                </c:pt>
                <c:pt idx="111">
                  <c:v>32.310581801490521</c:v>
                </c:pt>
                <c:pt idx="112">
                  <c:v>32.714626972049693</c:v>
                </c:pt>
                <c:pt idx="113">
                  <c:v>33.120452140044378</c:v>
                </c:pt>
                <c:pt idx="114">
                  <c:v>33.528049554861767</c:v>
                </c:pt>
                <c:pt idx="115">
                  <c:v>33.937411451112197</c:v>
                </c:pt>
                <c:pt idx="116">
                  <c:v>34.34853004902979</c:v>
                </c:pt>
                <c:pt idx="117">
                  <c:v>34.761397554870612</c:v>
                </c:pt>
                <c:pt idx="118">
                  <c:v>35.17600616130845</c:v>
                </c:pt>
                <c:pt idx="119">
                  <c:v>35.592348047828068</c:v>
                </c:pt>
                <c:pt idx="120">
                  <c:v>36.010415381116061</c:v>
                </c:pt>
                <c:pt idx="121">
                  <c:v>36.430200315449184</c:v>
                </c:pt>
                <c:pt idx="122">
                  <c:v>36.851694993080251</c:v>
                </c:pt>
                <c:pt idx="123">
                  <c:v>37.274891544621482</c:v>
                </c:pt>
                <c:pt idx="124">
                  <c:v>37.699782089425398</c:v>
                </c:pt>
                <c:pt idx="125">
                  <c:v>38.126358735963187</c:v>
                </c:pt>
                <c:pt idx="126">
                  <c:v>38.554613582200531</c:v>
                </c:pt>
                <c:pt idx="127">
                  <c:v>38.984538715970928</c:v>
                </c:pt>
                <c:pt idx="128">
                  <c:v>39.416126215346466</c:v>
                </c:pt>
                <c:pt idx="129">
                  <c:v>39.849368149006033</c:v>
                </c:pt>
                <c:pt idx="130">
                  <c:v>40.284256576600995</c:v>
                </c:pt>
                <c:pt idx="131">
                  <c:v>40.720783549118281</c:v>
                </c:pt>
                <c:pt idx="132">
                  <c:v>41.158941109240907</c:v>
                </c:pt>
                <c:pt idx="133">
                  <c:v>41.598721291705907</c:v>
                </c:pt>
                <c:pt idx="134">
                  <c:v>42.040116123659686</c:v>
                </c:pt>
                <c:pt idx="135">
                  <c:v>42.483117625010742</c:v>
                </c:pt>
                <c:pt idx="136">
                  <c:v>42.927717808779811</c:v>
                </c:pt>
                <c:pt idx="137">
                  <c:v>43.373908681447375</c:v>
                </c:pt>
                <c:pt idx="138">
                  <c:v>43.821682243298554</c:v>
                </c:pt>
                <c:pt idx="139">
                  <c:v>44.271030488765355</c:v>
                </c:pt>
                <c:pt idx="140">
                  <c:v>44.721945406766302</c:v>
                </c:pt>
                <c:pt idx="141">
                  <c:v>45.174418981043388</c:v>
                </c:pt>
                <c:pt idx="142">
                  <c:v>45.628443190496405</c:v>
                </c:pt>
                <c:pt idx="143">
                  <c:v>46.0840100095146</c:v>
                </c:pt>
                <c:pt idx="144">
                  <c:v>46.54111140830566</c:v>
                </c:pt>
                <c:pt idx="145">
                  <c:v>46.999739353222047</c:v>
                </c:pt>
                <c:pt idx="146">
                  <c:v>47.459885807084618</c:v>
                </c:pt>
                <c:pt idx="147">
                  <c:v>47.921542729503599</c:v>
                </c:pt>
                <c:pt idx="148">
                  <c:v>48.384702077196849</c:v>
                </c:pt>
                <c:pt idx="149">
                  <c:v>48.849355804305453</c:v>
                </c:pt>
                <c:pt idx="150">
                  <c:v>49.315495862706584</c:v>
                </c:pt>
                <c:pt idx="151">
                  <c:v>49.783114321405073</c:v>
                </c:pt>
                <c:pt idx="152">
                  <c:v>50.252203485927815</c:v>
                </c:pt>
                <c:pt idx="153">
                  <c:v>50.722755779318007</c:v>
                </c:pt>
                <c:pt idx="154">
                  <c:v>51.194763623112067</c:v>
                </c:pt>
                <c:pt idx="155">
                  <c:v>51.668219437620969</c:v>
                </c:pt>
                <c:pt idx="156">
                  <c:v>52.143115642209175</c:v>
                </c:pt>
                <c:pt idx="157">
                  <c:v>52.619444655571058</c:v>
                </c:pt>
                <c:pt idx="158">
                  <c:v>53.097198896004926</c:v>
                </c:pt>
                <c:pt idx="159">
                  <c:v>53.576370781684517</c:v>
                </c:pt>
                <c:pt idx="160">
                  <c:v>54.056952730928096</c:v>
                </c:pt>
                <c:pt idx="161">
                  <c:v>54.538937162465047</c:v>
                </c:pt>
                <c:pt idx="162">
                  <c:v>55.022316495700025</c:v>
                </c:pt>
                <c:pt idx="163">
                  <c:v>55.507083150974616</c:v>
                </c:pt>
                <c:pt idx="164">
                  <c:v>55.993229549826559</c:v>
                </c:pt>
                <c:pt idx="165">
                  <c:v>56.480748115246463</c:v>
                </c:pt>
                <c:pt idx="166">
                  <c:v>56.969631271932073</c:v>
                </c:pt>
                <c:pt idx="167">
                  <c:v>57.459871446540085</c:v>
                </c:pt>
                <c:pt idx="168">
                  <c:v>57.951461067935448</c:v>
                </c:pt>
                <c:pt idx="169">
                  <c:v>58.444392567438229</c:v>
                </c:pt>
                <c:pt idx="170">
                  <c:v>58.938658379068002</c:v>
                </c:pt>
                <c:pt idx="171">
                  <c:v>59.434250939785741</c:v>
                </c:pt>
                <c:pt idx="172">
                  <c:v>59.931162689733306</c:v>
                </c:pt>
                <c:pt idx="173">
                  <c:v>60.429386072470379</c:v>
                </c:pt>
                <c:pt idx="174">
                  <c:v>60.928913535209006</c:v>
                </c:pt>
                <c:pt idx="175">
                  <c:v>61.429737529045646</c:v>
                </c:pt>
                <c:pt idx="176">
                  <c:v>61.931850509190745</c:v>
                </c:pt>
                <c:pt idx="177">
                  <c:v>62.435244935195882</c:v>
                </c:pt>
                <c:pt idx="178">
                  <c:v>62.939913271178426</c:v>
                </c:pt>
                <c:pt idx="179">
                  <c:v>63.445847986043759</c:v>
                </c:pt>
                <c:pt idx="180">
                  <c:v>63.953041553705049</c:v>
                </c:pt>
                <c:pt idx="181">
                  <c:v>64.461486453300552</c:v>
                </c:pt>
                <c:pt idx="182">
                  <c:v>64.971175169408511</c:v>
                </c:pt>
                <c:pt idx="183">
                  <c:v>65.482100192259537</c:v>
                </c:pt>
                <c:pt idx="184">
                  <c:v>65.994254017946659</c:v>
                </c:pt>
                <c:pt idx="185">
                  <c:v>66.507629148632844</c:v>
                </c:pt>
                <c:pt idx="186">
                  <c:v>67.022218092756162</c:v>
                </c:pt>
                <c:pt idx="187">
                  <c:v>67.538013365232459</c:v>
                </c:pt>
                <c:pt idx="188">
                  <c:v>68.055007487655672</c:v>
                </c:pt>
                <c:pt idx="189">
                  <c:v>68.573192988495705</c:v>
                </c:pt>
                <c:pt idx="190">
                  <c:v>69.092562403293883</c:v>
                </c:pt>
                <c:pt idx="191">
                  <c:v>69.613108274856017</c:v>
                </c:pt>
                <c:pt idx="192">
                  <c:v>70.134823153443079</c:v>
                </c:pt>
                <c:pt idx="193">
                  <c:v>70.657699596959461</c:v>
                </c:pt>
                <c:pt idx="194">
                  <c:v>71.181730171138895</c:v>
                </c:pt>
                <c:pt idx="195">
                  <c:v>71.706907449727922</c:v>
                </c:pt>
                <c:pt idx="196">
                  <c:v>72.233224014667073</c:v>
                </c:pt>
                <c:pt idx="197">
                  <c:v>72.760672456269631</c:v>
                </c:pt>
                <c:pt idx="198">
                  <c:v>73.289245373398018</c:v>
                </c:pt>
                <c:pt idx="199">
                  <c:v>73.818935373637913</c:v>
                </c:pt>
                <c:pt idx="200">
                  <c:v>74.349735073469944</c:v>
                </c:pt>
                <c:pt idx="201">
                  <c:v>74.881637098439072</c:v>
                </c:pt>
                <c:pt idx="202">
                  <c:v>75.414634083321658</c:v>
                </c:pt>
                <c:pt idx="203">
                  <c:v>75.948718672290212</c:v>
                </c:pt>
                <c:pt idx="204">
                  <c:v>76.483883519075803</c:v>
                </c:pt>
                <c:pt idx="205">
                  <c:v>77.020121287128205</c:v>
                </c:pt>
                <c:pt idx="206">
                  <c:v>77.557424649773736</c:v>
                </c:pt>
                <c:pt idx="207">
                  <c:v>78.095786290370754</c:v>
                </c:pt>
                <c:pt idx="208">
                  <c:v>78.635198902462989</c:v>
                </c:pt>
                <c:pt idx="209">
                  <c:v>79.175655189930495</c:v>
                </c:pt>
                <c:pt idx="210">
                  <c:v>79.717147867138436</c:v>
                </c:pt>
                <c:pt idx="211">
                  <c:v>80.259669659083556</c:v>
                </c:pt>
                <c:pt idx="212">
                  <c:v>80.803213301538435</c:v>
                </c:pt>
                <c:pt idx="213">
                  <c:v>81.347771541193509</c:v>
                </c:pt>
                <c:pt idx="214">
                  <c:v>81.893337135796926</c:v>
                </c:pt>
                <c:pt idx="215">
                  <c:v>82.439902854292072</c:v>
                </c:pt>
                <c:pt idx="216">
                  <c:v>82.987461476953044</c:v>
                </c:pt>
                <c:pt idx="217">
                  <c:v>83.536005795517795</c:v>
                </c:pt>
                <c:pt idx="218">
                  <c:v>84.085528613319227</c:v>
                </c:pt>
                <c:pt idx="219">
                  <c:v>84.636022745413996</c:v>
                </c:pt>
                <c:pt idx="220">
                  <c:v>85.187481018709278</c:v>
                </c:pt>
                <c:pt idx="221">
                  <c:v>85.739896272087307</c:v>
                </c:pt>
                <c:pt idx="222">
                  <c:v>86.293261356527793</c:v>
                </c:pt>
                <c:pt idx="223">
                  <c:v>86.847569135228255</c:v>
                </c:pt>
                <c:pt idx="224">
                  <c:v>87.402812483722201</c:v>
                </c:pt>
                <c:pt idx="225">
                  <c:v>87.958984289995215</c:v>
                </c:pt>
                <c:pt idx="226">
                  <c:v>88.516077454598971</c:v>
                </c:pt>
                <c:pt idx="227">
                  <c:v>89.074084890763174</c:v>
                </c:pt>
                <c:pt idx="228">
                  <c:v>89.632999524505408</c:v>
                </c:pt>
                <c:pt idx="229">
                  <c:v>90.192814294738923</c:v>
                </c:pt>
                <c:pt idx="230">
                  <c:v>90.753522153378455</c:v>
                </c:pt>
                <c:pt idx="231">
                  <c:v>91.315116065443917</c:v>
                </c:pt>
                <c:pt idx="232">
                  <c:v>91.877589009162136</c:v>
                </c:pt>
                <c:pt idx="233">
                  <c:v>92.440933976066589</c:v>
                </c:pt>
                <c:pt idx="234">
                  <c:v>93.00514397109508</c:v>
                </c:pt>
                <c:pt idx="235">
                  <c:v>93.570212012685545</c:v>
                </c:pt>
                <c:pt idx="236">
                  <c:v>94.136131132869778</c:v>
                </c:pt>
                <c:pt idx="237">
                  <c:v>94.702894377365268</c:v>
                </c:pt>
                <c:pt idx="238">
                  <c:v>95.270494805665095</c:v>
                </c:pt>
                <c:pt idx="239">
                  <c:v>95.838925491125849</c:v>
                </c:pt>
                <c:pt idx="240">
                  <c:v>96.408179521053697</c:v>
                </c:pt>
                <c:pt idx="241">
                  <c:v>96.978249996788477</c:v>
                </c:pt>
                <c:pt idx="242">
                  <c:v>97.549130033785957</c:v>
                </c:pt>
                <c:pt idx="243">
                  <c:v>98.120812761698232</c:v>
                </c:pt>
                <c:pt idx="244">
                  <c:v>98.693291324452147</c:v>
                </c:pt>
                <c:pt idx="245">
                  <c:v>99.266558880326016</c:v>
                </c:pt>
                <c:pt idx="246">
                  <c:v>99.840608602024389</c:v>
                </c:pt>
                <c:pt idx="247">
                  <c:v>100.41543367675105</c:v>
                </c:pt>
                <c:pt idx="248">
                  <c:v>100.9910273062802</c:v>
                </c:pt>
                <c:pt idx="249">
                  <c:v>101.56738270702583</c:v>
                </c:pt>
                <c:pt idx="250">
                  <c:v>102.14449311010928</c:v>
                </c:pt>
                <c:pt idx="251">
                  <c:v>102.72235121966864</c:v>
                </c:pt>
                <c:pt idx="252">
                  <c:v>103.30094867192561</c:v>
                </c:pt>
                <c:pt idx="253">
                  <c:v>103.8802765794166</c:v>
                </c:pt>
                <c:pt idx="254">
                  <c:v>104.46032607447864</c:v>
                </c:pt>
                <c:pt idx="255">
                  <c:v>105.04108830933947</c:v>
                </c:pt>
                <c:pt idx="256">
                  <c:v>105.62255445620485</c:v>
                </c:pt>
                <c:pt idx="257">
                  <c:v>106.20471570734313</c:v>
                </c:pt>
                <c:pt idx="258">
                  <c:v>106.78756327516706</c:v>
                </c:pt>
                <c:pt idx="259">
                  <c:v>107.37108839231294</c:v>
                </c:pt>
                <c:pt idx="260">
                  <c:v>107.95528231171704</c:v>
                </c:pt>
                <c:pt idx="261">
                  <c:v>108.54013630668936</c:v>
                </c:pt>
                <c:pt idx="262">
                  <c:v>109.12564167098478</c:v>
                </c:pt>
                <c:pt idx="263">
                  <c:v>109.71178971887156</c:v>
                </c:pt>
                <c:pt idx="264">
                  <c:v>110.29857178519727</c:v>
                </c:pt>
                <c:pt idx="265">
                  <c:v>110.88597922545213</c:v>
                </c:pt>
                <c:pt idx="266">
                  <c:v>111.47400341582986</c:v>
                </c:pt>
                <c:pt idx="267">
                  <c:v>112.06263575328589</c:v>
                </c:pt>
                <c:pt idx="268">
                  <c:v>112.65186765559324</c:v>
                </c:pt>
                <c:pt idx="269">
                  <c:v>113.24169056139574</c:v>
                </c:pt>
                <c:pt idx="270">
                  <c:v>113.83209593025896</c:v>
                </c:pt>
                <c:pt idx="271">
                  <c:v>114.42307524271858</c:v>
                </c:pt>
                <c:pt idx="272">
                  <c:v>115.01462000032646</c:v>
                </c:pt>
                <c:pt idx="273">
                  <c:v>115.60672172569426</c:v>
                </c:pt>
                <c:pt idx="274">
                  <c:v>116.19937196253474</c:v>
                </c:pt>
                <c:pt idx="275">
                  <c:v>116.7925622757007</c:v>
                </c:pt>
                <c:pt idx="276">
                  <c:v>117.38628425122164</c:v>
                </c:pt>
                <c:pt idx="277">
                  <c:v>117.98052949633806</c:v>
                </c:pt>
                <c:pt idx="278">
                  <c:v>118.57528963953361</c:v>
                </c:pt>
                <c:pt idx="279">
                  <c:v>119.17055633056489</c:v>
                </c:pt>
                <c:pt idx="280">
                  <c:v>119.76632124048911</c:v>
                </c:pt>
                <c:pt idx="281">
                  <c:v>120.3625760616895</c:v>
                </c:pt>
                <c:pt idx="282">
                  <c:v>120.95931250789857</c:v>
                </c:pt>
                <c:pt idx="283">
                  <c:v>121.55652231421927</c:v>
                </c:pt>
                <c:pt idx="284">
                  <c:v>122.1541972371439</c:v>
                </c:pt>
                <c:pt idx="285">
                  <c:v>122.75232905457108</c:v>
                </c:pt>
                <c:pt idx="286">
                  <c:v>123.35090956582049</c:v>
                </c:pt>
                <c:pt idx="287">
                  <c:v>123.94993059164565</c:v>
                </c:pt>
                <c:pt idx="288">
                  <c:v>124.54938397424466</c:v>
                </c:pt>
                <c:pt idx="289">
                  <c:v>125.14926157726886</c:v>
                </c:pt>
                <c:pt idx="290">
                  <c:v>125.74955528582957</c:v>
                </c:pt>
                <c:pt idx="291">
                  <c:v>126.35025700650287</c:v>
                </c:pt>
                <c:pt idx="292">
                  <c:v>126.95135866733239</c:v>
                </c:pt>
                <c:pt idx="293">
                  <c:v>127.55285221783018</c:v>
                </c:pt>
                <c:pt idx="294">
                  <c:v>128.15472962897576</c:v>
                </c:pt>
                <c:pt idx="295">
                  <c:v>128.75698289321315</c:v>
                </c:pt>
                <c:pt idx="296">
                  <c:v>129.35960402444627</c:v>
                </c:pt>
                <c:pt idx="297">
                  <c:v>129.96258505803223</c:v>
                </c:pt>
                <c:pt idx="298">
                  <c:v>130.56591197252072</c:v>
                </c:pt>
                <c:pt idx="299">
                  <c:v>131.1695586232666</c:v>
                </c:pt>
                <c:pt idx="300">
                  <c:v>131.77349285330433</c:v>
                </c:pt>
                <c:pt idx="301">
                  <c:v>132.37768259260454</c:v>
                </c:pt>
                <c:pt idx="302">
                  <c:v>132.98209585856299</c:v>
                </c:pt>
                <c:pt idx="303">
                  <c:v>133.58670075646046</c:v>
                </c:pt>
                <c:pt idx="304">
                  <c:v>134.19146547989396</c:v>
                </c:pt>
                <c:pt idx="305">
                  <c:v>134.79635831117949</c:v>
                </c:pt>
                <c:pt idx="306">
                  <c:v>135.4013476217267</c:v>
                </c:pt>
                <c:pt idx="307">
                  <c:v>136.00640187238571</c:v>
                </c:pt>
                <c:pt idx="308">
                  <c:v>136.61148961376662</c:v>
                </c:pt>
                <c:pt idx="309">
                  <c:v>137.21657948653169</c:v>
                </c:pt>
                <c:pt idx="310">
                  <c:v>137.82164022166066</c:v>
                </c:pt>
                <c:pt idx="311">
                  <c:v>138.42664064068984</c:v>
                </c:pt>
                <c:pt idx="312">
                  <c:v>139.03154965592464</c:v>
                </c:pt>
                <c:pt idx="313">
                  <c:v>139.63633627062646</c:v>
                </c:pt>
                <c:pt idx="314">
                  <c:v>140.24096957917396</c:v>
                </c:pt>
                <c:pt idx="315">
                  <c:v>140.84541876719911</c:v>
                </c:pt>
                <c:pt idx="316">
                  <c:v>141.44965311169824</c:v>
                </c:pt>
                <c:pt idx="317">
                  <c:v>142.05364198111863</c:v>
                </c:pt>
                <c:pt idx="318">
                  <c:v>142.65735483542079</c:v>
                </c:pt>
                <c:pt idx="319">
                  <c:v>143.2607612261167</c:v>
                </c:pt>
                <c:pt idx="320">
                  <c:v>143.86383079628453</c:v>
                </c:pt>
                <c:pt idx="321">
                  <c:v>144.46653572093044</c:v>
                </c:pt>
                <c:pt idx="322">
                  <c:v>145.06885314083115</c:v>
                </c:pt>
                <c:pt idx="323">
                  <c:v>145.67076270649298</c:v>
                </c:pt>
                <c:pt idx="324">
                  <c:v>146.27224412853164</c:v>
                </c:pt>
                <c:pt idx="325">
                  <c:v>146.87327717747317</c:v>
                </c:pt>
                <c:pt idx="326">
                  <c:v>147.47384168354586</c:v>
                </c:pt>
                <c:pt idx="327">
                  <c:v>148.07391753646348</c:v>
                </c:pt>
                <c:pt idx="328">
                  <c:v>148.67348468519981</c:v>
                </c:pt>
                <c:pt idx="329">
                  <c:v>149.27252313775449</c:v>
                </c:pt>
                <c:pt idx="330">
                  <c:v>149.87101296091069</c:v>
                </c:pt>
                <c:pt idx="331">
                  <c:v>150.46893427998441</c:v>
                </c:pt>
                <c:pt idx="332">
                  <c:v>151.06626727856559</c:v>
                </c:pt>
                <c:pt idx="333">
                  <c:v>151.66299219825126</c:v>
                </c:pt>
                <c:pt idx="334">
                  <c:v>152.25908933837087</c:v>
                </c:pt>
                <c:pt idx="335">
                  <c:v>152.8545390557037</c:v>
                </c:pt>
                <c:pt idx="336">
                  <c:v>153.44932176418882</c:v>
                </c:pt>
                <c:pt idx="337">
                  <c:v>154.0434179346274</c:v>
                </c:pt>
                <c:pt idx="338">
                  <c:v>154.63680809437767</c:v>
                </c:pt>
                <c:pt idx="339">
                  <c:v>155.22947282704266</c:v>
                </c:pt>
                <c:pt idx="340">
                  <c:v>155.82139277215074</c:v>
                </c:pt>
                <c:pt idx="341">
                  <c:v>156.4125486248291</c:v>
                </c:pt>
                <c:pt idx="342">
                  <c:v>157.00292113547036</c:v>
                </c:pt>
                <c:pt idx="343">
                  <c:v>157.59249110939234</c:v>
                </c:pt>
                <c:pt idx="344">
                  <c:v>158.1812394064911</c:v>
                </c:pt>
                <c:pt idx="345">
                  <c:v>158.76914694088751</c:v>
                </c:pt>
                <c:pt idx="346">
                  <c:v>159.35619468056717</c:v>
                </c:pt>
                <c:pt idx="347">
                  <c:v>159.94236364701408</c:v>
                </c:pt>
                <c:pt idx="348">
                  <c:v>160.52763518063429</c:v>
                </c:pt>
                <c:pt idx="349">
                  <c:v>161.11199120536705</c:v>
                </c:pt>
                <c:pt idx="350">
                  <c:v>161.69541396068706</c:v>
                </c:pt>
                <c:pt idx="351">
                  <c:v>162.27788573441347</c:v>
                </c:pt>
                <c:pt idx="352">
                  <c:v>162.85938886232535</c:v>
                </c:pt>
                <c:pt idx="353">
                  <c:v>163.43990572777244</c:v>
                </c:pt>
                <c:pt idx="354">
                  <c:v>164.01941876128086</c:v>
                </c:pt>
                <c:pt idx="355">
                  <c:v>164.59791044015421</c:v>
                </c:pt>
                <c:pt idx="356">
                  <c:v>165.17536328806986</c:v>
                </c:pt>
                <c:pt idx="357">
                  <c:v>165.75175987467063</c:v>
                </c:pt>
                <c:pt idx="358">
                  <c:v>166.32708281515201</c:v>
                </c:pt>
                <c:pt idx="359">
                  <c:v>166.90131476984484</c:v>
                </c:pt>
                <c:pt idx="360">
                  <c:v>167.47444399432734</c:v>
                </c:pt>
                <c:pt idx="361">
                  <c:v>168.04646987220565</c:v>
                </c:pt>
                <c:pt idx="362">
                  <c:v>168.61739732598954</c:v>
                </c:pt>
                <c:pt idx="363">
                  <c:v>169.18723124565525</c:v>
                </c:pt>
                <c:pt idx="364">
                  <c:v>169.75597648893492</c:v>
                </c:pt>
                <c:pt idx="365">
                  <c:v>170.32363788160262</c:v>
                </c:pt>
                <c:pt idx="366">
                  <c:v>170.89022021775739</c:v>
                </c:pt>
                <c:pt idx="367">
                  <c:v>171.45572826010306</c:v>
                </c:pt>
                <c:pt idx="368">
                  <c:v>172.02016674022497</c:v>
                </c:pt>
                <c:pt idx="369">
                  <c:v>172.58354035886362</c:v>
                </c:pt>
                <c:pt idx="370">
                  <c:v>173.14585378618531</c:v>
                </c:pt>
                <c:pt idx="371">
                  <c:v>173.70711166204987</c:v>
                </c:pt>
                <c:pt idx="372">
                  <c:v>174.26731859627535</c:v>
                </c:pt>
                <c:pt idx="373">
                  <c:v>174.82647916889982</c:v>
                </c:pt>
                <c:pt idx="374">
                  <c:v>175.38459793044046</c:v>
                </c:pt>
                <c:pt idx="375">
                  <c:v>175.94167940214962</c:v>
                </c:pt>
                <c:pt idx="376">
                  <c:v>176.49772807626815</c:v>
                </c:pt>
                <c:pt idx="377">
                  <c:v>177.05274841627616</c:v>
                </c:pt>
                <c:pt idx="378">
                  <c:v>177.60674485714077</c:v>
                </c:pt>
                <c:pt idx="379">
                  <c:v>178.15972180556142</c:v>
                </c:pt>
                <c:pt idx="380">
                  <c:v>178.71168364021244</c:v>
                </c:pt>
                <c:pt idx="381">
                  <c:v>179.26263471198303</c:v>
                </c:pt>
                <c:pt idx="382">
                  <c:v>179.81257934421456</c:v>
                </c:pt>
                <c:pt idx="383">
                  <c:v>180.36152183293555</c:v>
                </c:pt>
                <c:pt idx="384">
                  <c:v>180.90946644709396</c:v>
                </c:pt>
                <c:pt idx="385">
                  <c:v>181.45641742878703</c:v>
                </c:pt>
                <c:pt idx="386">
                  <c:v>182.00237899348872</c:v>
                </c:pt>
                <c:pt idx="387">
                  <c:v>182.54735533027471</c:v>
                </c:pt>
                <c:pt idx="388">
                  <c:v>183.09135060204503</c:v>
                </c:pt>
                <c:pt idx="389">
                  <c:v>183.63436894574428</c:v>
                </c:pt>
                <c:pt idx="390">
                  <c:v>184.17641447257967</c:v>
                </c:pt>
                <c:pt idx="391">
                  <c:v>184.71749126823653</c:v>
                </c:pt>
                <c:pt idx="392">
                  <c:v>185.25760339309184</c:v>
                </c:pt>
                <c:pt idx="393">
                  <c:v>185.79675488242529</c:v>
                </c:pt>
                <c:pt idx="394">
                  <c:v>186.33494974662824</c:v>
                </c:pt>
                <c:pt idx="395">
                  <c:v>186.87219197141044</c:v>
                </c:pt>
                <c:pt idx="396">
                  <c:v>187.40848551800471</c:v>
                </c:pt>
                <c:pt idx="397">
                  <c:v>187.94383432336934</c:v>
                </c:pt>
                <c:pt idx="398">
                  <c:v>188.47824230038853</c:v>
                </c:pt>
                <c:pt idx="399">
                  <c:v>189.01171333807068</c:v>
                </c:pt>
                <c:pt idx="400">
                  <c:v>189.54425130174459</c:v>
                </c:pt>
                <c:pt idx="401">
                  <c:v>194.81860934778189</c:v>
                </c:pt>
                <c:pt idx="402">
                  <c:v>200.00211852654652</c:v>
                </c:pt>
                <c:pt idx="403">
                  <c:v>205.09843346947216</c:v>
                </c:pt>
                <c:pt idx="404">
                  <c:v>210.11099540358438</c:v>
                </c:pt>
                <c:pt idx="405">
                  <c:v>215.0430487091746</c:v>
                </c:pt>
                <c:pt idx="406">
                  <c:v>219.89765589052234</c:v>
                </c:pt>
                <c:pt idx="407">
                  <c:v>224.67771113979319</c:v>
                </c:pt>
                <c:pt idx="408">
                  <c:v>229.38595265072681</c:v>
                </c:pt>
                <c:pt idx="409">
                  <c:v>234.02497381867281</c:v>
                </c:pt>
                <c:pt idx="410">
                  <c:v>238.59723344636788</c:v>
                </c:pt>
                <c:pt idx="411">
                  <c:v>243.10506506011342</c:v>
                </c:pt>
                <c:pt idx="412">
                  <c:v>247.55068542832845</c:v>
                </c:pt>
                <c:pt idx="413">
                  <c:v>251.93620236350003</c:v>
                </c:pt>
                <c:pt idx="414">
                  <c:v>256.26362187907222</c:v>
                </c:pt>
                <c:pt idx="415">
                  <c:v>260.53485476458377</c:v>
                </c:pt>
                <c:pt idx="416">
                  <c:v>264.75172263520352</c:v>
                </c:pt>
                <c:pt idx="417">
                  <c:v>268.91596350556313</c:v>
                </c:pt>
                <c:pt idx="418">
                  <c:v>273.0292369323252</c:v>
                </c:pt>
                <c:pt idx="419">
                  <c:v>277.09312876513491</c:v>
                </c:pt>
                <c:pt idx="420">
                  <c:v>281.10915554139939</c:v>
                </c:pt>
                <c:pt idx="421">
                  <c:v>285.07876855663619</c:v>
                </c:pt>
                <c:pt idx="422">
                  <c:v>289.00335763886744</c:v>
                </c:pt>
                <c:pt idx="423">
                  <c:v>292.88425465265095</c:v>
                </c:pt>
                <c:pt idx="424">
                  <c:v>296.72273675578418</c:v>
                </c:pt>
                <c:pt idx="425">
                  <c:v>300.52002942944978</c:v>
                </c:pt>
                <c:pt idx="426">
                  <c:v>304.27730930055725</c:v>
                </c:pt>
                <c:pt idx="427">
                  <c:v>307.99570677324135</c:v>
                </c:pt>
                <c:pt idx="428">
                  <c:v>311.67630848487801</c:v>
                </c:pt>
                <c:pt idx="429">
                  <c:v>315.32015960054969</c:v>
                </c:pt>
                <c:pt idx="430">
                  <c:v>318.92826595861311</c:v>
                </c:pt>
                <c:pt idx="431">
                  <c:v>322.50159607887662</c:v>
                </c:pt>
                <c:pt idx="432">
                  <c:v>326.04108304386574</c:v>
                </c:pt>
                <c:pt idx="433">
                  <c:v>329.54762626273106</c:v>
                </c:pt>
                <c:pt idx="434">
                  <c:v>333.02209312652053</c:v>
                </c:pt>
                <c:pt idx="435">
                  <c:v>336.4653205627875</c:v>
                </c:pt>
                <c:pt idx="436">
                  <c:v>339.87811649682976</c:v>
                </c:pt>
                <c:pt idx="437">
                  <c:v>343.26126122624163</c:v>
                </c:pt>
                <c:pt idx="438">
                  <c:v>346.61550871490789</c:v>
                </c:pt>
                <c:pt idx="439">
                  <c:v>349.94158781206653</c:v>
                </c:pt>
                <c:pt idx="440">
                  <c:v>353.24020340161132</c:v>
                </c:pt>
                <c:pt idx="441">
                  <c:v>356.51203748639205</c:v>
                </c:pt>
                <c:pt idx="442">
                  <c:v>359.75775021189344</c:v>
                </c:pt>
                <c:pt idx="443">
                  <c:v>362.97798083333214</c:v>
                </c:pt>
                <c:pt idx="444">
                  <c:v>366.1733486298977</c:v>
                </c:pt>
                <c:pt idx="445">
                  <c:v>369.34445376957984</c:v>
                </c:pt>
                <c:pt idx="446">
                  <c:v>372.49187812776239</c:v>
                </c:pt>
                <c:pt idx="447">
                  <c:v>375.61618606252807</c:v>
                </c:pt>
                <c:pt idx="448">
                  <c:v>378.71792514939887</c:v>
                </c:pt>
                <c:pt idx="449">
                  <c:v>381.79762687803782</c:v>
                </c:pt>
                <c:pt idx="450">
                  <c:v>384.85580731325479</c:v>
                </c:pt>
                <c:pt idx="451">
                  <c:v>387.89296772249031</c:v>
                </c:pt>
                <c:pt idx="452">
                  <c:v>390.90959517179766</c:v>
                </c:pt>
                <c:pt idx="453">
                  <c:v>393.90616309219985</c:v>
                </c:pt>
                <c:pt idx="454">
                  <c:v>396.88313181816943</c:v>
                </c:pt>
                <c:pt idx="455">
                  <c:v>399.84094909985572</c:v>
                </c:pt>
                <c:pt idx="456">
                  <c:v>402.78005059057529</c:v>
                </c:pt>
                <c:pt idx="457">
                  <c:v>405.70086031097662</c:v>
                </c:pt>
                <c:pt idx="458">
                  <c:v>408.60379109119629</c:v>
                </c:pt>
                <c:pt idx="459">
                  <c:v>411.48924499223585</c:v>
                </c:pt>
                <c:pt idx="460">
                  <c:v>414.35761370770643</c:v>
                </c:pt>
                <c:pt idx="461">
                  <c:v>417.20927894701413</c:v>
                </c:pt>
                <c:pt idx="462">
                  <c:v>420.04461280098775</c:v>
                </c:pt>
                <c:pt idx="463">
                  <c:v>422.86397809088726</c:v>
                </c:pt>
                <c:pt idx="464">
                  <c:v>425.66772870166903</c:v>
                </c:pt>
                <c:pt idx="465">
                  <c:v>428.45620990032978</c:v>
                </c:pt>
                <c:pt idx="466">
                  <c:v>431.22975864009743</c:v>
                </c:pt>
                <c:pt idx="467">
                  <c:v>433.98870385118926</c:v>
                </c:pt>
                <c:pt idx="468">
                  <c:v>436.73336671881185</c:v>
                </c:pt>
                <c:pt idx="469">
                  <c:v>439.46406094903523</c:v>
                </c:pt>
                <c:pt idx="470">
                  <c:v>442.1810930231332</c:v>
                </c:pt>
                <c:pt idx="471">
                  <c:v>444.88476244094619</c:v>
                </c:pt>
                <c:pt idx="472">
                  <c:v>447.575361953786</c:v>
                </c:pt>
                <c:pt idx="473">
                  <c:v>450.25317778737156</c:v>
                </c:pt>
                <c:pt idx="474">
                  <c:v>452.91848985525161</c:v>
                </c:pt>
                <c:pt idx="475">
                  <c:v>455.57157196314324</c:v>
                </c:pt>
                <c:pt idx="476">
                  <c:v>458.21269200458704</c:v>
                </c:pt>
                <c:pt idx="477">
                  <c:v>460.84211214829332</c:v>
                </c:pt>
                <c:pt idx="478">
                  <c:v>463.46008901753066</c:v>
                </c:pt>
                <c:pt idx="479">
                  <c:v>466.06687386188378</c:v>
                </c:pt>
                <c:pt idx="480">
                  <c:v>468.66271272168609</c:v>
                </c:pt>
                <c:pt idx="481">
                  <c:v>471.24784658541108</c:v>
                </c:pt>
                <c:pt idx="482">
                  <c:v>473.82251154028654</c:v>
                </c:pt>
                <c:pt idx="483">
                  <c:v>476.38693891637638</c:v>
                </c:pt>
                <c:pt idx="484">
                  <c:v>478.94135542435606</c:v>
                </c:pt>
                <c:pt idx="485">
                  <c:v>481.48598328718941</c:v>
                </c:pt>
                <c:pt idx="486">
                  <c:v>484.02104036589759</c:v>
                </c:pt>
                <c:pt idx="487">
                  <c:v>486.54674027959345</c:v>
                </c:pt>
                <c:pt idx="488">
                  <c:v>489.06329251993805</c:v>
                </c:pt>
                <c:pt idx="489">
                  <c:v>491.57090256015954</c:v>
                </c:pt>
                <c:pt idx="490">
                  <c:v>494.06977195875857</c:v>
                </c:pt>
                <c:pt idx="491">
                  <c:v>496.56009845800764</c:v>
                </c:pt>
                <c:pt idx="492">
                  <c:v>499.04207607733707</c:v>
                </c:pt>
                <c:pt idx="493">
                  <c:v>501.51589520168187</c:v>
                </c:pt>
                <c:pt idx="494">
                  <c:v>503.98174266485</c:v>
                </c:pt>
                <c:pt idx="495">
                  <c:v>506.43980182795366</c:v>
                </c:pt>
                <c:pt idx="496">
                  <c:v>508.89025265293026</c:v>
                </c:pt>
                <c:pt idx="497">
                  <c:v>511.33327177116109</c:v>
                </c:pt>
                <c:pt idx="498">
                  <c:v>513.76903254717899</c:v>
                </c:pt>
                <c:pt idx="499">
                  <c:v>516.19770513743765</c:v>
                </c:pt>
                <c:pt idx="500">
                  <c:v>518.61945654409647</c:v>
                </c:pt>
                <c:pt idx="501">
                  <c:v>521.03445066375571</c:v>
                </c:pt>
                <c:pt idx="502">
                  <c:v>523.44284833105633</c:v>
                </c:pt>
                <c:pt idx="503">
                  <c:v>525.84480735703778</c:v>
                </c:pt>
                <c:pt idx="504">
                  <c:v>528.24048256212745</c:v>
                </c:pt>
                <c:pt idx="505">
                  <c:v>530.63002580360967</c:v>
                </c:pt>
                <c:pt idx="506">
                  <c:v>533.01358599740399</c:v>
                </c:pt>
                <c:pt idx="507">
                  <c:v>535.3913091339557</c:v>
                </c:pt>
                <c:pt idx="508">
                  <c:v>537.76333828802024</c:v>
                </c:pt>
                <c:pt idx="509">
                  <c:v>540.12981362209939</c:v>
                </c:pt>
                <c:pt idx="510">
                  <c:v>542.49087238326422</c:v>
                </c:pt>
                <c:pt idx="511">
                  <c:v>544.84664889307851</c:v>
                </c:pt>
                <c:pt idx="512">
                  <c:v>547.19727453031646</c:v>
                </c:pt>
                <c:pt idx="513">
                  <c:v>549.5428777061511</c:v>
                </c:pt>
                <c:pt idx="514">
                  <c:v>551.88358383147761</c:v>
                </c:pt>
                <c:pt idx="515">
                  <c:v>554.21951527602664</c:v>
                </c:pt>
                <c:pt idx="516">
                  <c:v>556.55079131892376</c:v>
                </c:pt>
                <c:pt idx="517">
                  <c:v>558.87752809035976</c:v>
                </c:pt>
                <c:pt idx="518">
                  <c:v>561.19983850405742</c:v>
                </c:pt>
                <c:pt idx="519">
                  <c:v>563.51783218025707</c:v>
                </c:pt>
                <c:pt idx="520">
                  <c:v>565.83161535899944</c:v>
                </c:pt>
                <c:pt idx="521">
                  <c:v>568.14129080356076</c:v>
                </c:pt>
                <c:pt idx="522">
                  <c:v>570.44695769400016</c:v>
                </c:pt>
                <c:pt idx="523">
                  <c:v>572.74871151091691</c:v>
                </c:pt>
                <c:pt idx="524">
                  <c:v>575.04664390968333</c:v>
                </c:pt>
                <c:pt idx="525">
                  <c:v>577.34084258563189</c:v>
                </c:pt>
                <c:pt idx="526">
                  <c:v>579.63139113092404</c:v>
                </c:pt>
                <c:pt idx="527">
                  <c:v>581.91836888412217</c:v>
                </c:pt>
                <c:pt idx="528">
                  <c:v>584.20185077381734</c:v>
                </c:pt>
                <c:pt idx="529">
                  <c:v>586.48190715803139</c:v>
                </c:pt>
                <c:pt idx="530">
                  <c:v>588.75860366150209</c:v>
                </c:pt>
                <c:pt idx="531">
                  <c:v>591.03200101335551</c:v>
                </c:pt>
                <c:pt idx="532">
                  <c:v>593.30215488805652</c:v>
                </c:pt>
                <c:pt idx="533">
                  <c:v>595.56911575287381</c:v>
                </c:pt>
                <c:pt idx="534">
                  <c:v>597.83292872537322</c:v>
                </c:pt>
                <c:pt idx="535">
                  <c:v>600.09363344463009</c:v>
                </c:pt>
                <c:pt idx="536">
                  <c:v>602.35126395989892</c:v>
                </c:pt>
                <c:pt idx="537">
                  <c:v>604.60584864036423</c:v>
                </c:pt>
                <c:pt idx="538">
                  <c:v>606.85741010931326</c:v>
                </c:pt>
                <c:pt idx="539">
                  <c:v>609.10596520560694</c:v>
                </c:pt>
                <c:pt idx="540">
                  <c:v>611.35152497469494</c:v>
                </c:pt>
                <c:pt idx="541">
                  <c:v>613.59409469065258</c:v>
                </c:pt>
                <c:pt idx="542">
                  <c:v>615.83367390985518</c:v>
                </c:pt>
                <c:pt idx="543">
                  <c:v>618.07025655599739</c:v>
                </c:pt>
                <c:pt idx="544">
                  <c:v>620.30383103527743</c:v>
                </c:pt>
                <c:pt idx="545">
                  <c:v>622.53438037974979</c:v>
                </c:pt>
                <c:pt idx="546">
                  <c:v>624.7618824161566</c:v>
                </c:pt>
                <c:pt idx="547">
                  <c:v>626.98630995701194</c:v>
                </c:pt>
                <c:pt idx="548">
                  <c:v>629.20763101035288</c:v>
                </c:pt>
                <c:pt idx="549">
                  <c:v>631.42580900439543</c:v>
                </c:pt>
                <c:pt idx="550">
                  <c:v>633.64080302332115</c:v>
                </c:pt>
                <c:pt idx="551">
                  <c:v>635.85256805055712</c:v>
                </c:pt>
                <c:pt idx="552">
                  <c:v>638.06105521616632</c:v>
                </c:pt>
                <c:pt idx="553">
                  <c:v>640.26621204529829</c:v>
                </c:pt>
                <c:pt idx="554">
                  <c:v>642.46798270504166</c:v>
                </c:pt>
                <c:pt idx="555">
                  <c:v>644.6663082474264</c:v>
                </c:pt>
                <c:pt idx="556">
                  <c:v>646.86112684673719</c:v>
                </c:pt>
                <c:pt idx="557">
                  <c:v>649.05237402968601</c:v>
                </c:pt>
                <c:pt idx="558">
                  <c:v>651.23998289735221</c:v>
                </c:pt>
                <c:pt idx="559">
                  <c:v>653.4238843381172</c:v>
                </c:pt>
                <c:pt idx="560">
                  <c:v>655.60400723109547</c:v>
                </c:pt>
                <c:pt idx="561">
                  <c:v>657.78027863979594</c:v>
                </c:pt>
                <c:pt idx="562">
                  <c:v>659.95262399593958</c:v>
                </c:pt>
                <c:pt idx="563">
                  <c:v>662.12096727350911</c:v>
                </c:pt>
                <c:pt idx="564">
                  <c:v>664.28523115322662</c:v>
                </c:pt>
                <c:pt idx="565">
                  <c:v>666.44533717774368</c:v>
                </c:pt>
                <c:pt idx="566">
                  <c:v>668.60120589789062</c:v>
                </c:pt>
                <c:pt idx="567">
                  <c:v>670.7527570103764</c:v>
                </c:pt>
                <c:pt idx="568">
                  <c:v>672.89990948735704</c:v>
                </c:pt>
                <c:pt idx="569">
                  <c:v>675.04258169830098</c:v>
                </c:pt>
                <c:pt idx="570">
                  <c:v>677.18069152458622</c:v>
                </c:pt>
                <c:pt idx="571">
                  <c:v>679.31415646725429</c:v>
                </c:pt>
                <c:pt idx="572">
                  <c:v>681.44289374833807</c:v>
                </c:pt>
                <c:pt idx="573">
                  <c:v>683.56682040616431</c:v>
                </c:pt>
                <c:pt idx="574">
                  <c:v>685.6858533850118</c:v>
                </c:pt>
                <c:pt idx="575">
                  <c:v>687.79990961948783</c:v>
                </c:pt>
                <c:pt idx="576">
                  <c:v>689.90890611396412</c:v>
                </c:pt>
                <c:pt idx="577">
                  <c:v>692.01276001739132</c:v>
                </c:pt>
                <c:pt idx="578">
                  <c:v>694.11138869379135</c:v>
                </c:pt>
                <c:pt idx="579">
                  <c:v>696.20470978870458</c:v>
                </c:pt>
                <c:pt idx="580">
                  <c:v>698.29264129185026</c:v>
                </c:pt>
                <c:pt idx="581">
                  <c:v>700.37510159623969</c:v>
                </c:pt>
                <c:pt idx="582">
                  <c:v>702.45200955396263</c:v>
                </c:pt>
                <c:pt idx="583">
                  <c:v>704.52328452885115</c:v>
                </c:pt>
                <c:pt idx="584">
                  <c:v>706.5888464462106</c:v>
                </c:pt>
                <c:pt idx="585">
                  <c:v>708.64861583978995</c:v>
                </c:pt>
                <c:pt idx="586">
                  <c:v>710.70251389615373</c:v>
                </c:pt>
                <c:pt idx="587">
                  <c:v>712.75046249660204</c:v>
                </c:pt>
                <c:pt idx="588">
                  <c:v>714.79238425677545</c:v>
                </c:pt>
                <c:pt idx="589">
                  <c:v>716.82820256407103</c:v>
                </c:pt>
                <c:pt idx="590">
                  <c:v>718.85784161298443</c:v>
                </c:pt>
                <c:pt idx="591">
                  <c:v>720.88122643848624</c:v>
                </c:pt>
                <c:pt idx="592">
                  <c:v>722.89828294753045</c:v>
                </c:pt>
                <c:pt idx="593">
                  <c:v>724.9089379487873</c:v>
                </c:pt>
                <c:pt idx="594">
                  <c:v>726.91311918068436</c:v>
                </c:pt>
                <c:pt idx="595">
                  <c:v>728.91075533783487</c:v>
                </c:pt>
                <c:pt idx="596">
                  <c:v>730.90177609592558</c:v>
                </c:pt>
                <c:pt idx="597">
                  <c:v>732.88611213513184</c:v>
                </c:pt>
                <c:pt idx="598">
                  <c:v>734.86369516212233</c:v>
                </c:pt>
                <c:pt idx="599">
                  <c:v>736.83445793071257</c:v>
                </c:pt>
                <c:pt idx="600">
                  <c:v>738.79833426122104</c:v>
                </c:pt>
                <c:pt idx="601">
                  <c:v>740.75525905857921</c:v>
                </c:pt>
                <c:pt idx="602">
                  <c:v>742.70516832924341</c:v>
                </c:pt>
                <c:pt idx="603">
                  <c:v>744.64799919695315</c:v>
                </c:pt>
                <c:pt idx="604">
                  <c:v>746.58368991737746</c:v>
                </c:pt>
                <c:pt idx="605">
                  <c:v>748.51217989168993</c:v>
                </c:pt>
                <c:pt idx="606">
                  <c:v>750.43340967910854</c:v>
                </c:pt>
                <c:pt idx="607">
                  <c:v>752.34732100843689</c:v>
                </c:pt>
                <c:pt idx="608">
                  <c:v>754.25385678863915</c:v>
                </c:pt>
                <c:pt idx="609">
                  <c:v>756.15296111848136</c:v>
                </c:pt>
                <c:pt idx="610">
                  <c:v>758.04457929526905</c:v>
                </c:pt>
                <c:pt idx="611">
                  <c:v>759.9286578227094</c:v>
                </c:pt>
                <c:pt idx="612">
                  <c:v>761.80514441792684</c:v>
                </c:pt>
                <c:pt idx="613">
                  <c:v>763.6739880176566</c:v>
                </c:pt>
                <c:pt idx="614">
                  <c:v>765.53513878364356</c:v>
                </c:pt>
                <c:pt idx="615">
                  <c:v>767.38854810726866</c:v>
                </c:pt>
                <c:pt idx="616">
                  <c:v>769.23416861342787</c:v>
                </c:pt>
                <c:pt idx="617">
                  <c:v>771.07195416368552</c:v>
                </c:pt>
                <c:pt idx="618">
                  <c:v>772.90185985872358</c:v>
                </c:pt>
                <c:pt idx="619">
                  <c:v>774.72384204010871</c:v>
                </c:pt>
                <c:pt idx="620">
                  <c:v>776.53785829139713</c:v>
                </c:pt>
                <c:pt idx="621">
                  <c:v>778.3438674385967</c:v>
                </c:pt>
                <c:pt idx="622">
                  <c:v>780.14182955000695</c:v>
                </c:pt>
                <c:pt idx="623">
                  <c:v>781.93170593545392</c:v>
                </c:pt>
                <c:pt idx="624">
                  <c:v>783.71345914493997</c:v>
                </c:pt>
                <c:pt idx="625">
                  <c:v>785.48705296672529</c:v>
                </c:pt>
                <c:pt idx="626">
                  <c:v>787.25245242485914</c:v>
                </c:pt>
                <c:pt idx="627">
                  <c:v>789.0096237761777</c:v>
                </c:pt>
                <c:pt idx="628">
                  <c:v>790.75853450678528</c:v>
                </c:pt>
                <c:pt idx="629">
                  <c:v>792.49915332803539</c:v>
                </c:pt>
                <c:pt idx="630">
                  <c:v>794.23145017202785</c:v>
                </c:pt>
                <c:pt idx="631">
                  <c:v>795.95539618663736</c:v>
                </c:pt>
                <c:pt idx="632">
                  <c:v>797.67096373008928</c:v>
                </c:pt>
                <c:pt idx="633">
                  <c:v>799.3781263650983</c:v>
                </c:pt>
                <c:pt idx="634">
                  <c:v>801.07685885258343</c:v>
                </c:pt>
                <c:pt idx="635">
                  <c:v>802.76713714497589</c:v>
                </c:pt>
                <c:pt idx="636">
                  <c:v>804.44893837913332</c:v>
                </c:pt>
                <c:pt idx="637">
                  <c:v>806.12224086887431</c:v>
                </c:pt>
                <c:pt idx="638">
                  <c:v>807.78702409714776</c:v>
                </c:pt>
                <c:pt idx="639">
                  <c:v>809.44326870785085</c:v>
                </c:pt>
                <c:pt idx="640">
                  <c:v>811.09095649730864</c:v>
                </c:pt>
                <c:pt idx="641">
                  <c:v>812.73007040542893</c:v>
                </c:pt>
                <c:pt idx="642">
                  <c:v>814.36059450654579</c:v>
                </c:pt>
                <c:pt idx="643">
                  <c:v>815.98251399996366</c:v>
                </c:pt>
                <c:pt idx="644">
                  <c:v>817.59581520021572</c:v>
                </c:pt>
                <c:pt idx="645">
                  <c:v>819.20048552704884</c:v>
                </c:pt>
                <c:pt idx="646">
                  <c:v>820.79651349514654</c:v>
                </c:pt>
                <c:pt idx="647">
                  <c:v>822.38388870360313</c:v>
                </c:pt>
                <c:pt idx="648">
                  <c:v>823.96260182515994</c:v>
                </c:pt>
                <c:pt idx="649">
                  <c:v>825.53264459521597</c:v>
                </c:pt>
                <c:pt idx="650">
                  <c:v>827.09400980062435</c:v>
                </c:pt>
                <c:pt idx="651">
                  <c:v>828.64669126828517</c:v>
                </c:pt>
                <c:pt idx="652">
                  <c:v>830.1906838535466</c:v>
                </c:pt>
                <c:pt idx="653">
                  <c:v>831.72598342842468</c:v>
                </c:pt>
                <c:pt idx="654">
                  <c:v>833.25258686965276</c:v>
                </c:pt>
                <c:pt idx="655">
                  <c:v>834.77049204657033</c:v>
                </c:pt>
                <c:pt idx="656">
                  <c:v>836.27969780886224</c:v>
                </c:pt>
                <c:pt idx="657">
                  <c:v>837.78020397415855</c:v>
                </c:pt>
                <c:pt idx="658">
                  <c:v>839.27201131550339</c:v>
                </c:pt>
                <c:pt idx="659">
                  <c:v>840.75512154870444</c:v>
                </c:pt>
                <c:pt idx="660">
                  <c:v>842.22953731957114</c:v>
                </c:pt>
                <c:pt idx="661">
                  <c:v>843.69526219105126</c:v>
                </c:pt>
                <c:pt idx="662">
                  <c:v>845.15230063027502</c:v>
                </c:pt>
                <c:pt idx="663">
                  <c:v>846.60065799551523</c:v>
                </c:pt>
                <c:pt idx="664">
                  <c:v>848.04034052307259</c:v>
                </c:pt>
                <c:pt idx="665">
                  <c:v>849.47135531409447</c:v>
                </c:pt>
                <c:pt idx="666">
                  <c:v>850.89371032133488</c:v>
                </c:pt>
                <c:pt idx="667">
                  <c:v>852.30741433586445</c:v>
                </c:pt>
                <c:pt idx="668">
                  <c:v>853.71247697373792</c:v>
                </c:pt>
                <c:pt idx="669">
                  <c:v>855.1089086626265</c:v>
                </c:pt>
                <c:pt idx="670">
                  <c:v>856.4967206284233</c:v>
                </c:pt>
                <c:pt idx="671">
                  <c:v>857.87592488182827</c:v>
                </c:pt>
                <c:pt idx="672">
                  <c:v>859.24653420492041</c:v>
                </c:pt>
                <c:pt idx="673">
                  <c:v>860.60856213772342</c:v>
                </c:pt>
                <c:pt idx="674">
                  <c:v>861.96202296477236</c:v>
                </c:pt>
                <c:pt idx="675">
                  <c:v>863.30693170168695</c:v>
                </c:pt>
                <c:pt idx="676">
                  <c:v>864.6433040817584</c:v>
                </c:pt>
                <c:pt idx="677">
                  <c:v>865.97115654255538</c:v>
                </c:pt>
                <c:pt idx="678">
                  <c:v>867.29050621255544</c:v>
                </c:pt>
                <c:pt idx="679">
                  <c:v>868.60137089780778</c:v>
                </c:pt>
                <c:pt idx="680">
                  <c:v>869.90376906863219</c:v>
                </c:pt>
                <c:pt idx="681">
                  <c:v>871.1977198463602</c:v>
                </c:pt>
                <c:pt idx="682">
                  <c:v>872.48324299012336</c:v>
                </c:pt>
                <c:pt idx="683">
                  <c:v>873.76035888369393</c:v>
                </c:pt>
                <c:pt idx="684">
                  <c:v>875.02908852238215</c:v>
                </c:pt>
                <c:pt idx="685">
                  <c:v>876.2894534999956</c:v>
                </c:pt>
                <c:pt idx="686">
                  <c:v>877.54147599586452</c:v>
                </c:pt>
                <c:pt idx="687">
                  <c:v>878.78517876193769</c:v>
                </c:pt>
                <c:pt idx="688">
                  <c:v>880.02058510995278</c:v>
                </c:pt>
                <c:pt idx="689">
                  <c:v>881.24771889868566</c:v>
                </c:pt>
                <c:pt idx="690">
                  <c:v>882.46660452128174</c:v>
                </c:pt>
                <c:pt idx="691">
                  <c:v>883.67726689267386</c:v>
                </c:pt>
                <c:pt idx="692">
                  <c:v>884.87973143708928</c:v>
                </c:pt>
                <c:pt idx="693">
                  <c:v>886.07402407564996</c:v>
                </c:pt>
                <c:pt idx="694">
                  <c:v>887.26017121406903</c:v>
                </c:pt>
                <c:pt idx="695">
                  <c:v>888.43819973044629</c:v>
                </c:pt>
                <c:pt idx="696">
                  <c:v>889.60813696316563</c:v>
                </c:pt>
                <c:pt idx="697">
                  <c:v>890.77001069889775</c:v>
                </c:pt>
                <c:pt idx="698">
                  <c:v>891.92384916070989</c:v>
                </c:pt>
                <c:pt idx="699">
                  <c:v>893.0696809962858</c:v>
                </c:pt>
                <c:pt idx="700">
                  <c:v>894.20753526625776</c:v>
                </c:pt>
                <c:pt idx="701">
                  <c:v>895.33744143265301</c:v>
                </c:pt>
                <c:pt idx="702">
                  <c:v>896.45942934745722</c:v>
                </c:pt>
                <c:pt idx="703">
                  <c:v>897.57352924129555</c:v>
                </c:pt>
                <c:pt idx="704">
                  <c:v>898.67977171223481</c:v>
                </c:pt>
                <c:pt idx="705">
                  <c:v>899.77818771470731</c:v>
                </c:pt>
                <c:pt idx="706">
                  <c:v>900.86880854855792</c:v>
                </c:pt>
                <c:pt idx="707">
                  <c:v>901.95166584821698</c:v>
                </c:pt>
                <c:pt idx="708">
                  <c:v>903.0267915719985</c:v>
                </c:pt>
                <c:pt idx="709">
                  <c:v>904.09421799152722</c:v>
                </c:pt>
                <c:pt idx="710">
                  <c:v>905.1539776812931</c:v>
                </c:pt>
                <c:pt idx="711">
                  <c:v>906.2061035083367</c:v>
                </c:pt>
                <c:pt idx="712">
                  <c:v>907.25062862206437</c:v>
                </c:pt>
                <c:pt idx="713">
                  <c:v>908.28758644419554</c:v>
                </c:pt>
                <c:pt idx="714">
                  <c:v>909.31701065884181</c:v>
                </c:pt>
                <c:pt idx="715">
                  <c:v>910.3389352027192</c:v>
                </c:pt>
                <c:pt idx="716">
                  <c:v>911.35339425549353</c:v>
                </c:pt>
                <c:pt idx="717">
                  <c:v>912.36042223026004</c:v>
                </c:pt>
                <c:pt idx="718">
                  <c:v>913.36005376415665</c:v>
                </c:pt>
                <c:pt idx="719">
                  <c:v>914.35232370911228</c:v>
                </c:pt>
                <c:pt idx="720">
                  <c:v>915.33726712272914</c:v>
                </c:pt>
                <c:pt idx="721">
                  <c:v>916.31491925930084</c:v>
                </c:pt>
                <c:pt idx="722">
                  <c:v>917.28531556096436</c:v>
                </c:pt>
                <c:pt idx="723">
                  <c:v>918.2484916489874</c:v>
                </c:pt>
                <c:pt idx="724">
                  <c:v>919.2044833151906</c:v>
                </c:pt>
                <c:pt idx="725">
                  <c:v>920.15332651350354</c:v>
                </c:pt>
                <c:pt idx="726">
                  <c:v>921.09505735165624</c:v>
                </c:pt>
                <c:pt idx="727">
                  <c:v>922.02971208300369</c:v>
                </c:pt>
                <c:pt idx="728">
                  <c:v>922.9573270984846</c:v>
                </c:pt>
                <c:pt idx="729">
                  <c:v>923.87793891871343</c:v>
                </c:pt>
                <c:pt idx="730">
                  <c:v>924.79158418620511</c:v>
                </c:pt>
                <c:pt idx="731">
                  <c:v>925.69829965773192</c:v>
                </c:pt>
                <c:pt idx="732">
                  <c:v>926.5981221968126</c:v>
                </c:pt>
                <c:pt idx="733">
                  <c:v>927.49108876633204</c:v>
                </c:pt>
                <c:pt idx="734">
                  <c:v>928.37723642129163</c:v>
                </c:pt>
                <c:pt idx="735">
                  <c:v>929.25660230168944</c:v>
                </c:pt>
                <c:pt idx="736">
                  <c:v>930.12922362552911</c:v>
                </c:pt>
                <c:pt idx="737">
                  <c:v>930.9951376819572</c:v>
                </c:pt>
                <c:pt idx="738">
                  <c:v>931.85438182452754</c:v>
                </c:pt>
                <c:pt idx="739">
                  <c:v>932.70699346459253</c:v>
                </c:pt>
                <c:pt idx="740">
                  <c:v>933.55301006481932</c:v>
                </c:pt>
                <c:pt idx="741">
                  <c:v>934.39246913283114</c:v>
                </c:pt>
                <c:pt idx="742">
                  <c:v>935.22540821497205</c:v>
                </c:pt>
                <c:pt idx="743">
                  <c:v>936.05186489019411</c:v>
                </c:pt>
                <c:pt idx="744">
                  <c:v>936.87187676406677</c:v>
                </c:pt>
                <c:pt idx="745">
                  <c:v>937.68548146290573</c:v>
                </c:pt>
                <c:pt idx="746">
                  <c:v>938.49271662802221</c:v>
                </c:pt>
                <c:pt idx="747">
                  <c:v>939.29361991009023</c:v>
                </c:pt>
                <c:pt idx="748">
                  <c:v>940.08822896363063</c:v>
                </c:pt>
                <c:pt idx="749">
                  <c:v>940.87658144161173</c:v>
                </c:pt>
                <c:pt idx="750">
                  <c:v>941.65871499016441</c:v>
                </c:pt>
                <c:pt idx="751">
                  <c:v>942.43466724341135</c:v>
                </c:pt>
                <c:pt idx="752">
                  <c:v>943.2044758184079</c:v>
                </c:pt>
                <c:pt idx="753">
                  <c:v>943.96817831019519</c:v>
                </c:pt>
                <c:pt idx="754">
                  <c:v>944.7258122869622</c:v>
                </c:pt>
                <c:pt idx="755">
                  <c:v>945.47741528531731</c:v>
                </c:pt>
                <c:pt idx="756">
                  <c:v>946.22302480566725</c:v>
                </c:pt>
                <c:pt idx="757">
                  <c:v>946.96267830770194</c:v>
                </c:pt>
                <c:pt idx="758">
                  <c:v>947.69641320598407</c:v>
                </c:pt>
                <c:pt idx="759">
                  <c:v>948.42426686564306</c:v>
                </c:pt>
                <c:pt idx="760">
                  <c:v>949.14627659817074</c:v>
                </c:pt>
                <c:pt idx="761">
                  <c:v>949.86247965731832</c:v>
                </c:pt>
                <c:pt idx="762">
                  <c:v>950.57291323509287</c:v>
                </c:pt>
                <c:pt idx="763">
                  <c:v>951.27761445785234</c:v>
                </c:pt>
                <c:pt idx="764">
                  <c:v>951.97662038249769</c:v>
                </c:pt>
                <c:pt idx="765">
                  <c:v>952.6699679927608</c:v>
                </c:pt>
                <c:pt idx="766">
                  <c:v>953.35769419558665</c:v>
                </c:pt>
                <c:pt idx="767">
                  <c:v>954.03983581760883</c:v>
                </c:pt>
                <c:pt idx="768">
                  <c:v>954.71642960171675</c:v>
                </c:pt>
                <c:pt idx="769">
                  <c:v>955.38751220371353</c:v>
                </c:pt>
                <c:pt idx="770">
                  <c:v>956.0531201890625</c:v>
                </c:pt>
                <c:pt idx="771">
                  <c:v>956.71329002972243</c:v>
                </c:pt>
                <c:pt idx="772">
                  <c:v>957.36805810106841</c:v>
                </c:pt>
                <c:pt idx="773">
                  <c:v>958.01746067889871</c:v>
                </c:pt>
                <c:pt idx="774">
                  <c:v>958.66153393652485</c:v>
                </c:pt>
                <c:pt idx="775">
                  <c:v>959.30031394194498</c:v>
                </c:pt>
                <c:pt idx="776">
                  <c:v>959.93383665509793</c:v>
                </c:pt>
                <c:pt idx="777">
                  <c:v>960.56213792519793</c:v>
                </c:pt>
                <c:pt idx="778">
                  <c:v>961.18525348814751</c:v>
                </c:pt>
                <c:pt idx="779">
                  <c:v>961.80321896402825</c:v>
                </c:pt>
                <c:pt idx="780">
                  <c:v>962.41606985466763</c:v>
                </c:pt>
                <c:pt idx="781">
                  <c:v>963.02384154128072</c:v>
                </c:pt>
                <c:pt idx="782">
                  <c:v>963.62656928218553</c:v>
                </c:pt>
                <c:pt idx="783">
                  <c:v>964.22428821059111</c:v>
                </c:pt>
                <c:pt idx="784">
                  <c:v>964.81703333245662</c:v>
                </c:pt>
                <c:pt idx="785">
                  <c:v>965.40483952442003</c:v>
                </c:pt>
                <c:pt idx="786">
                  <c:v>965.98774153179647</c:v>
                </c:pt>
                <c:pt idx="787">
                  <c:v>966.56577396664318</c:v>
                </c:pt>
                <c:pt idx="788">
                  <c:v>967.13897130589135</c:v>
                </c:pt>
                <c:pt idx="789">
                  <c:v>967.70736788954298</c:v>
                </c:pt>
                <c:pt idx="790">
                  <c:v>968.27099791893181</c:v>
                </c:pt>
                <c:pt idx="791">
                  <c:v>968.82989545504677</c:v>
                </c:pt>
                <c:pt idx="792">
                  <c:v>969.38409441691749</c:v>
                </c:pt>
                <c:pt idx="793">
                  <c:v>969.93362858006003</c:v>
                </c:pt>
                <c:pt idx="794">
                  <c:v>970.47853157498207</c:v>
                </c:pt>
                <c:pt idx="795">
                  <c:v>971.01883688574662</c:v>
                </c:pt>
                <c:pt idx="796">
                  <c:v>971.55457784859243</c:v>
                </c:pt>
                <c:pt idx="797">
                  <c:v>972.08578765061065</c:v>
                </c:pt>
                <c:pt idx="798">
                  <c:v>972.6124993284767</c:v>
                </c:pt>
                <c:pt idx="799">
                  <c:v>973.1347457672357</c:v>
                </c:pt>
                <c:pt idx="800">
                  <c:v>973.65255969914074</c:v>
                </c:pt>
                <c:pt idx="801">
                  <c:v>974.16597370254328</c:v>
                </c:pt>
                <c:pt idx="802">
                  <c:v>974.67502020083407</c:v>
                </c:pt>
                <c:pt idx="803">
                  <c:v>975.17973146143368</c:v>
                </c:pt>
                <c:pt idx="804">
                  <c:v>975.68013959483199</c:v>
                </c:pt>
                <c:pt idx="805">
                  <c:v>976.17627655367528</c:v>
                </c:pt>
                <c:pt idx="806">
                  <c:v>976.66817413190017</c:v>
                </c:pt>
                <c:pt idx="807">
                  <c:v>976.66817413190017</c:v>
                </c:pt>
                <c:pt idx="808">
                  <c:v>976.66817413190017</c:v>
                </c:pt>
                <c:pt idx="809">
                  <c:v>976.66817413190017</c:v>
                </c:pt>
                <c:pt idx="810">
                  <c:v>976.66817413190017</c:v>
                </c:pt>
                <c:pt idx="811">
                  <c:v>976.66817413190017</c:v>
                </c:pt>
                <c:pt idx="812">
                  <c:v>976.66817413190017</c:v>
                </c:pt>
                <c:pt idx="813">
                  <c:v>976.66817413190017</c:v>
                </c:pt>
                <c:pt idx="814">
                  <c:v>976.66817413190017</c:v>
                </c:pt>
                <c:pt idx="815">
                  <c:v>976.66817413190017</c:v>
                </c:pt>
                <c:pt idx="816">
                  <c:v>976.66817413190017</c:v>
                </c:pt>
                <c:pt idx="817">
                  <c:v>976.66817413190017</c:v>
                </c:pt>
                <c:pt idx="818">
                  <c:v>976.66817413190017</c:v>
                </c:pt>
                <c:pt idx="819">
                  <c:v>976.66817413190017</c:v>
                </c:pt>
                <c:pt idx="820">
                  <c:v>976.66817413190017</c:v>
                </c:pt>
                <c:pt idx="821">
                  <c:v>976.66817413190017</c:v>
                </c:pt>
                <c:pt idx="822">
                  <c:v>976.66817413190017</c:v>
                </c:pt>
                <c:pt idx="823">
                  <c:v>976.66817413190017</c:v>
                </c:pt>
                <c:pt idx="824">
                  <c:v>976.66817413190017</c:v>
                </c:pt>
                <c:pt idx="825">
                  <c:v>976.66817413190017</c:v>
                </c:pt>
                <c:pt idx="826">
                  <c:v>976.66817413190017</c:v>
                </c:pt>
                <c:pt idx="827">
                  <c:v>976.66817413190017</c:v>
                </c:pt>
                <c:pt idx="828">
                  <c:v>976.66817413190017</c:v>
                </c:pt>
                <c:pt idx="829">
                  <c:v>976.66817413190017</c:v>
                </c:pt>
                <c:pt idx="830">
                  <c:v>976.66817413190017</c:v>
                </c:pt>
                <c:pt idx="831">
                  <c:v>976.66817413190017</c:v>
                </c:pt>
                <c:pt idx="832">
                  <c:v>976.66817413190017</c:v>
                </c:pt>
                <c:pt idx="833">
                  <c:v>976.66817413190017</c:v>
                </c:pt>
                <c:pt idx="834">
                  <c:v>976.66817413190017</c:v>
                </c:pt>
                <c:pt idx="835">
                  <c:v>976.66817413190017</c:v>
                </c:pt>
                <c:pt idx="836">
                  <c:v>976.66817413190017</c:v>
                </c:pt>
                <c:pt idx="837">
                  <c:v>976.66817413190017</c:v>
                </c:pt>
                <c:pt idx="838">
                  <c:v>976.66817413190017</c:v>
                </c:pt>
                <c:pt idx="839">
                  <c:v>976.66817413190017</c:v>
                </c:pt>
                <c:pt idx="840">
                  <c:v>976.66817413190017</c:v>
                </c:pt>
                <c:pt idx="841">
                  <c:v>976.66817413190017</c:v>
                </c:pt>
                <c:pt idx="842">
                  <c:v>976.66817413190017</c:v>
                </c:pt>
                <c:pt idx="843">
                  <c:v>976.66817413190017</c:v>
                </c:pt>
                <c:pt idx="844">
                  <c:v>976.66817413190017</c:v>
                </c:pt>
                <c:pt idx="845">
                  <c:v>976.66817413190017</c:v>
                </c:pt>
                <c:pt idx="846">
                  <c:v>976.66817413190017</c:v>
                </c:pt>
                <c:pt idx="847">
                  <c:v>976.66817413190017</c:v>
                </c:pt>
                <c:pt idx="848">
                  <c:v>976.66817413190017</c:v>
                </c:pt>
                <c:pt idx="849">
                  <c:v>976.66817413190017</c:v>
                </c:pt>
                <c:pt idx="850">
                  <c:v>976.66817413190017</c:v>
                </c:pt>
                <c:pt idx="851">
                  <c:v>976.66817413190017</c:v>
                </c:pt>
                <c:pt idx="852">
                  <c:v>976.66817413190017</c:v>
                </c:pt>
                <c:pt idx="853">
                  <c:v>976.66817413190017</c:v>
                </c:pt>
                <c:pt idx="854">
                  <c:v>976.66817413190017</c:v>
                </c:pt>
                <c:pt idx="855">
                  <c:v>976.66817413190017</c:v>
                </c:pt>
                <c:pt idx="856">
                  <c:v>976.66817413190017</c:v>
                </c:pt>
                <c:pt idx="857">
                  <c:v>976.66817413190017</c:v>
                </c:pt>
                <c:pt idx="858">
                  <c:v>976.66817413190017</c:v>
                </c:pt>
                <c:pt idx="859">
                  <c:v>976.66817413190017</c:v>
                </c:pt>
                <c:pt idx="860">
                  <c:v>976.66817413190017</c:v>
                </c:pt>
                <c:pt idx="861">
                  <c:v>976.66817413190017</c:v>
                </c:pt>
                <c:pt idx="862">
                  <c:v>976.66817413190017</c:v>
                </c:pt>
                <c:pt idx="863">
                  <c:v>976.66817413190017</c:v>
                </c:pt>
                <c:pt idx="864">
                  <c:v>976.66817413190017</c:v>
                </c:pt>
                <c:pt idx="865">
                  <c:v>976.66817413190017</c:v>
                </c:pt>
                <c:pt idx="866">
                  <c:v>976.66817413190017</c:v>
                </c:pt>
                <c:pt idx="867">
                  <c:v>976.66817413190017</c:v>
                </c:pt>
                <c:pt idx="868">
                  <c:v>976.66817413190017</c:v>
                </c:pt>
                <c:pt idx="869">
                  <c:v>976.66817413190017</c:v>
                </c:pt>
                <c:pt idx="870">
                  <c:v>976.66817413190017</c:v>
                </c:pt>
                <c:pt idx="871">
                  <c:v>976.66817413190017</c:v>
                </c:pt>
                <c:pt idx="872">
                  <c:v>976.66817413190017</c:v>
                </c:pt>
                <c:pt idx="873">
                  <c:v>976.66817413190017</c:v>
                </c:pt>
                <c:pt idx="874">
                  <c:v>976.66817413190017</c:v>
                </c:pt>
                <c:pt idx="875">
                  <c:v>976.66817413190017</c:v>
                </c:pt>
                <c:pt idx="876">
                  <c:v>976.66817413190017</c:v>
                </c:pt>
                <c:pt idx="877">
                  <c:v>976.66817413190017</c:v>
                </c:pt>
                <c:pt idx="878">
                  <c:v>976.66817413190017</c:v>
                </c:pt>
                <c:pt idx="879">
                  <c:v>976.66817413190017</c:v>
                </c:pt>
                <c:pt idx="880">
                  <c:v>976.66817413190017</c:v>
                </c:pt>
                <c:pt idx="881">
                  <c:v>976.66817413190017</c:v>
                </c:pt>
                <c:pt idx="882">
                  <c:v>976.66817413190017</c:v>
                </c:pt>
                <c:pt idx="883">
                  <c:v>976.66817413190017</c:v>
                </c:pt>
                <c:pt idx="884">
                  <c:v>976.66817413190017</c:v>
                </c:pt>
                <c:pt idx="885">
                  <c:v>976.66817413190017</c:v>
                </c:pt>
                <c:pt idx="886">
                  <c:v>976.66817413190017</c:v>
                </c:pt>
                <c:pt idx="887">
                  <c:v>976.66817413190017</c:v>
                </c:pt>
                <c:pt idx="888">
                  <c:v>976.66817413190017</c:v>
                </c:pt>
                <c:pt idx="889">
                  <c:v>976.66817413190017</c:v>
                </c:pt>
                <c:pt idx="890">
                  <c:v>976.66817413190017</c:v>
                </c:pt>
                <c:pt idx="891">
                  <c:v>976.66817413190017</c:v>
                </c:pt>
                <c:pt idx="892">
                  <c:v>976.66817413190017</c:v>
                </c:pt>
                <c:pt idx="893">
                  <c:v>976.66817413190017</c:v>
                </c:pt>
                <c:pt idx="894">
                  <c:v>976.66817413190017</c:v>
                </c:pt>
                <c:pt idx="895">
                  <c:v>976.66817413190017</c:v>
                </c:pt>
                <c:pt idx="896">
                  <c:v>976.66817413190017</c:v>
                </c:pt>
                <c:pt idx="897">
                  <c:v>976.66817413190017</c:v>
                </c:pt>
                <c:pt idx="898">
                  <c:v>976.66817413190017</c:v>
                </c:pt>
                <c:pt idx="899">
                  <c:v>976.66817413190017</c:v>
                </c:pt>
                <c:pt idx="900">
                  <c:v>976.66817413190017</c:v>
                </c:pt>
                <c:pt idx="901">
                  <c:v>976.66817413190017</c:v>
                </c:pt>
                <c:pt idx="902">
                  <c:v>976.66817413190017</c:v>
                </c:pt>
                <c:pt idx="903">
                  <c:v>976.66817413190017</c:v>
                </c:pt>
                <c:pt idx="904">
                  <c:v>976.66817413190017</c:v>
                </c:pt>
                <c:pt idx="905">
                  <c:v>976.66817413190017</c:v>
                </c:pt>
                <c:pt idx="906">
                  <c:v>976.66817413190017</c:v>
                </c:pt>
                <c:pt idx="907">
                  <c:v>976.66817413190017</c:v>
                </c:pt>
                <c:pt idx="908">
                  <c:v>976.66817413190017</c:v>
                </c:pt>
                <c:pt idx="909">
                  <c:v>976.66817413190017</c:v>
                </c:pt>
                <c:pt idx="910">
                  <c:v>976.66817413190017</c:v>
                </c:pt>
                <c:pt idx="911">
                  <c:v>976.66817413190017</c:v>
                </c:pt>
                <c:pt idx="912">
                  <c:v>976.66817413190017</c:v>
                </c:pt>
                <c:pt idx="913">
                  <c:v>976.66817413190017</c:v>
                </c:pt>
                <c:pt idx="914">
                  <c:v>976.66817413190017</c:v>
                </c:pt>
                <c:pt idx="915">
                  <c:v>976.66817413190017</c:v>
                </c:pt>
                <c:pt idx="916">
                  <c:v>976.66817413190017</c:v>
                </c:pt>
                <c:pt idx="917">
                  <c:v>976.66817413190017</c:v>
                </c:pt>
                <c:pt idx="918">
                  <c:v>976.66817413190017</c:v>
                </c:pt>
                <c:pt idx="919">
                  <c:v>976.66817413190017</c:v>
                </c:pt>
                <c:pt idx="920">
                  <c:v>976.66817413190017</c:v>
                </c:pt>
                <c:pt idx="921">
                  <c:v>976.66817413190017</c:v>
                </c:pt>
                <c:pt idx="922">
                  <c:v>976.66817413190017</c:v>
                </c:pt>
                <c:pt idx="923">
                  <c:v>976.66817413190017</c:v>
                </c:pt>
                <c:pt idx="924">
                  <c:v>976.66817413190017</c:v>
                </c:pt>
                <c:pt idx="925">
                  <c:v>976.66817413190017</c:v>
                </c:pt>
                <c:pt idx="926">
                  <c:v>976.66817413190017</c:v>
                </c:pt>
                <c:pt idx="927">
                  <c:v>976.66817413190017</c:v>
                </c:pt>
                <c:pt idx="928">
                  <c:v>976.66817413190017</c:v>
                </c:pt>
                <c:pt idx="929">
                  <c:v>976.66817413190017</c:v>
                </c:pt>
                <c:pt idx="930">
                  <c:v>976.66817413190017</c:v>
                </c:pt>
                <c:pt idx="931">
                  <c:v>976.66817413190017</c:v>
                </c:pt>
                <c:pt idx="932">
                  <c:v>976.66817413190017</c:v>
                </c:pt>
                <c:pt idx="933">
                  <c:v>976.66817413190017</c:v>
                </c:pt>
                <c:pt idx="934">
                  <c:v>976.66817413190017</c:v>
                </c:pt>
                <c:pt idx="935">
                  <c:v>976.66817413190017</c:v>
                </c:pt>
                <c:pt idx="936">
                  <c:v>976.66817413190017</c:v>
                </c:pt>
                <c:pt idx="937">
                  <c:v>976.66817413190017</c:v>
                </c:pt>
                <c:pt idx="938">
                  <c:v>976.66817413190017</c:v>
                </c:pt>
                <c:pt idx="939">
                  <c:v>976.66817413190017</c:v>
                </c:pt>
                <c:pt idx="940">
                  <c:v>976.66817413190017</c:v>
                </c:pt>
                <c:pt idx="941">
                  <c:v>976.66817413190017</c:v>
                </c:pt>
                <c:pt idx="942">
                  <c:v>976.66817413190017</c:v>
                </c:pt>
                <c:pt idx="943">
                  <c:v>976.66817413190017</c:v>
                </c:pt>
                <c:pt idx="944">
                  <c:v>976.66817413190017</c:v>
                </c:pt>
                <c:pt idx="945">
                  <c:v>976.66817413190017</c:v>
                </c:pt>
                <c:pt idx="946">
                  <c:v>976.66817413190017</c:v>
                </c:pt>
                <c:pt idx="947">
                  <c:v>976.66817413190017</c:v>
                </c:pt>
                <c:pt idx="948">
                  <c:v>976.66817413190017</c:v>
                </c:pt>
                <c:pt idx="949">
                  <c:v>976.66817413190017</c:v>
                </c:pt>
                <c:pt idx="950">
                  <c:v>976.66817413190017</c:v>
                </c:pt>
                <c:pt idx="951">
                  <c:v>976.66817413190017</c:v>
                </c:pt>
                <c:pt idx="952">
                  <c:v>976.66817413190017</c:v>
                </c:pt>
                <c:pt idx="953">
                  <c:v>976.66817413190017</c:v>
                </c:pt>
                <c:pt idx="954">
                  <c:v>976.66817413190017</c:v>
                </c:pt>
                <c:pt idx="955">
                  <c:v>976.66817413190017</c:v>
                </c:pt>
                <c:pt idx="956">
                  <c:v>976.66817413190017</c:v>
                </c:pt>
                <c:pt idx="957">
                  <c:v>976.66817413190017</c:v>
                </c:pt>
                <c:pt idx="958">
                  <c:v>976.66817413190017</c:v>
                </c:pt>
                <c:pt idx="959">
                  <c:v>976.66817413190017</c:v>
                </c:pt>
                <c:pt idx="960">
                  <c:v>976.66817413190017</c:v>
                </c:pt>
                <c:pt idx="961">
                  <c:v>976.66817413190017</c:v>
                </c:pt>
                <c:pt idx="962">
                  <c:v>976.66817413190017</c:v>
                </c:pt>
                <c:pt idx="963">
                  <c:v>976.66817413190017</c:v>
                </c:pt>
                <c:pt idx="964">
                  <c:v>976.66817413190017</c:v>
                </c:pt>
                <c:pt idx="965">
                  <c:v>976.66817413190017</c:v>
                </c:pt>
                <c:pt idx="966">
                  <c:v>976.66817413190017</c:v>
                </c:pt>
                <c:pt idx="967">
                  <c:v>976.66817413190017</c:v>
                </c:pt>
                <c:pt idx="968">
                  <c:v>976.66817413190017</c:v>
                </c:pt>
                <c:pt idx="969">
                  <c:v>976.66817413190017</c:v>
                </c:pt>
                <c:pt idx="970">
                  <c:v>976.66817413190017</c:v>
                </c:pt>
                <c:pt idx="971">
                  <c:v>976.66817413190017</c:v>
                </c:pt>
                <c:pt idx="972">
                  <c:v>976.66817413190017</c:v>
                </c:pt>
                <c:pt idx="973">
                  <c:v>976.66817413190017</c:v>
                </c:pt>
                <c:pt idx="974">
                  <c:v>976.66817413190017</c:v>
                </c:pt>
                <c:pt idx="975">
                  <c:v>976.66817413190017</c:v>
                </c:pt>
                <c:pt idx="976">
                  <c:v>976.66817413190017</c:v>
                </c:pt>
                <c:pt idx="977">
                  <c:v>976.66817413190017</c:v>
                </c:pt>
                <c:pt idx="978">
                  <c:v>976.66817413190017</c:v>
                </c:pt>
                <c:pt idx="979">
                  <c:v>976.66817413190017</c:v>
                </c:pt>
                <c:pt idx="980">
                  <c:v>976.66817413190017</c:v>
                </c:pt>
                <c:pt idx="981">
                  <c:v>976.66817413190017</c:v>
                </c:pt>
                <c:pt idx="982">
                  <c:v>976.66817413190017</c:v>
                </c:pt>
                <c:pt idx="983">
                  <c:v>976.66817413190017</c:v>
                </c:pt>
                <c:pt idx="984">
                  <c:v>976.66817413190017</c:v>
                </c:pt>
                <c:pt idx="985">
                  <c:v>976.66817413190017</c:v>
                </c:pt>
                <c:pt idx="986">
                  <c:v>976.66817413190017</c:v>
                </c:pt>
                <c:pt idx="987">
                  <c:v>976.66817413190017</c:v>
                </c:pt>
                <c:pt idx="988">
                  <c:v>976.66817413190017</c:v>
                </c:pt>
                <c:pt idx="989">
                  <c:v>976.66817413190017</c:v>
                </c:pt>
                <c:pt idx="990">
                  <c:v>976.66817413190017</c:v>
                </c:pt>
                <c:pt idx="991">
                  <c:v>976.66817413190017</c:v>
                </c:pt>
                <c:pt idx="992">
                  <c:v>976.66817413190017</c:v>
                </c:pt>
                <c:pt idx="993">
                  <c:v>976.66817413190017</c:v>
                </c:pt>
                <c:pt idx="994">
                  <c:v>976.66817413190017</c:v>
                </c:pt>
                <c:pt idx="995">
                  <c:v>976.66817413190017</c:v>
                </c:pt>
                <c:pt idx="996">
                  <c:v>976.66817413190017</c:v>
                </c:pt>
                <c:pt idx="997">
                  <c:v>976.66817413190017</c:v>
                </c:pt>
                <c:pt idx="998">
                  <c:v>976.66817413190017</c:v>
                </c:pt>
                <c:pt idx="999">
                  <c:v>976.66817413190017</c:v>
                </c:pt>
                <c:pt idx="1000">
                  <c:v>976.66817413190017</c:v>
                </c:pt>
              </c:numCache>
            </c:numRef>
          </c:xVal>
          <c:yVal>
            <c:numRef>
              <c:f>Calculs!$K$4:$K$1004</c:f>
              <c:numCache>
                <c:formatCode>0.00</c:formatCode>
                <c:ptCount val="1001"/>
                <c:pt idx="0">
                  <c:v>0</c:v>
                </c:pt>
                <c:pt idx="1">
                  <c:v>0.9847482099156567</c:v>
                </c:pt>
                <c:pt idx="2">
                  <c:v>1.9708158743514637</c:v>
                </c:pt>
                <c:pt idx="3">
                  <c:v>2.961079418210022</c:v>
                </c:pt>
                <c:pt idx="4">
                  <c:v>3.9584145720889357</c:v>
                </c:pt>
                <c:pt idx="5">
                  <c:v>4.9656827944024275</c:v>
                </c:pt>
                <c:pt idx="6">
                  <c:v>5.9850171664031286</c:v>
                </c:pt>
                <c:pt idx="7">
                  <c:v>7.0171068046332365</c:v>
                </c:pt>
                <c:pt idx="8">
                  <c:v>8.0619108910433823</c:v>
                </c:pt>
                <c:pt idx="9">
                  <c:v>9.1193883832660259</c:v>
                </c:pt>
                <c:pt idx="10">
                  <c:v>10.189498016550278</c:v>
                </c:pt>
                <c:pt idx="11">
                  <c:v>11.272198305715337</c:v>
                </c:pt>
                <c:pt idx="12">
                  <c:v>12.367447547121964</c:v>
                </c:pt>
                <c:pt idx="13">
                  <c:v>13.47520382066147</c:v>
                </c:pt>
                <c:pt idx="14">
                  <c:v>14.595424991761659</c:v>
                </c:pt>
                <c:pt idx="15">
                  <c:v>15.728068713409225</c:v>
                </c:pt>
                <c:pt idx="16">
                  <c:v>16.87309242818808</c:v>
                </c:pt>
                <c:pt idx="17">
                  <c:v>18.030453370333099</c:v>
                </c:pt>
                <c:pt idx="18">
                  <c:v>19.200108567798825</c:v>
                </c:pt>
                <c:pt idx="19">
                  <c:v>20.382014844342606</c:v>
                </c:pt>
                <c:pt idx="20">
                  <c:v>21.576128821621708</c:v>
                </c:pt>
                <c:pt idx="21">
                  <c:v>22.782406921303945</c:v>
                </c:pt>
                <c:pt idx="22">
                  <c:v>24.000805367191326</c:v>
                </c:pt>
                <c:pt idx="23">
                  <c:v>25.231280187356312</c:v>
                </c:pt>
                <c:pt idx="24">
                  <c:v>26.47378721629018</c:v>
                </c:pt>
                <c:pt idx="25">
                  <c:v>27.728282097063097</c:v>
                </c:pt>
                <c:pt idx="26">
                  <c:v>28.994720283495429</c:v>
                </c:pt>
                <c:pt idx="27">
                  <c:v>30.273057042339872</c:v>
                </c:pt>
                <c:pt idx="28">
                  <c:v>31.563247455473959</c:v>
                </c:pt>
                <c:pt idx="29">
                  <c:v>32.865246422102544</c:v>
                </c:pt>
                <c:pt idx="30">
                  <c:v>34.179008660969799</c:v>
                </c:pt>
                <c:pt idx="31">
                  <c:v>35.504488712580383</c:v>
                </c:pt>
                <c:pt idx="32">
                  <c:v>36.841640941429247</c:v>
                </c:pt>
                <c:pt idx="33">
                  <c:v>38.190419538239851</c:v>
                </c:pt>
                <c:pt idx="34">
                  <c:v>39.550778522210173</c:v>
                </c:pt>
                <c:pt idx="35">
                  <c:v>40.922671743266299</c:v>
                </c:pt>
                <c:pt idx="36">
                  <c:v>42.30605288432308</c:v>
                </c:pt>
                <c:pt idx="37">
                  <c:v>43.700875463551519</c:v>
                </c:pt>
                <c:pt idx="38">
                  <c:v>45.107092836652477</c:v>
                </c:pt>
                <c:pt idx="39">
                  <c:v>46.524658199136297</c:v>
                </c:pt>
                <c:pt idx="40">
                  <c:v>47.953524588608033</c:v>
                </c:pt>
                <c:pt idx="41">
                  <c:v>49.393644887057789</c:v>
                </c:pt>
                <c:pt idx="42">
                  <c:v>50.844971823155916</c:v>
                </c:pt>
                <c:pt idx="43">
                  <c:v>52.307457974552605</c:v>
                </c:pt>
                <c:pt idx="44">
                  <c:v>53.781055770181545</c:v>
                </c:pt>
                <c:pt idx="45">
                  <c:v>55.265717492567255</c:v>
                </c:pt>
                <c:pt idx="46">
                  <c:v>56.761395280135787</c:v>
                </c:pt>
                <c:pt idx="47">
                  <c:v>58.268041129528342</c:v>
                </c:pt>
                <c:pt idx="48">
                  <c:v>59.785606897917532</c:v>
                </c:pt>
                <c:pt idx="49">
                  <c:v>61.314044305325886</c:v>
                </c:pt>
                <c:pt idx="50">
                  <c:v>62.853304936946252</c:v>
                </c:pt>
                <c:pt idx="51">
                  <c:v>64.403344122442661</c:v>
                </c:pt>
                <c:pt idx="52">
                  <c:v>65.964124817409498</c:v>
                </c:pt>
                <c:pt idx="53">
                  <c:v>67.535613727695477</c:v>
                </c:pt>
                <c:pt idx="54">
                  <c:v>69.117777431181949</c:v>
                </c:pt>
                <c:pt idx="55">
                  <c:v>70.710582379331512</c:v>
                </c:pt>
                <c:pt idx="56">
                  <c:v>72.313994898741072</c:v>
                </c:pt>
                <c:pt idx="57">
                  <c:v>73.927981192699065</c:v>
                </c:pt>
                <c:pt idx="58">
                  <c:v>75.552507342746608</c:v>
                </c:pt>
                <c:pt idx="59">
                  <c:v>77.187539310242499</c:v>
                </c:pt>
                <c:pt idx="60">
                  <c:v>78.833042937931666</c:v>
                </c:pt>
                <c:pt idx="61">
                  <c:v>80.488983951517028</c:v>
                </c:pt>
                <c:pt idx="62">
                  <c:v>82.155327961234448</c:v>
                </c:pt>
                <c:pt idx="63">
                  <c:v>83.83204046343063</c:v>
                </c:pt>
                <c:pt idx="64">
                  <c:v>85.519086842143764</c:v>
                </c:pt>
                <c:pt idx="65">
                  <c:v>87.216432370686618</c:v>
                </c:pt>
                <c:pt idx="66">
                  <c:v>88.924042213232028</c:v>
                </c:pt>
                <c:pt idx="67">
                  <c:v>90.641881426400388</c:v>
                </c:pt>
                <c:pt idx="68">
                  <c:v>92.369914960849187</c:v>
                </c:pt>
                <c:pt idx="69">
                  <c:v>94.108107662864171</c:v>
                </c:pt>
                <c:pt idx="70">
                  <c:v>95.856424275951994</c:v>
                </c:pt>
                <c:pt idx="71">
                  <c:v>97.614829442434257</c:v>
                </c:pt>
                <c:pt idx="72">
                  <c:v>99.383287705042619</c:v>
                </c:pt>
                <c:pt idx="73">
                  <c:v>101.16176350851485</c:v>
                </c:pt>
                <c:pt idx="74">
                  <c:v>102.95022120119161</c:v>
                </c:pt>
                <c:pt idx="75">
                  <c:v>104.74862503661372</c:v>
                </c:pt>
                <c:pt idx="76">
                  <c:v>106.55693917511985</c:v>
                </c:pt>
                <c:pt idx="77">
                  <c:v>108.37512768544437</c:v>
                </c:pt>
                <c:pt idx="78">
                  <c:v>110.20315454631505</c:v>
                </c:pt>
                <c:pt idx="79">
                  <c:v>112.04098364805068</c:v>
                </c:pt>
                <c:pt idx="80">
                  <c:v>113.88857879415824</c:v>
                </c:pt>
                <c:pt idx="81">
                  <c:v>115.74590370292937</c:v>
                </c:pt>
                <c:pt idx="82">
                  <c:v>117.6129220090363</c:v>
                </c:pt>
                <c:pt idx="83">
                  <c:v>119.4895972651266</c:v>
                </c:pt>
                <c:pt idx="84">
                  <c:v>121.37589294341696</c:v>
                </c:pt>
                <c:pt idx="85">
                  <c:v>123.27177243728551</c:v>
                </c:pt>
                <c:pt idx="86">
                  <c:v>125.17719906286277</c:v>
                </c:pt>
                <c:pt idx="87">
                  <c:v>127.09213606062094</c:v>
                </c:pt>
                <c:pt idx="88">
                  <c:v>129.01654659696126</c:v>
                </c:pt>
                <c:pt idx="89">
                  <c:v>130.95039376579942</c:v>
                </c:pt>
                <c:pt idx="90">
                  <c:v>132.89364059014875</c:v>
                </c:pt>
                <c:pt idx="91">
                  <c:v>134.8462500237012</c:v>
                </c:pt>
                <c:pt idx="92">
                  <c:v>136.80818495240558</c:v>
                </c:pt>
                <c:pt idx="93">
                  <c:v>138.77940819604328</c:v>
                </c:pt>
                <c:pt idx="94">
                  <c:v>140.75988250980112</c:v>
                </c:pt>
                <c:pt idx="95">
                  <c:v>142.74957058584113</c:v>
                </c:pt>
                <c:pt idx="96">
                  <c:v>144.74843505486723</c:v>
                </c:pt>
                <c:pt idx="97">
                  <c:v>146.75643848768854</c:v>
                </c:pt>
                <c:pt idx="98">
                  <c:v>148.77354339677922</c:v>
                </c:pt>
                <c:pt idx="99">
                  <c:v>150.79971223783465</c:v>
                </c:pt>
                <c:pt idx="100">
                  <c:v>152.83490741132388</c:v>
                </c:pt>
                <c:pt idx="101">
                  <c:v>154.87908945814223</c:v>
                </c:pt>
                <c:pt idx="102">
                  <c:v>156.93221525581896</c:v>
                </c:pt>
                <c:pt idx="103">
                  <c:v>158.99423982945027</c:v>
                </c:pt>
                <c:pt idx="104">
                  <c:v>161.06511816222158</c:v>
                </c:pt>
                <c:pt idx="105">
                  <c:v>163.14480519724228</c:v>
                </c:pt>
                <c:pt idx="106">
                  <c:v>165.23325583937287</c:v>
                </c:pt>
                <c:pt idx="107">
                  <c:v>167.33042495704413</c:v>
                </c:pt>
                <c:pt idx="108">
                  <c:v>169.43626738406829</c:v>
                </c:pt>
                <c:pt idx="109">
                  <c:v>171.55073792144194</c:v>
                </c:pt>
                <c:pt idx="110">
                  <c:v>173.67379133914071</c:v>
                </c:pt>
                <c:pt idx="111">
                  <c:v>175.80538237790518</c:v>
                </c:pt>
                <c:pt idx="112">
                  <c:v>177.94546575101839</c:v>
                </c:pt>
                <c:pt idx="113">
                  <c:v>180.09399614607426</c:v>
                </c:pt>
                <c:pt idx="114">
                  <c:v>182.25092822673722</c:v>
                </c:pt>
                <c:pt idx="115">
                  <c:v>184.4162166344926</c:v>
                </c:pt>
                <c:pt idx="116">
                  <c:v>186.58981599038776</c:v>
                </c:pt>
                <c:pt idx="117">
                  <c:v>188.77168089676388</c:v>
                </c:pt>
                <c:pt idx="118">
                  <c:v>190.96176593897815</c:v>
                </c:pt>
                <c:pt idx="119">
                  <c:v>193.16002568711619</c:v>
                </c:pt>
                <c:pt idx="120">
                  <c:v>195.36641469769484</c:v>
                </c:pt>
                <c:pt idx="121">
                  <c:v>197.58088751535487</c:v>
                </c:pt>
                <c:pt idx="122">
                  <c:v>199.80339867454364</c:v>
                </c:pt>
                <c:pt idx="123">
                  <c:v>202.03390270118754</c:v>
                </c:pt>
                <c:pt idx="124">
                  <c:v>204.27235411435424</c:v>
                </c:pt>
                <c:pt idx="125">
                  <c:v>206.51870742790433</c:v>
                </c:pt>
                <c:pt idx="126">
                  <c:v>208.77291715213249</c:v>
                </c:pt>
                <c:pt idx="127">
                  <c:v>211.03493779539806</c:v>
                </c:pt>
                <c:pt idx="128">
                  <c:v>213.30472386574476</c:v>
                </c:pt>
                <c:pt idx="129">
                  <c:v>215.58222987250949</c:v>
                </c:pt>
                <c:pt idx="130">
                  <c:v>217.86741032792025</c:v>
                </c:pt>
                <c:pt idx="131">
                  <c:v>220.16021974868298</c:v>
                </c:pt>
                <c:pt idx="132">
                  <c:v>222.46061265755705</c:v>
                </c:pt>
                <c:pt idx="133">
                  <c:v>224.76854358491968</c:v>
                </c:pt>
                <c:pt idx="134">
                  <c:v>227.08396707031889</c:v>
                </c:pt>
                <c:pt idx="135">
                  <c:v>229.40683766401494</c:v>
                </c:pt>
                <c:pt idx="136">
                  <c:v>231.73710992851034</c:v>
                </c:pt>
                <c:pt idx="137">
                  <c:v>234.07473844006807</c:v>
                </c:pt>
                <c:pt idx="138">
                  <c:v>236.41967779021829</c:v>
                </c:pt>
                <c:pt idx="139">
                  <c:v>238.771882587253</c:v>
                </c:pt>
                <c:pt idx="140">
                  <c:v>241.13130745770911</c:v>
                </c:pt>
                <c:pt idx="141">
                  <c:v>243.49790704783928</c:v>
                </c:pt>
                <c:pt idx="142">
                  <c:v>245.87163602507093</c:v>
                </c:pt>
                <c:pt idx="143">
                  <c:v>248.2524490794531</c:v>
                </c:pt>
                <c:pt idx="144">
                  <c:v>250.6403009250912</c:v>
                </c:pt>
                <c:pt idx="145">
                  <c:v>253.0351463015694</c:v>
                </c:pt>
                <c:pt idx="146">
                  <c:v>255.43693997536093</c:v>
                </c:pt>
                <c:pt idx="147">
                  <c:v>257.84563674122592</c:v>
                </c:pt>
                <c:pt idx="148">
                  <c:v>260.26119142359687</c:v>
                </c:pt>
                <c:pt idx="149">
                  <c:v>262.68355887795167</c:v>
                </c:pt>
                <c:pt idx="150">
                  <c:v>265.11269399217417</c:v>
                </c:pt>
                <c:pt idx="151">
                  <c:v>267.54855230833056</c:v>
                </c:pt>
                <c:pt idx="152">
                  <c:v>269.99109064371459</c:v>
                </c:pt>
                <c:pt idx="153">
                  <c:v>272.44026646955751</c:v>
                </c:pt>
                <c:pt idx="154">
                  <c:v>274.89603729040419</c:v>
                </c:pt>
                <c:pt idx="155">
                  <c:v>277.3583606453318</c:v>
                </c:pt>
                <c:pt idx="156">
                  <c:v>279.82719410915723</c:v>
                </c:pt>
                <c:pt idx="157">
                  <c:v>282.3024952936326</c:v>
                </c:pt>
                <c:pt idx="158">
                  <c:v>284.78422184862956</c:v>
                </c:pt>
                <c:pt idx="159">
                  <c:v>287.27233146331179</c:v>
                </c:pt>
                <c:pt idx="160">
                  <c:v>289.766781867296</c:v>
                </c:pt>
                <c:pt idx="161">
                  <c:v>292.26753083180125</c:v>
                </c:pt>
                <c:pt idx="162">
                  <c:v>294.77453617078652</c:v>
                </c:pt>
                <c:pt idx="163">
                  <c:v>297.28775574207685</c:v>
                </c:pt>
                <c:pt idx="164">
                  <c:v>299.80714744847745</c:v>
                </c:pt>
                <c:pt idx="165">
                  <c:v>302.33266923887635</c:v>
                </c:pt>
                <c:pt idx="166">
                  <c:v>304.86427910933503</c:v>
                </c:pt>
                <c:pt idx="167">
                  <c:v>307.40193510416759</c:v>
                </c:pt>
                <c:pt idx="168">
                  <c:v>309.9455953170081</c:v>
                </c:pt>
                <c:pt idx="169">
                  <c:v>312.49521789186599</c:v>
                </c:pt>
                <c:pt idx="170">
                  <c:v>315.05076102416967</c:v>
                </c:pt>
                <c:pt idx="171">
                  <c:v>317.61218296179874</c:v>
                </c:pt>
                <c:pt idx="172">
                  <c:v>320.17944200610384</c:v>
                </c:pt>
                <c:pt idx="173">
                  <c:v>322.75249651291517</c:v>
                </c:pt>
                <c:pt idx="174">
                  <c:v>325.33130489353891</c:v>
                </c:pt>
                <c:pt idx="175">
                  <c:v>327.91582561574205</c:v>
                </c:pt>
                <c:pt idx="176">
                  <c:v>330.50601720472525</c:v>
                </c:pt>
                <c:pt idx="177">
                  <c:v>333.10183824408404</c:v>
                </c:pt>
                <c:pt idx="178">
                  <c:v>335.7032473767581</c:v>
                </c:pt>
                <c:pt idx="179">
                  <c:v>338.31020330596903</c:v>
                </c:pt>
                <c:pt idx="180">
                  <c:v>340.92266479614597</c:v>
                </c:pt>
                <c:pt idx="181">
                  <c:v>343.54059067383969</c:v>
                </c:pt>
                <c:pt idx="182">
                  <c:v>346.16393982862502</c:v>
                </c:pt>
                <c:pt idx="183">
                  <c:v>348.79267121399135</c:v>
                </c:pt>
                <c:pt idx="184">
                  <c:v>351.42674384822141</c:v>
                </c:pt>
                <c:pt idx="185">
                  <c:v>354.06611681525857</c:v>
                </c:pt>
                <c:pt idx="186">
                  <c:v>356.7107492655623</c:v>
                </c:pt>
                <c:pt idx="187">
                  <c:v>359.36060041695191</c:v>
                </c:pt>
                <c:pt idx="188">
                  <c:v>362.01562955543881</c:v>
                </c:pt>
                <c:pt idx="189">
                  <c:v>364.67579603604702</c:v>
                </c:pt>
                <c:pt idx="190">
                  <c:v>367.3410592836222</c:v>
                </c:pt>
                <c:pt idx="191">
                  <c:v>370.01137879362904</c:v>
                </c:pt>
                <c:pt idx="192">
                  <c:v>372.68671413293714</c:v>
                </c:pt>
                <c:pt idx="193">
                  <c:v>375.36702494059534</c:v>
                </c:pt>
                <c:pt idx="194">
                  <c:v>378.05227092859468</c:v>
                </c:pt>
                <c:pt idx="195">
                  <c:v>380.74241188261971</c:v>
                </c:pt>
                <c:pt idx="196">
                  <c:v>383.43740766278864</c:v>
                </c:pt>
                <c:pt idx="197">
                  <c:v>386.1372182043819</c:v>
                </c:pt>
                <c:pt idx="198">
                  <c:v>388.8418035185594</c:v>
                </c:pt>
                <c:pt idx="199">
                  <c:v>391.55112369306664</c:v>
                </c:pt>
                <c:pt idx="200">
                  <c:v>394.26513889292926</c:v>
                </c:pt>
                <c:pt idx="201">
                  <c:v>396.98380936113665</c:v>
                </c:pt>
                <c:pt idx="202">
                  <c:v>399.7070954193141</c:v>
                </c:pt>
                <c:pt idx="203">
                  <c:v>402.43495746838403</c:v>
                </c:pt>
                <c:pt idx="204">
                  <c:v>405.16735598921593</c:v>
                </c:pt>
                <c:pt idx="205">
                  <c:v>407.90425154326527</c:v>
                </c:pt>
                <c:pt idx="206">
                  <c:v>410.64560477320157</c:v>
                </c:pt>
                <c:pt idx="207">
                  <c:v>413.3913764035251</c:v>
                </c:pt>
                <c:pt idx="208">
                  <c:v>416.14152724117315</c:v>
                </c:pt>
                <c:pt idx="209">
                  <c:v>418.89601817611492</c:v>
                </c:pt>
                <c:pt idx="210">
                  <c:v>421.65481018193594</c:v>
                </c:pt>
                <c:pt idx="211">
                  <c:v>424.41786431641145</c:v>
                </c:pt>
                <c:pt idx="212">
                  <c:v>427.18514172206926</c:v>
                </c:pt>
                <c:pt idx="213">
                  <c:v>429.95660362674175</c:v>
                </c:pt>
                <c:pt idx="214">
                  <c:v>432.73221134410733</c:v>
                </c:pt>
                <c:pt idx="215">
                  <c:v>435.5119262742212</c:v>
                </c:pt>
                <c:pt idx="216">
                  <c:v>438.29570990403579</c:v>
                </c:pt>
                <c:pt idx="217">
                  <c:v>441.08352380791047</c:v>
                </c:pt>
                <c:pt idx="218">
                  <c:v>443.87532964811106</c:v>
                </c:pt>
                <c:pt idx="219">
                  <c:v>446.67108917529885</c:v>
                </c:pt>
                <c:pt idx="220">
                  <c:v>449.47076422900932</c:v>
                </c:pt>
                <c:pt idx="221">
                  <c:v>452.27431673812072</c:v>
                </c:pt>
                <c:pt idx="222">
                  <c:v>455.08170872131222</c:v>
                </c:pt>
                <c:pt idx="223">
                  <c:v>457.8929022875123</c:v>
                </c:pt>
                <c:pt idx="224">
                  <c:v>460.70785963633659</c:v>
                </c:pt>
                <c:pt idx="225">
                  <c:v>463.52654305851615</c:v>
                </c:pt>
                <c:pt idx="226">
                  <c:v>466.34891493631551</c:v>
                </c:pt>
                <c:pt idx="227">
                  <c:v>469.17493774394092</c:v>
                </c:pt>
                <c:pt idx="228">
                  <c:v>472.00457404793877</c:v>
                </c:pt>
                <c:pt idx="229">
                  <c:v>474.83778650758421</c:v>
                </c:pt>
                <c:pt idx="230">
                  <c:v>477.67453787526011</c:v>
                </c:pt>
                <c:pt idx="231">
                  <c:v>480.51479099682638</c:v>
                </c:pt>
                <c:pt idx="232">
                  <c:v>483.35850881197962</c:v>
                </c:pt>
                <c:pt idx="233">
                  <c:v>486.20565435460338</c:v>
                </c:pt>
                <c:pt idx="234">
                  <c:v>489.05619075310892</c:v>
                </c:pt>
                <c:pt idx="235">
                  <c:v>491.91008123076654</c:v>
                </c:pt>
                <c:pt idx="236">
                  <c:v>494.76728910602776</c:v>
                </c:pt>
                <c:pt idx="237">
                  <c:v>497.62777779283806</c:v>
                </c:pt>
                <c:pt idx="238">
                  <c:v>500.49151080094055</c:v>
                </c:pt>
                <c:pt idx="239">
                  <c:v>503.35845173617042</c:v>
                </c:pt>
                <c:pt idx="240">
                  <c:v>506.22856430074057</c:v>
                </c:pt>
                <c:pt idx="241">
                  <c:v>509.10181229351804</c:v>
                </c:pt>
                <c:pt idx="242">
                  <c:v>511.97815961029153</c:v>
                </c:pt>
                <c:pt idx="243">
                  <c:v>514.85757024403028</c:v>
                </c:pt>
                <c:pt idx="244">
                  <c:v>517.74000828513385</c:v>
                </c:pt>
                <c:pt idx="245">
                  <c:v>520.62543792167378</c:v>
                </c:pt>
                <c:pt idx="246">
                  <c:v>523.51382343962575</c:v>
                </c:pt>
                <c:pt idx="247">
                  <c:v>526.40512922309415</c:v>
                </c:pt>
                <c:pt idx="248">
                  <c:v>529.29931975452723</c:v>
                </c:pt>
                <c:pt idx="249">
                  <c:v>532.1963596149244</c:v>
                </c:pt>
                <c:pt idx="250">
                  <c:v>535.09621348403539</c:v>
                </c:pt>
                <c:pt idx="251">
                  <c:v>537.99884341880193</c:v>
                </c:pt>
                <c:pt idx="252">
                  <c:v>540.90420613836181</c:v>
                </c:pt>
                <c:pt idx="253">
                  <c:v>543.81225576174711</c:v>
                </c:pt>
                <c:pt idx="254">
                  <c:v>546.72294653906238</c:v>
                </c:pt>
                <c:pt idx="255">
                  <c:v>549.63623285175743</c:v>
                </c:pt>
                <c:pt idx="256">
                  <c:v>552.55206921288629</c:v>
                </c:pt>
                <c:pt idx="257">
                  <c:v>555.47041026735417</c:v>
                </c:pt>
                <c:pt idx="258">
                  <c:v>558.39121079215079</c:v>
                </c:pt>
                <c:pt idx="259">
                  <c:v>561.31442569657179</c:v>
                </c:pt>
                <c:pt idx="260">
                  <c:v>564.2400100224271</c:v>
                </c:pt>
                <c:pt idx="261">
                  <c:v>567.16791894423716</c:v>
                </c:pt>
                <c:pt idx="262">
                  <c:v>570.09810776941697</c:v>
                </c:pt>
                <c:pt idx="263">
                  <c:v>573.03053193844767</c:v>
                </c:pt>
                <c:pt idx="264">
                  <c:v>575.96514702503623</c:v>
                </c:pt>
                <c:pt idx="265">
                  <c:v>578.90190873626341</c:v>
                </c:pt>
                <c:pt idx="266">
                  <c:v>581.84077291271979</c:v>
                </c:pt>
                <c:pt idx="267">
                  <c:v>584.78169552862994</c:v>
                </c:pt>
                <c:pt idx="268">
                  <c:v>587.72463269196521</c:v>
                </c:pt>
                <c:pt idx="269">
                  <c:v>590.66954064454535</c:v>
                </c:pt>
                <c:pt idx="270">
                  <c:v>593.61637576212831</c:v>
                </c:pt>
                <c:pt idx="271">
                  <c:v>596.56509455448929</c:v>
                </c:pt>
                <c:pt idx="272">
                  <c:v>599.51565366548846</c:v>
                </c:pt>
                <c:pt idx="273">
                  <c:v>602.46800987312781</c:v>
                </c:pt>
                <c:pt idx="274">
                  <c:v>605.42212008959723</c:v>
                </c:pt>
                <c:pt idx="275">
                  <c:v>608.37794136130992</c:v>
                </c:pt>
                <c:pt idx="276">
                  <c:v>611.33543086892735</c:v>
                </c:pt>
                <c:pt idx="277">
                  <c:v>614.29454592737306</c:v>
                </c:pt>
                <c:pt idx="278">
                  <c:v>617.25524398583707</c:v>
                </c:pt>
                <c:pt idx="279">
                  <c:v>620.21748262776964</c:v>
                </c:pt>
                <c:pt idx="280">
                  <c:v>623.18121957086464</c:v>
                </c:pt>
                <c:pt idx="281">
                  <c:v>626.1464126670337</c:v>
                </c:pt>
                <c:pt idx="282">
                  <c:v>629.1130199023695</c:v>
                </c:pt>
                <c:pt idx="283">
                  <c:v>632.08099939710041</c:v>
                </c:pt>
                <c:pt idx="284">
                  <c:v>635.05030940553468</c:v>
                </c:pt>
                <c:pt idx="285">
                  <c:v>638.02090831599526</c:v>
                </c:pt>
                <c:pt idx="286">
                  <c:v>640.99275465074584</c:v>
                </c:pt>
                <c:pt idx="287">
                  <c:v>643.96580706590669</c:v>
                </c:pt>
                <c:pt idx="288">
                  <c:v>646.94002435136235</c:v>
                </c:pt>
                <c:pt idx="289">
                  <c:v>649.91536543065934</c:v>
                </c:pt>
                <c:pt idx="290">
                  <c:v>652.89178936089547</c:v>
                </c:pt>
                <c:pt idx="291">
                  <c:v>655.86925533260069</c:v>
                </c:pt>
                <c:pt idx="292">
                  <c:v>658.84772266960829</c:v>
                </c:pt>
                <c:pt idx="293">
                  <c:v>661.82715082891832</c:v>
                </c:pt>
                <c:pt idx="294">
                  <c:v>664.80749940055239</c:v>
                </c:pt>
                <c:pt idx="295">
                  <c:v>667.78872810740006</c:v>
                </c:pt>
                <c:pt idx="296">
                  <c:v>670.77079680505688</c:v>
                </c:pt>
                <c:pt idx="297">
                  <c:v>673.75366548165459</c:v>
                </c:pt>
                <c:pt idx="298">
                  <c:v>676.73726419430136</c:v>
                </c:pt>
                <c:pt idx="299">
                  <c:v>679.72146309386619</c:v>
                </c:pt>
                <c:pt idx="300">
                  <c:v>682.70610268891232</c:v>
                </c:pt>
                <c:pt idx="301">
                  <c:v>685.69102402235717</c:v>
                </c:pt>
                <c:pt idx="302">
                  <c:v>688.67606867337076</c:v>
                </c:pt>
                <c:pt idx="303">
                  <c:v>691.66107875913838</c:v>
                </c:pt>
                <c:pt idx="304">
                  <c:v>694.64589693649054</c:v>
                </c:pt>
                <c:pt idx="305">
                  <c:v>697.63036640340101</c:v>
                </c:pt>
                <c:pt idx="306">
                  <c:v>700.61433090035405</c:v>
                </c:pt>
                <c:pt idx="307">
                  <c:v>703.59763471158431</c:v>
                </c:pt>
                <c:pt idx="308">
                  <c:v>706.5801226661888</c:v>
                </c:pt>
                <c:pt idx="309">
                  <c:v>709.5616401391145</c:v>
                </c:pt>
                <c:pt idx="310">
                  <c:v>712.54203305202202</c:v>
                </c:pt>
                <c:pt idx="311">
                  <c:v>715.52114787402741</c:v>
                </c:pt>
                <c:pt idx="312">
                  <c:v>718.49883162232436</c:v>
                </c:pt>
                <c:pt idx="313">
                  <c:v>721.47493186268719</c:v>
                </c:pt>
                <c:pt idx="314">
                  <c:v>724.44929670985789</c:v>
                </c:pt>
                <c:pt idx="315">
                  <c:v>727.42177482781722</c:v>
                </c:pt>
                <c:pt idx="316">
                  <c:v>730.39221542994323</c:v>
                </c:pt>
                <c:pt idx="317">
                  <c:v>733.36046827905727</c:v>
                </c:pt>
                <c:pt idx="318">
                  <c:v>736.32638368736093</c:v>
                </c:pt>
                <c:pt idx="319">
                  <c:v>739.28981251626362</c:v>
                </c:pt>
                <c:pt idx="320">
                  <c:v>742.25060617610438</c:v>
                </c:pt>
                <c:pt idx="321">
                  <c:v>745.20862860487659</c:v>
                </c:pt>
                <c:pt idx="322">
                  <c:v>748.1637682030489</c:v>
                </c:pt>
                <c:pt idx="323">
                  <c:v>751.11592576136957</c:v>
                </c:pt>
                <c:pt idx="324">
                  <c:v>754.06500243216237</c:v>
                </c:pt>
                <c:pt idx="325">
                  <c:v>757.01089972814884</c:v>
                </c:pt>
                <c:pt idx="326">
                  <c:v>759.95351952123269</c:v>
                </c:pt>
                <c:pt idx="327">
                  <c:v>762.89276404124644</c:v>
                </c:pt>
                <c:pt idx="328">
                  <c:v>765.82853587466104</c:v>
                </c:pt>
                <c:pt idx="329">
                  <c:v>768.7607379632592</c:v>
                </c:pt>
                <c:pt idx="330">
                  <c:v>771.68927360277394</c:v>
                </c:pt>
                <c:pt idx="331">
                  <c:v>774.61404644149138</c:v>
                </c:pt>
                <c:pt idx="332">
                  <c:v>777.53496047882038</c:v>
                </c:pt>
                <c:pt idx="333">
                  <c:v>780.4519200638282</c:v>
                </c:pt>
                <c:pt idx="334">
                  <c:v>783.36482989374372</c:v>
                </c:pt>
                <c:pt idx="335">
                  <c:v>786.2735950124287</c:v>
                </c:pt>
                <c:pt idx="336">
                  <c:v>789.17812080881743</c:v>
                </c:pt>
                <c:pt idx="337">
                  <c:v>792.07831301532588</c:v>
                </c:pt>
                <c:pt idx="338">
                  <c:v>794.9740777062309</c:v>
                </c:pt>
                <c:pt idx="339">
                  <c:v>797.86532129601994</c:v>
                </c:pt>
                <c:pt idx="340">
                  <c:v>800.75195053771176</c:v>
                </c:pt>
                <c:pt idx="341">
                  <c:v>803.63387252114944</c:v>
                </c:pt>
                <c:pt idx="342">
                  <c:v>806.51099467126573</c:v>
                </c:pt>
                <c:pt idx="343">
                  <c:v>809.38322474632128</c:v>
                </c:pt>
                <c:pt idx="344">
                  <c:v>812.25047083611719</c:v>
                </c:pt>
                <c:pt idx="345">
                  <c:v>815.11264136018133</c:v>
                </c:pt>
                <c:pt idx="346">
                  <c:v>817.96964506592963</c:v>
                </c:pt>
                <c:pt idx="347">
                  <c:v>820.82139102680355</c:v>
                </c:pt>
                <c:pt idx="348">
                  <c:v>823.66778993327443</c:v>
                </c:pt>
                <c:pt idx="349">
                  <c:v>826.50875537856575</c:v>
                </c:pt>
                <c:pt idx="350">
                  <c:v>829.34420255321231</c:v>
                </c:pt>
                <c:pt idx="351">
                  <c:v>832.17404694488971</c:v>
                </c:pt>
                <c:pt idx="352">
                  <c:v>834.9982043365037</c:v>
                </c:pt>
                <c:pt idx="353">
                  <c:v>837.81659080426164</c:v>
                </c:pt>
                <c:pt idx="354">
                  <c:v>840.62912271572691</c:v>
                </c:pt>
                <c:pt idx="355">
                  <c:v>843.43571672785697</c:v>
                </c:pt>
                <c:pt idx="356">
                  <c:v>846.23628978502529</c:v>
                </c:pt>
                <c:pt idx="357">
                  <c:v>849.0307591170274</c:v>
                </c:pt>
                <c:pt idx="358">
                  <c:v>851.81904223707159</c:v>
                </c:pt>
                <c:pt idx="359">
                  <c:v>854.60105693975493</c:v>
                </c:pt>
                <c:pt idx="360">
                  <c:v>857.37674818526625</c:v>
                </c:pt>
                <c:pt idx="361">
                  <c:v>860.14611487112461</c:v>
                </c:pt>
                <c:pt idx="362">
                  <c:v>862.90918272102988</c:v>
                </c:pt>
                <c:pt idx="363">
                  <c:v>865.66597728795637</c:v>
                </c:pt>
                <c:pt idx="364">
                  <c:v>868.41652395566973</c:v>
                </c:pt>
                <c:pt idx="365">
                  <c:v>871.16084794022731</c:v>
                </c:pt>
                <c:pt idx="366">
                  <c:v>873.8989742914614</c:v>
                </c:pt>
                <c:pt idx="367">
                  <c:v>876.63092789444613</c:v>
                </c:pt>
                <c:pt idx="368">
                  <c:v>879.35673347094837</c:v>
                </c:pt>
                <c:pt idx="369">
                  <c:v>882.0764155808622</c:v>
                </c:pt>
                <c:pt idx="370">
                  <c:v>884.78999862362798</c:v>
                </c:pt>
                <c:pt idx="371">
                  <c:v>887.49750683963543</c:v>
                </c:pt>
                <c:pt idx="372">
                  <c:v>890.19896431161158</c:v>
                </c:pt>
                <c:pt idx="373">
                  <c:v>892.89439496599334</c:v>
                </c:pt>
                <c:pt idx="374">
                  <c:v>895.58382257428514</c:v>
                </c:pt>
                <c:pt idx="375">
                  <c:v>898.26727075440203</c:v>
                </c:pt>
                <c:pt idx="376">
                  <c:v>900.94476297199753</c:v>
                </c:pt>
                <c:pt idx="377">
                  <c:v>903.61632254177778</c:v>
                </c:pt>
                <c:pt idx="378">
                  <c:v>906.28197262880099</c:v>
                </c:pt>
                <c:pt idx="379">
                  <c:v>908.94173624976304</c:v>
                </c:pt>
                <c:pt idx="380">
                  <c:v>911.59563627426905</c:v>
                </c:pt>
                <c:pt idx="381">
                  <c:v>914.24369542609168</c:v>
                </c:pt>
                <c:pt idx="382">
                  <c:v>916.88593628441527</c:v>
                </c:pt>
                <c:pt idx="383">
                  <c:v>919.52238128506735</c:v>
                </c:pt>
                <c:pt idx="384">
                  <c:v>922.15305272173634</c:v>
                </c:pt>
                <c:pt idx="385">
                  <c:v>924.77797274717693</c:v>
                </c:pt>
                <c:pt idx="386">
                  <c:v>927.397163374402</c:v>
                </c:pt>
                <c:pt idx="387">
                  <c:v>930.01064647786234</c:v>
                </c:pt>
                <c:pt idx="388">
                  <c:v>932.61844379461354</c:v>
                </c:pt>
                <c:pt idx="389">
                  <c:v>935.22057692547082</c:v>
                </c:pt>
                <c:pt idx="390">
                  <c:v>937.81706733615158</c:v>
                </c:pt>
                <c:pt idx="391">
                  <c:v>940.40793635840566</c:v>
                </c:pt>
                <c:pt idx="392">
                  <c:v>942.99320519113439</c:v>
                </c:pt>
                <c:pt idx="393">
                  <c:v>945.57289490149697</c:v>
                </c:pt>
                <c:pt idx="394">
                  <c:v>948.14702642600639</c:v>
                </c:pt>
                <c:pt idx="395">
                  <c:v>950.7156205716127</c:v>
                </c:pt>
                <c:pt idx="396">
                  <c:v>953.27869801677605</c:v>
                </c:pt>
                <c:pt idx="397">
                  <c:v>955.83627931252806</c:v>
                </c:pt>
                <c:pt idx="398">
                  <c:v>958.38838488352201</c:v>
                </c:pt>
                <c:pt idx="399">
                  <c:v>960.93503502907276</c:v>
                </c:pt>
                <c:pt idx="400">
                  <c:v>963.47624992418537</c:v>
                </c:pt>
                <c:pt idx="401">
                  <c:v>988.59101272768726</c:v>
                </c:pt>
                <c:pt idx="402">
                  <c:v>1013.175072855261</c:v>
                </c:pt>
                <c:pt idx="403">
                  <c:v>1037.2474832232151</c:v>
                </c:pt>
                <c:pt idx="404">
                  <c:v>1060.8261774100238</c:v>
                </c:pt>
                <c:pt idx="405">
                  <c:v>1083.9280563520347</c:v>
                </c:pt>
                <c:pt idx="406">
                  <c:v>1106.5690667296578</c:v>
                </c:pt>
                <c:pt idx="407">
                  <c:v>1128.7642719871212</c:v>
                </c:pt>
                <c:pt idx="408">
                  <c:v>1150.5279168057789</c:v>
                </c:pt>
                <c:pt idx="409">
                  <c:v>1171.8734857459551</c:v>
                </c:pt>
                <c:pt idx="410">
                  <c:v>1192.8137566824398</c:v>
                </c:pt>
                <c:pt idx="411">
                  <c:v>1213.3608495816145</c:v>
                </c:pt>
                <c:pt idx="412">
                  <c:v>1233.5262711017738</c:v>
                </c:pt>
                <c:pt idx="413">
                  <c:v>1253.3209554408654</c:v>
                </c:pt>
                <c:pt idx="414">
                  <c:v>1272.7553018062345</c:v>
                </c:pt>
                <c:pt idx="415">
                  <c:v>1291.8392088378616</c:v>
                </c:pt>
                <c:pt idx="416">
                  <c:v>1310.5821062790887</c:v>
                </c:pt>
                <c:pt idx="417">
                  <c:v>1328.9929841561147</c:v>
                </c:pt>
                <c:pt idx="418">
                  <c:v>1347.080419698935</c:v>
                </c:pt>
                <c:pt idx="419">
                  <c:v>1364.8526022113342</c:v>
                </c:pt>
                <c:pt idx="420">
                  <c:v>1382.3173560755197</c:v>
                </c:pt>
                <c:pt idx="421">
                  <c:v>1399.4821620576013</c:v>
                </c:pt>
                <c:pt idx="422">
                  <c:v>1416.3541770630281</c:v>
                </c:pt>
                <c:pt idx="423">
                  <c:v>1432.940252475986</c:v>
                </c:pt>
                <c:pt idx="424">
                  <c:v>1449.2469512033774</c:v>
                </c:pt>
                <c:pt idx="425">
                  <c:v>1465.2805635321401</c:v>
                </c:pt>
                <c:pt idx="426">
                  <c:v>1481.0471218981097</c:v>
                </c:pt>
                <c:pt idx="427">
                  <c:v>1496.5524146552398</c:v>
                </c:pt>
                <c:pt idx="428">
                  <c:v>1511.80199892562</c:v>
                </c:pt>
                <c:pt idx="429">
                  <c:v>1526.8012126032452</c:v>
                </c:pt>
                <c:pt idx="430">
                  <c:v>1541.5551855777974</c:v>
                </c:pt>
                <c:pt idx="431">
                  <c:v>1556.0688502387006</c:v>
                </c:pt>
                <c:pt idx="432">
                  <c:v>1570.3469513143245</c:v>
                </c:pt>
                <c:pt idx="433">
                  <c:v>1584.3940550963703</c:v>
                </c:pt>
                <c:pt idx="434">
                  <c:v>1598.2145580951164</c:v>
                </c:pt>
                <c:pt idx="435">
                  <c:v>1611.8126951672771</c:v>
                </c:pt>
                <c:pt idx="436">
                  <c:v>1625.1925471546715</c:v>
                </c:pt>
                <c:pt idx="437">
                  <c:v>1638.3580480687119</c:v>
                </c:pt>
                <c:pt idx="438">
                  <c:v>1651.3129918528041</c:v>
                </c:pt>
                <c:pt idx="439">
                  <c:v>1664.0610387521367</c:v>
                </c:pt>
                <c:pt idx="440">
                  <c:v>1676.6057213179454</c:v>
                </c:pt>
                <c:pt idx="441">
                  <c:v>1688.9504500711755</c:v>
                </c:pt>
                <c:pt idx="442">
                  <c:v>1701.0985188484963</c:v>
                </c:pt>
                <c:pt idx="443">
                  <c:v>1713.0531098518254</c:v>
                </c:pt>
                <c:pt idx="444">
                  <c:v>1724.8172984208916</c:v>
                </c:pt>
                <c:pt idx="445">
                  <c:v>1736.3940575468671</c:v>
                </c:pt>
                <c:pt idx="446">
                  <c:v>1747.7862621437439</c:v>
                </c:pt>
                <c:pt idx="447">
                  <c:v>1758.9966930928802</c:v>
                </c:pt>
                <c:pt idx="448">
                  <c:v>1770.0280410750017</c:v>
                </c:pt>
                <c:pt idx="449">
                  <c:v>1780.8829102029038</c:v>
                </c:pt>
                <c:pt idx="450">
                  <c:v>1791.5638214671321</c:v>
                </c:pt>
                <c:pt idx="451">
                  <c:v>1802.0732160060543</c:v>
                </c:pt>
                <c:pt idx="452">
                  <c:v>1812.4134582109125</c:v>
                </c:pt>
                <c:pt idx="453">
                  <c:v>1822.5868386757145</c:v>
                </c:pt>
                <c:pt idx="454">
                  <c:v>1832.5955770011324</c:v>
                </c:pt>
                <c:pt idx="455">
                  <c:v>1842.4418244609471</c:v>
                </c:pt>
                <c:pt idx="456">
                  <c:v>1852.1276665390005</c:v>
                </c:pt>
                <c:pt idx="457">
                  <c:v>1861.6551253440741</c:v>
                </c:pt>
                <c:pt idx="458">
                  <c:v>1871.0261619096252</c:v>
                </c:pt>
                <c:pt idx="459">
                  <c:v>1880.2426783848484</c:v>
                </c:pt>
                <c:pt idx="460">
                  <c:v>1889.30652012311</c:v>
                </c:pt>
                <c:pt idx="461">
                  <c:v>1898.2194776734104</c:v>
                </c:pt>
                <c:pt idx="462">
                  <c:v>1906.9832886801662</c:v>
                </c:pt>
                <c:pt idx="463">
                  <c:v>1915.5996396962662</c:v>
                </c:pt>
                <c:pt idx="464">
                  <c:v>1924.0701679140466</c:v>
                </c:pt>
                <c:pt idx="465">
                  <c:v>1932.3964628185381</c:v>
                </c:pt>
                <c:pt idx="466">
                  <c:v>1940.5800677670682</c:v>
                </c:pt>
                <c:pt idx="467">
                  <c:v>1948.6224814990537</c:v>
                </c:pt>
                <c:pt idx="468">
                  <c:v>1956.5251595795858</c:v>
                </c:pt>
                <c:pt idx="469">
                  <c:v>1964.2895157801895</c:v>
                </c:pt>
                <c:pt idx="470">
                  <c:v>1971.9169233999437</c:v>
                </c:pt>
                <c:pt idx="471">
                  <c:v>1979.4087165299552</c:v>
                </c:pt>
                <c:pt idx="472">
                  <c:v>1986.7661912640065</c:v>
                </c:pt>
                <c:pt idx="473">
                  <c:v>1993.9906068580353</c:v>
                </c:pt>
                <c:pt idx="474">
                  <c:v>2001.0831868409487</c:v>
                </c:pt>
                <c:pt idx="475">
                  <c:v>2008.0451200791335</c:v>
                </c:pt>
                <c:pt idx="476">
                  <c:v>2014.877561796894</c:v>
                </c:pt>
                <c:pt idx="477">
                  <c:v>2021.5816345549181</c:v>
                </c:pt>
                <c:pt idx="478">
                  <c:v>2028.1584291887632</c:v>
                </c:pt>
                <c:pt idx="479">
                  <c:v>2034.6090057092433</c:v>
                </c:pt>
                <c:pt idx="480">
                  <c:v>2040.9343941664927</c:v>
                </c:pt>
                <c:pt idx="481">
                  <c:v>2047.135595479393</c:v>
                </c:pt>
                <c:pt idx="482">
                  <c:v>2053.2135822319601</c:v>
                </c:pt>
                <c:pt idx="483">
                  <c:v>2059.1692994382015</c:v>
                </c:pt>
                <c:pt idx="484">
                  <c:v>2065.0036652768822</c:v>
                </c:pt>
                <c:pt idx="485">
                  <c:v>2070.7175717975615</c:v>
                </c:pt>
                <c:pt idx="486">
                  <c:v>2076.3118855991988</c:v>
                </c:pt>
                <c:pt idx="487">
                  <c:v>2081.7874484825606</c:v>
                </c:pt>
                <c:pt idx="488">
                  <c:v>2087.1450780776045</c:v>
                </c:pt>
                <c:pt idx="489">
                  <c:v>2092.3855684469631</c:v>
                </c:pt>
                <c:pt idx="490">
                  <c:v>2097.5096906665985</c:v>
                </c:pt>
                <c:pt idx="491">
                  <c:v>2102.5181933846507</c:v>
                </c:pt>
                <c:pt idx="492">
                  <c:v>2107.4118033594664</c:v>
                </c:pt>
                <c:pt idx="493">
                  <c:v>2112.1912259777473</c:v>
                </c:pt>
                <c:pt idx="494">
                  <c:v>2116.8571457537323</c:v>
                </c:pt>
                <c:pt idx="495">
                  <c:v>2121.410226810282</c:v>
                </c:pt>
                <c:pt idx="496">
                  <c:v>2125.8511133427241</c:v>
                </c:pt>
                <c:pt idx="497">
                  <c:v>2130.1804300662739</c:v>
                </c:pt>
                <c:pt idx="498">
                  <c:v>2134.3987826478397</c:v>
                </c:pt>
                <c:pt idx="499">
                  <c:v>2138.5067581229946</c:v>
                </c:pt>
                <c:pt idx="500">
                  <c:v>2142.5049252988888</c:v>
                </c:pt>
                <c:pt idx="501">
                  <c:v>2146.3938351438624</c:v>
                </c:pt>
                <c:pt idx="502">
                  <c:v>2150.1740211645179</c:v>
                </c:pt>
                <c:pt idx="503">
                  <c:v>2153.8459997710061</c:v>
                </c:pt>
                <c:pt idx="504">
                  <c:v>2157.4102706312883</c:v>
                </c:pt>
                <c:pt idx="505">
                  <c:v>2160.8673170151383</c:v>
                </c:pt>
                <c:pt idx="506">
                  <c:v>2164.2176061286723</c:v>
                </c:pt>
                <c:pt idx="507">
                  <c:v>2167.461589440205</c:v>
                </c:pt>
                <c:pt idx="508">
                  <c:v>2170.5997029982659</c:v>
                </c:pt>
                <c:pt idx="509">
                  <c:v>2173.6323677426335</c:v>
                </c:pt>
                <c:pt idx="510">
                  <c:v>2176.5599898092951</c:v>
                </c:pt>
                <c:pt idx="511">
                  <c:v>2179.3829608302826</c:v>
                </c:pt>
                <c:pt idx="512">
                  <c:v>2182.1016582293946</c:v>
                </c:pt>
                <c:pt idx="513">
                  <c:v>2184.71644551488</c:v>
                </c:pt>
                <c:pt idx="514">
                  <c:v>2187.2276725702386</c:v>
                </c:pt>
                <c:pt idx="515">
                  <c:v>2189.6356759443729</c:v>
                </c:pt>
                <c:pt idx="516">
                  <c:v>2191.9407791424287</c:v>
                </c:pt>
                <c:pt idx="517">
                  <c:v>2194.1432929187604</c:v>
                </c:pt>
                <c:pt idx="518">
                  <c:v>2196.2435155735784</c:v>
                </c:pt>
                <c:pt idx="519">
                  <c:v>2198.2417332549526</c:v>
                </c:pt>
                <c:pt idx="520">
                  <c:v>2200.1382202679761</c:v>
                </c:pt>
                <c:pt idx="521">
                  <c:v>2201.9332393930194</c:v>
                </c:pt>
                <c:pt idx="522">
                  <c:v>2203.6270422151415</c:v>
                </c:pt>
                <c:pt idx="523">
                  <c:v>2205.2198694668296</c:v>
                </c:pt>
                <c:pt idx="524">
                  <c:v>2206.7119513863536</c:v>
                </c:pt>
                <c:pt idx="525">
                  <c:v>2208.1035080940915</c:v>
                </c:pt>
                <c:pt idx="526">
                  <c:v>2209.3947499892201</c:v>
                </c:pt>
                <c:pt idx="527">
                  <c:v>2210.5858781691522</c:v>
                </c:pt>
                <c:pt idx="528">
                  <c:v>2211.6770848740157</c:v>
                </c:pt>
                <c:pt idx="529">
                  <c:v>2212.6685539583027</c:v>
                </c:pt>
                <c:pt idx="530">
                  <c:v>2213.5604613915507</c:v>
                </c:pt>
                <c:pt idx="531">
                  <c:v>2214.3529757895258</c:v>
                </c:pt>
                <c:pt idx="532">
                  <c:v>2215.0462589768704</c:v>
                </c:pt>
                <c:pt idx="533">
                  <c:v>2215.6404665815344</c:v>
                </c:pt>
                <c:pt idx="534">
                  <c:v>2216.1357486605439</c:v>
                </c:pt>
                <c:pt idx="535">
                  <c:v>2216.5322503557763</c:v>
                </c:pt>
                <c:pt idx="536">
                  <c:v>2216.8301125774638</c:v>
                </c:pt>
                <c:pt idx="537">
                  <c:v>2217.029472712145</c:v>
                </c:pt>
                <c:pt idx="538">
                  <c:v>2217.1304653508096</c:v>
                </c:pt>
                <c:pt idx="539">
                  <c:v>2217.1332230320722</c:v>
                </c:pt>
                <c:pt idx="540">
                  <c:v>2217.0378769944482</c:v>
                </c:pt>
                <c:pt idx="541">
                  <c:v>2216.8445579312311</c:v>
                </c:pt>
                <c:pt idx="542">
                  <c:v>2216.5533967411411</c:v>
                </c:pt>
                <c:pt idx="543">
                  <c:v>2216.1645252678532</c:v>
                </c:pt>
                <c:pt idx="544">
                  <c:v>2215.6780770217192</c:v>
                </c:pt>
                <c:pt idx="545">
                  <c:v>2215.0941878774706</c:v>
                </c:pt>
                <c:pt idx="546">
                  <c:v>2214.4129967423728</c:v>
                </c:pt>
                <c:pt idx="547">
                  <c:v>2213.6346461901558</c:v>
                </c:pt>
                <c:pt idx="548">
                  <c:v>2212.7592830570052</c:v>
                </c:pt>
                <c:pt idx="549">
                  <c:v>2211.7870589969002</c:v>
                </c:pt>
                <c:pt idx="550">
                  <c:v>2210.7181309945686</c:v>
                </c:pt>
                <c:pt idx="551">
                  <c:v>2209.5526618352569</c:v>
                </c:pt>
                <c:pt idx="552">
                  <c:v>2208.290820531332</c:v>
                </c:pt>
                <c:pt idx="553">
                  <c:v>2206.932782706434</c:v>
                </c:pt>
                <c:pt idx="554">
                  <c:v>2205.4787309384715</c:v>
                </c:pt>
                <c:pt idx="555">
                  <c:v>2203.9288550631786</c:v>
                </c:pt>
                <c:pt idx="556">
                  <c:v>2202.2833524402749</c:v>
                </c:pt>
                <c:pt idx="557">
                  <c:v>2200.5424281844612</c:v>
                </c:pt>
                <c:pt idx="558">
                  <c:v>2198.7062953636009</c:v>
                </c:pt>
                <c:pt idx="559">
                  <c:v>2196.7751751664564</c:v>
                </c:pt>
                <c:pt idx="560">
                  <c:v>2194.7492970423232</c:v>
                </c:pt>
                <c:pt idx="561">
                  <c:v>2192.6288988148308</c:v>
                </c:pt>
                <c:pt idx="562">
                  <c:v>2190.4142267720649</c:v>
                </c:pt>
                <c:pt idx="563">
                  <c:v>2188.1055357350438</c:v>
                </c:pt>
                <c:pt idx="564">
                  <c:v>2185.7030891064337</c:v>
                </c:pt>
                <c:pt idx="565">
                  <c:v>2183.2071589012512</c:v>
                </c:pt>
                <c:pt idx="566">
                  <c:v>2180.6180257611481</c:v>
                </c:pt>
                <c:pt idx="567">
                  <c:v>2177.9359789537421</c:v>
                </c:pt>
                <c:pt idx="568">
                  <c:v>2175.1613163583147</c:v>
                </c:pt>
                <c:pt idx="569">
                  <c:v>2172.2943444390821</c:v>
                </c:pt>
                <c:pt idx="570">
                  <c:v>2169.3353782071231</c:v>
                </c:pt>
                <c:pt idx="571">
                  <c:v>2166.2847411719417</c:v>
                </c:pt>
                <c:pt idx="572">
                  <c:v>2163.1427652835564</c:v>
                </c:pt>
                <c:pt idx="573">
                  <c:v>2159.9097908659051</c:v>
                </c:pt>
                <c:pt idx="574">
                  <c:v>2156.5861665422931</c:v>
                </c:pt>
                <c:pt idx="575">
                  <c:v>2153.1722491535315</c:v>
                </c:pt>
                <c:pt idx="576">
                  <c:v>2149.668403669355</c:v>
                </c:pt>
                <c:pt idx="577">
                  <c:v>2146.0750030936524</c:v>
                </c:pt>
                <c:pt idx="578">
                  <c:v>2142.3924283639967</c:v>
                </c:pt>
                <c:pt idx="579">
                  <c:v>2138.6210682459127</c:v>
                </c:pt>
                <c:pt idx="580">
                  <c:v>2134.7613192222884</c:v>
                </c:pt>
                <c:pt idx="581">
                  <c:v>2130.8135853782978</c:v>
                </c:pt>
                <c:pt idx="582">
                  <c:v>2126.7782782821741</c:v>
                </c:pt>
                <c:pt idx="583">
                  <c:v>2122.6558168621482</c:v>
                </c:pt>
                <c:pt idx="584">
                  <c:v>2118.4466272798381</c:v>
                </c:pt>
                <c:pt idx="585">
                  <c:v>2114.1511428003619</c:v>
                </c:pt>
                <c:pt idx="586">
                  <c:v>2109.769803659422</c:v>
                </c:pt>
                <c:pt idx="587">
                  <c:v>2105.3030569275948</c:v>
                </c:pt>
                <c:pt idx="588">
                  <c:v>2100.7513563720458</c:v>
                </c:pt>
                <c:pt idx="589">
                  <c:v>2096.1151623158785</c:v>
                </c:pt>
                <c:pt idx="590">
                  <c:v>2091.3949414953058</c:v>
                </c:pt>
                <c:pt idx="591">
                  <c:v>2086.5911669148377</c:v>
                </c:pt>
                <c:pt idx="592">
                  <c:v>2081.7043177006531</c:v>
                </c:pt>
                <c:pt idx="593">
                  <c:v>2076.7348789523248</c:v>
                </c:pt>
                <c:pt idx="594">
                  <c:v>2071.683341593061</c:v>
                </c:pt>
                <c:pt idx="595">
                  <c:v>2066.5502022186101</c:v>
                </c:pt>
                <c:pt idx="596">
                  <c:v>2061.3359629449792</c:v>
                </c:pt>
                <c:pt idx="597">
                  <c:v>2056.0411312551059</c:v>
                </c:pt>
                <c:pt idx="598">
                  <c:v>2050.6662198446188</c:v>
                </c:pt>
                <c:pt idx="599">
                  <c:v>2045.2117464668172</c:v>
                </c:pt>
                <c:pt idx="600">
                  <c:v>2039.6782337769962</c:v>
                </c:pt>
                <c:pt idx="601">
                  <c:v>2034.0662091762392</c:v>
                </c:pt>
                <c:pt idx="602">
                  <c:v>2028.3762046547956</c:v>
                </c:pt>
                <c:pt idx="603">
                  <c:v>2022.6087566351584</c:v>
                </c:pt>
                <c:pt idx="604">
                  <c:v>2016.7644058149508</c:v>
                </c:pt>
                <c:pt idx="605">
                  <c:v>2010.8436970097312</c:v>
                </c:pt>
                <c:pt idx="606">
                  <c:v>2004.8471789958194</c:v>
                </c:pt>
                <c:pt idx="607">
                  <c:v>1998.7754043532445</c:v>
                </c:pt>
                <c:pt idx="608">
                  <c:v>1992.6289293089146</c:v>
                </c:pt>
                <c:pt idx="609">
                  <c:v>1986.4083135800995</c:v>
                </c:pt>
                <c:pt idx="610">
                  <c:v>1980.1141202183233</c:v>
                </c:pt>
                <c:pt idx="611">
                  <c:v>1973.7469154537525</c:v>
                </c:pt>
                <c:pt idx="612">
                  <c:v>1967.3072685401694</c:v>
                </c:pt>
                <c:pt idx="613">
                  <c:v>1960.7957516006111</c:v>
                </c:pt>
                <c:pt idx="614">
                  <c:v>1954.2129394737599</c:v>
                </c:pt>
                <c:pt idx="615">
                  <c:v>1947.5594095611611</c:v>
                </c:pt>
                <c:pt idx="616">
                  <c:v>1940.8357416753461</c:v>
                </c:pt>
                <c:pt idx="617">
                  <c:v>1934.0425178889332</c:v>
                </c:pt>
                <c:pt idx="618">
                  <c:v>1927.1803223847789</c:v>
                </c:pt>
                <c:pt idx="619">
                  <c:v>1920.2497413072488</c:v>
                </c:pt>
                <c:pt idx="620">
                  <c:v>1913.2513626146729</c:v>
                </c:pt>
                <c:pt idx="621">
                  <c:v>1906.1857759330514</c:v>
                </c:pt>
                <c:pt idx="622">
                  <c:v>1899.0535724110719</c:v>
                </c:pt>
                <c:pt idx="623">
                  <c:v>1891.8553445764965</c:v>
                </c:pt>
                <c:pt idx="624">
                  <c:v>1884.5916861939779</c:v>
                </c:pt>
                <c:pt idx="625">
                  <c:v>1877.2631921243571</c:v>
                </c:pt>
                <c:pt idx="626">
                  <c:v>1869.8704581854963</c:v>
                </c:pt>
                <c:pt idx="627">
                  <c:v>1862.4140810146964</c:v>
                </c:pt>
                <c:pt idx="628">
                  <c:v>1854.894657932748</c:v>
                </c:pt>
                <c:pt idx="629">
                  <c:v>1847.3127868096601</c:v>
                </c:pt>
                <c:pt idx="630">
                  <c:v>1839.6690659321096</c:v>
                </c:pt>
                <c:pt idx="631">
                  <c:v>1831.964093872655</c:v>
                </c:pt>
                <c:pt idx="632">
                  <c:v>1824.198469360751</c:v>
                </c:pt>
                <c:pt idx="633">
                  <c:v>1816.3727911556005</c:v>
                </c:pt>
                <c:pt idx="634">
                  <c:v>1808.4876579208806</c:v>
                </c:pt>
                <c:pt idx="635">
                  <c:v>1800.5436681013739</c:v>
                </c:pt>
                <c:pt idx="636">
                  <c:v>1792.5414198015346</c:v>
                </c:pt>
                <c:pt idx="637">
                  <c:v>1784.4815106660196</c:v>
                </c:pt>
                <c:pt idx="638">
                  <c:v>1776.3645377622092</c:v>
                </c:pt>
                <c:pt idx="639">
                  <c:v>1768.1910974647424</c:v>
                </c:pt>
                <c:pt idx="640">
                  <c:v>1759.9617853420893</c:v>
                </c:pt>
                <c:pt idx="641">
                  <c:v>1751.6771960451813</c:v>
                </c:pt>
                <c:pt idx="642">
                  <c:v>1743.3379231981155</c:v>
                </c:pt>
                <c:pt idx="643">
                  <c:v>1734.9445592909524</c:v>
                </c:pt>
                <c:pt idx="644">
                  <c:v>1726.4976955746201</c:v>
                </c:pt>
                <c:pt idx="645">
                  <c:v>1717.9979219579384</c:v>
                </c:pt>
                <c:pt idx="646">
                  <c:v>1709.4458269067741</c:v>
                </c:pt>
                <c:pt idx="647">
                  <c:v>1700.841997345336</c:v>
                </c:pt>
                <c:pt idx="648">
                  <c:v>1692.1870185596188</c:v>
                </c:pt>
                <c:pt idx="649">
                  <c:v>1683.4814741030004</c:v>
                </c:pt>
                <c:pt idx="650">
                  <c:v>1674.7259457039988</c:v>
                </c:pt>
                <c:pt idx="651">
                  <c:v>1665.9210131761888</c:v>
                </c:pt>
                <c:pt idx="652">
                  <c:v>1657.0672543302828</c:v>
                </c:pt>
                <c:pt idx="653">
                  <c:v>1648.1652448883738</c:v>
                </c:pt>
                <c:pt idx="654">
                  <c:v>1639.2155584003383</c:v>
                </c:pt>
                <c:pt idx="655">
                  <c:v>1630.2187661623989</c:v>
                </c:pt>
                <c:pt idx="656">
                  <c:v>1621.1754371378386</c:v>
                </c:pt>
                <c:pt idx="657">
                  <c:v>1612.0861378798629</c:v>
                </c:pt>
                <c:pt idx="658">
                  <c:v>1602.9514324566037</c:v>
                </c:pt>
                <c:pt idx="659">
                  <c:v>1593.7718823782534</c:v>
                </c:pt>
                <c:pt idx="660">
                  <c:v>1584.5480465263231</c:v>
                </c:pt>
                <c:pt idx="661">
                  <c:v>1575.2804810850125</c:v>
                </c:pt>
                <c:pt idx="662">
                  <c:v>1565.969739474679</c:v>
                </c:pt>
                <c:pt idx="663">
                  <c:v>1556.6163722873953</c:v>
                </c:pt>
                <c:pt idx="664">
                  <c:v>1547.2209272245789</c:v>
                </c:pt>
                <c:pt idx="665">
                  <c:v>1537.7839490366807</c:v>
                </c:pt>
                <c:pt idx="666">
                  <c:v>1528.3059794649159</c:v>
                </c:pt>
                <c:pt idx="667">
                  <c:v>1518.7875571850195</c:v>
                </c:pt>
                <c:pt idx="668">
                  <c:v>1509.2292177530103</c:v>
                </c:pt>
                <c:pt idx="669">
                  <c:v>1499.6314935529442</c:v>
                </c:pt>
                <c:pt idx="670">
                  <c:v>1489.9949137466363</c:v>
                </c:pt>
                <c:pt idx="671">
                  <c:v>1480.3200042253338</c:v>
                </c:pt>
                <c:pt idx="672">
                  <c:v>1470.6072875633167</c:v>
                </c:pt>
                <c:pt idx="673">
                  <c:v>1460.8572829734062</c:v>
                </c:pt>
                <c:pt idx="674">
                  <c:v>1451.0705062643578</c:v>
                </c:pt>
                <c:pt idx="675">
                  <c:v>1441.2474698001176</c:v>
                </c:pt>
                <c:pt idx="676">
                  <c:v>1431.388682460916</c:v>
                </c:pt>
                <c:pt idx="677">
                  <c:v>1421.4946496061775</c:v>
                </c:pt>
                <c:pt idx="678">
                  <c:v>1411.5658730392202</c:v>
                </c:pt>
                <c:pt idx="679">
                  <c:v>1401.6028509737214</c:v>
                </c:pt>
                <c:pt idx="680">
                  <c:v>1391.6060780019238</c:v>
                </c:pt>
                <c:pt idx="681">
                  <c:v>1381.5760450645555</c:v>
                </c:pt>
                <c:pt idx="682">
                  <c:v>1371.513239422439</c:v>
                </c:pt>
                <c:pt idx="683">
                  <c:v>1361.4181446297625</c:v>
                </c:pt>
                <c:pt idx="684">
                  <c:v>1351.2912405089862</c:v>
                </c:pt>
                <c:pt idx="685">
                  <c:v>1341.1330031273567</c:v>
                </c:pt>
                <c:pt idx="686">
                  <c:v>1330.9439047750034</c:v>
                </c:pt>
                <c:pt idx="687">
                  <c:v>1320.7244139445872</c:v>
                </c:pt>
                <c:pt idx="688">
                  <c:v>1310.4749953124772</c:v>
                </c:pt>
                <c:pt idx="689">
                  <c:v>1300.196109721423</c:v>
                </c:pt>
                <c:pt idx="690">
                  <c:v>1289.8882141646998</c:v>
                </c:pt>
                <c:pt idx="691">
                  <c:v>1279.5517617716939</c:v>
                </c:pt>
                <c:pt idx="692">
                  <c:v>1269.1872017949033</c:v>
                </c:pt>
                <c:pt idx="693">
                  <c:v>1258.7949795983232</c:v>
                </c:pt>
                <c:pt idx="694">
                  <c:v>1248.3755366471901</c:v>
                </c:pt>
                <c:pt idx="695">
                  <c:v>1237.9293104990545</c:v>
                </c:pt>
                <c:pt idx="696">
                  <c:v>1227.4567347961554</c:v>
                </c:pt>
                <c:pt idx="697">
                  <c:v>1216.9582392590676</c:v>
                </c:pt>
                <c:pt idx="698">
                  <c:v>1206.434249681593</c:v>
                </c:pt>
                <c:pt idx="699">
                  <c:v>1195.88518792687</c:v>
                </c:pt>
                <c:pt idx="700">
                  <c:v>1185.3114719246703</c:v>
                </c:pt>
                <c:pt idx="701">
                  <c:v>1174.7135156698575</c:v>
                </c:pt>
                <c:pt idx="702">
                  <c:v>1164.0917292219785</c:v>
                </c:pt>
                <c:pt idx="703">
                  <c:v>1153.44651870596</c:v>
                </c:pt>
                <c:pt idx="704">
                  <c:v>1142.778286313883</c:v>
                </c:pt>
                <c:pt idx="705">
                  <c:v>1132.0874303078085</c:v>
                </c:pt>
                <c:pt idx="706">
                  <c:v>1121.374345023627</c:v>
                </c:pt>
                <c:pt idx="707">
                  <c:v>1110.6394208759036</c:v>
                </c:pt>
                <c:pt idx="708">
                  <c:v>1099.8830443636939</c:v>
                </c:pt>
                <c:pt idx="709">
                  <c:v>1089.1055980773033</c:v>
                </c:pt>
                <c:pt idx="710">
                  <c:v>1078.3074607059639</c:v>
                </c:pt>
                <c:pt idx="711">
                  <c:v>1067.4890070464021</c:v>
                </c:pt>
                <c:pt idx="712">
                  <c:v>1056.6506080122722</c:v>
                </c:pt>
                <c:pt idx="713">
                  <c:v>1045.7926306444301</c:v>
                </c:pt>
                <c:pt idx="714">
                  <c:v>1034.9154381220224</c:v>
                </c:pt>
                <c:pt idx="715">
                  <c:v>1024.0193897743645</c:v>
                </c:pt>
                <c:pt idx="716">
                  <c:v>1013.1048410935863</c:v>
                </c:pt>
                <c:pt idx="717">
                  <c:v>1002.1721437480164</c:v>
                </c:pt>
                <c:pt idx="718">
                  <c:v>991.22164559628607</c:v>
                </c:pt>
                <c:pt idx="719">
                  <c:v>980.25369070212548</c:v>
                </c:pt>
                <c:pt idx="720">
                  <c:v>969.26861934983071</c:v>
                </c:pt>
                <c:pt idx="721">
                  <c:v>958.26676806037767</c:v>
                </c:pt>
                <c:pt idx="722">
                  <c:v>947.24846960816126</c:v>
                </c:pt>
                <c:pt idx="723">
                  <c:v>936.21405303833637</c:v>
                </c:pt>
                <c:pt idx="724">
                  <c:v>925.16384368473905</c:v>
                </c:pt>
                <c:pt idx="725">
                  <c:v>914.09816318836693</c:v>
                </c:pt>
                <c:pt idx="726">
                  <c:v>903.01732951639644</c:v>
                </c:pt>
                <c:pt idx="727">
                  <c:v>891.92165698171675</c:v>
                </c:pt>
                <c:pt idx="728">
                  <c:v>880.81145626295938</c:v>
                </c:pt>
                <c:pt idx="729">
                  <c:v>869.68703442500339</c:v>
                </c:pt>
                <c:pt idx="730">
                  <c:v>858.54869493993635</c:v>
                </c:pt>
                <c:pt idx="731">
                  <c:v>847.39673770845184</c:v>
                </c:pt>
                <c:pt idx="732">
                  <c:v>836.23145908166305</c:v>
                </c:pt>
                <c:pt idx="733">
                  <c:v>825.05315188331565</c:v>
                </c:pt>
                <c:pt idx="734">
                  <c:v>813.86210543237974</c:v>
                </c:pt>
                <c:pt idx="735">
                  <c:v>802.65860556600387</c:v>
                </c:pt>
                <c:pt idx="736">
                  <c:v>791.44293466281283</c:v>
                </c:pt>
                <c:pt idx="737">
                  <c:v>780.21537166653229</c:v>
                </c:pt>
                <c:pt idx="738">
                  <c:v>768.97619210992286</c:v>
                </c:pt>
                <c:pt idx="739">
                  <c:v>757.72566813900721</c:v>
                </c:pt>
                <c:pt idx="740">
                  <c:v>746.46406853757378</c:v>
                </c:pt>
                <c:pt idx="741">
                  <c:v>735.19165875194153</c:v>
                </c:pt>
                <c:pt idx="742">
                  <c:v>723.90870091596958</c:v>
                </c:pt>
                <c:pt idx="743">
                  <c:v>712.6154538762969</c:v>
                </c:pt>
                <c:pt idx="744">
                  <c:v>701.31217321779684</c:v>
                </c:pt>
                <c:pt idx="745">
                  <c:v>689.9991112892327</c:v>
                </c:pt>
                <c:pt idx="746">
                  <c:v>678.67651722909886</c:v>
                </c:pt>
                <c:pt idx="747">
                  <c:v>667.34463699163518</c:v>
                </c:pt>
                <c:pt idx="748">
                  <c:v>656.00371337299941</c:v>
                </c:pt>
                <c:pt idx="749">
                  <c:v>644.65398603758626</c:v>
                </c:pt>
                <c:pt idx="750">
                  <c:v>633.29569154447881</c:v>
                </c:pt>
                <c:pt idx="751">
                  <c:v>621.9290633740203</c:v>
                </c:pt>
                <c:pt idx="752">
                  <c:v>610.55433195449416</c:v>
                </c:pt>
                <c:pt idx="753">
                  <c:v>599.17172468890055</c:v>
                </c:pt>
                <c:pt idx="754">
                  <c:v>587.78146598181695</c:v>
                </c:pt>
                <c:pt idx="755">
                  <c:v>576.38377726633303</c:v>
                </c:pt>
                <c:pt idx="756">
                  <c:v>564.97887703104698</c:v>
                </c:pt>
                <c:pt idx="757">
                  <c:v>553.56698084711479</c:v>
                </c:pt>
                <c:pt idx="758">
                  <c:v>542.1483013953399</c:v>
                </c:pt>
                <c:pt idx="759">
                  <c:v>530.72304849329532</c:v>
                </c:pt>
                <c:pt idx="760">
                  <c:v>519.29142912246664</c:v>
                </c:pt>
                <c:pt idx="761">
                  <c:v>507.85364745540755</c:v>
                </c:pt>
                <c:pt idx="762">
                  <c:v>496.40990488289839</c:v>
                </c:pt>
                <c:pt idx="763">
                  <c:v>484.96040004109875</c:v>
                </c:pt>
                <c:pt idx="764">
                  <c:v>473.5053288386855</c:v>
                </c:pt>
                <c:pt idx="765">
                  <c:v>462.04488448396808</c:v>
                </c:pt>
                <c:pt idx="766">
                  <c:v>450.57925751197246</c:v>
                </c:pt>
                <c:pt idx="767">
                  <c:v>439.10863581148664</c:v>
                </c:pt>
                <c:pt idx="768">
                  <c:v>427.63320465205942</c:v>
                </c:pt>
                <c:pt idx="769">
                  <c:v>416.15314671094569</c:v>
                </c:pt>
                <c:pt idx="770">
                  <c:v>404.66864209999051</c:v>
                </c:pt>
                <c:pt idx="771">
                  <c:v>393.17986839244577</c:v>
                </c:pt>
                <c:pt idx="772">
                  <c:v>381.68700064971256</c:v>
                </c:pt>
                <c:pt idx="773">
                  <c:v>370.19021144800274</c:v>
                </c:pt>
                <c:pt idx="774">
                  <c:v>358.68967090491378</c:v>
                </c:pt>
                <c:pt idx="775">
                  <c:v>347.18554670591095</c:v>
                </c:pt>
                <c:pt idx="776">
                  <c:v>335.67800413071092</c:v>
                </c:pt>
                <c:pt idx="777">
                  <c:v>324.16720607956154</c:v>
                </c:pt>
                <c:pt idx="778">
                  <c:v>312.65331309941246</c:v>
                </c:pt>
                <c:pt idx="779">
                  <c:v>301.13648340997167</c:v>
                </c:pt>
                <c:pt idx="780">
                  <c:v>289.61687292964257</c:v>
                </c:pt>
                <c:pt idx="781">
                  <c:v>278.09463530133769</c:v>
                </c:pt>
                <c:pt idx="782">
                  <c:v>266.56992191816386</c:v>
                </c:pt>
                <c:pt idx="783">
                  <c:v>255.04288194897509</c:v>
                </c:pt>
                <c:pt idx="784">
                  <c:v>243.51366236378882</c:v>
                </c:pt>
                <c:pt idx="785">
                  <c:v>231.9824079590615</c:v>
                </c:pt>
                <c:pt idx="786">
                  <c:v>220.44926138282011</c:v>
                </c:pt>
                <c:pt idx="787">
                  <c:v>208.91436315964575</c:v>
                </c:pt>
                <c:pt idx="788">
                  <c:v>197.37785171550604</c:v>
                </c:pt>
                <c:pt idx="789">
                  <c:v>185.83986340243317</c:v>
                </c:pt>
                <c:pt idx="790">
                  <c:v>174.30053252304421</c:v>
                </c:pt>
                <c:pt idx="791">
                  <c:v>162.7599913549013</c:v>
                </c:pt>
                <c:pt idx="792">
                  <c:v>151.21837017470838</c:v>
                </c:pt>
                <c:pt idx="793">
                  <c:v>139.6757972823423</c:v>
                </c:pt>
                <c:pt idx="794">
                  <c:v>128.13239902471554</c:v>
                </c:pt>
                <c:pt idx="795">
                  <c:v>116.58829981946835</c:v>
                </c:pt>
                <c:pt idx="796">
                  <c:v>105.04362217848822</c:v>
                </c:pt>
                <c:pt idx="797">
                  <c:v>93.498486731254374</c:v>
                </c:pt>
                <c:pt idx="798">
                  <c:v>81.953012248005535</c:v>
                </c:pt>
                <c:pt idx="799">
                  <c:v>70.407315662729161</c:v>
                </c:pt>
                <c:pt idx="800">
                  <c:v>58.861512095970397</c:v>
                </c:pt>
                <c:pt idx="801">
                  <c:v>47.315714877459257</c:v>
                </c:pt>
                <c:pt idx="802">
                  <c:v>35.770035568554562</c:v>
                </c:pt>
                <c:pt idx="803">
                  <c:v>24.224583984503333</c:v>
                </c:pt>
                <c:pt idx="804">
                  <c:v>12.679468216514387</c:v>
                </c:pt>
                <c:pt idx="805">
                  <c:v>1.1347946536450735</c:v>
                </c:pt>
                <c:pt idx="806">
                  <c:v>-10.409331995499883</c:v>
                </c:pt>
                <c:pt idx="807">
                  <c:v>-10.420875822373183</c:v>
                </c:pt>
                <c:pt idx="808">
                  <c:v>-10.432419648545357</c:v>
                </c:pt>
                <c:pt idx="809">
                  <c:v>-10.443963474016304</c:v>
                </c:pt>
                <c:pt idx="810">
                  <c:v>-10.455507298785923</c:v>
                </c:pt>
                <c:pt idx="811">
                  <c:v>-10.467051122854114</c:v>
                </c:pt>
                <c:pt idx="812">
                  <c:v>-10.478594946220776</c:v>
                </c:pt>
                <c:pt idx="813">
                  <c:v>-10.490138768885808</c:v>
                </c:pt>
                <c:pt idx="814">
                  <c:v>-10.501682590849112</c:v>
                </c:pt>
                <c:pt idx="815">
                  <c:v>-10.513226412110585</c:v>
                </c:pt>
                <c:pt idx="816">
                  <c:v>-10.524770232670127</c:v>
                </c:pt>
                <c:pt idx="817">
                  <c:v>-10.536314052527638</c:v>
                </c:pt>
                <c:pt idx="818">
                  <c:v>-10.547857871683018</c:v>
                </c:pt>
                <c:pt idx="819">
                  <c:v>-10.559401690136164</c:v>
                </c:pt>
                <c:pt idx="820">
                  <c:v>-10.570945507886979</c:v>
                </c:pt>
                <c:pt idx="821">
                  <c:v>-10.582489324935359</c:v>
                </c:pt>
                <c:pt idx="822">
                  <c:v>-10.594033141281207</c:v>
                </c:pt>
                <c:pt idx="823">
                  <c:v>-10.60557695692442</c:v>
                </c:pt>
                <c:pt idx="824">
                  <c:v>-10.617120771864897</c:v>
                </c:pt>
                <c:pt idx="825">
                  <c:v>-10.62866458610254</c:v>
                </c:pt>
                <c:pt idx="826">
                  <c:v>-10.640208399637245</c:v>
                </c:pt>
                <c:pt idx="827">
                  <c:v>-10.651752212468915</c:v>
                </c:pt>
                <c:pt idx="828">
                  <c:v>-10.663296024597448</c:v>
                </c:pt>
                <c:pt idx="829">
                  <c:v>-10.674839836022743</c:v>
                </c:pt>
                <c:pt idx="830">
                  <c:v>-10.6863836467447</c:v>
                </c:pt>
                <c:pt idx="831">
                  <c:v>-10.697927456763217</c:v>
                </c:pt>
                <c:pt idx="832">
                  <c:v>-10.709471266078197</c:v>
                </c:pt>
                <c:pt idx="833">
                  <c:v>-10.721015074689536</c:v>
                </c:pt>
                <c:pt idx="834">
                  <c:v>-10.732558882597136</c:v>
                </c:pt>
                <c:pt idx="835">
                  <c:v>-10.744102689800895</c:v>
                </c:pt>
                <c:pt idx="836">
                  <c:v>-10.755646496300713</c:v>
                </c:pt>
                <c:pt idx="837">
                  <c:v>-10.767190302096489</c:v>
                </c:pt>
                <c:pt idx="838">
                  <c:v>-10.778734107188123</c:v>
                </c:pt>
                <c:pt idx="839">
                  <c:v>-10.790277911575515</c:v>
                </c:pt>
                <c:pt idx="840">
                  <c:v>-10.801821715258564</c:v>
                </c:pt>
                <c:pt idx="841">
                  <c:v>-10.81336551823717</c:v>
                </c:pt>
                <c:pt idx="842">
                  <c:v>-10.824909320511232</c:v>
                </c:pt>
                <c:pt idx="843">
                  <c:v>-10.836453122080648</c:v>
                </c:pt>
                <c:pt idx="844">
                  <c:v>-10.84799692294532</c:v>
                </c:pt>
                <c:pt idx="845">
                  <c:v>-10.859540723105146</c:v>
                </c:pt>
                <c:pt idx="846">
                  <c:v>-10.871084522560027</c:v>
                </c:pt>
                <c:pt idx="847">
                  <c:v>-10.882628321309861</c:v>
                </c:pt>
                <c:pt idx="848">
                  <c:v>-10.894172119354549</c:v>
                </c:pt>
                <c:pt idx="849">
                  <c:v>-10.905715916693989</c:v>
                </c:pt>
                <c:pt idx="850">
                  <c:v>-10.917259713328081</c:v>
                </c:pt>
                <c:pt idx="851">
                  <c:v>-10.928803509256724</c:v>
                </c:pt>
                <c:pt idx="852">
                  <c:v>-10.940347304479818</c:v>
                </c:pt>
                <c:pt idx="853">
                  <c:v>-10.951891098997264</c:v>
                </c:pt>
                <c:pt idx="854">
                  <c:v>-10.963434892808959</c:v>
                </c:pt>
                <c:pt idx="855">
                  <c:v>-10.974978685914804</c:v>
                </c:pt>
                <c:pt idx="856">
                  <c:v>-10.986522478314699</c:v>
                </c:pt>
                <c:pt idx="857">
                  <c:v>-10.998066270008541</c:v>
                </c:pt>
                <c:pt idx="858">
                  <c:v>-11.009610060996232</c:v>
                </c:pt>
                <c:pt idx="859">
                  <c:v>-11.021153851277672</c:v>
                </c:pt>
                <c:pt idx="860">
                  <c:v>-11.032697640852758</c:v>
                </c:pt>
                <c:pt idx="861">
                  <c:v>-11.044241429721392</c:v>
                </c:pt>
                <c:pt idx="862">
                  <c:v>-11.055785217883471</c:v>
                </c:pt>
                <c:pt idx="863">
                  <c:v>-11.067329005338898</c:v>
                </c:pt>
                <c:pt idx="864">
                  <c:v>-11.078872792087569</c:v>
                </c:pt>
                <c:pt idx="865">
                  <c:v>-11.090416578129386</c:v>
                </c:pt>
                <c:pt idx="866">
                  <c:v>-11.101960363464247</c:v>
                </c:pt>
                <c:pt idx="867">
                  <c:v>-11.113504148092053</c:v>
                </c:pt>
                <c:pt idx="868">
                  <c:v>-11.125047932012702</c:v>
                </c:pt>
                <c:pt idx="869">
                  <c:v>-11.136591715226094</c:v>
                </c:pt>
                <c:pt idx="870">
                  <c:v>-11.148135497732129</c:v>
                </c:pt>
                <c:pt idx="871">
                  <c:v>-11.159679279530707</c:v>
                </c:pt>
                <c:pt idx="872">
                  <c:v>-11.171223060621728</c:v>
                </c:pt>
                <c:pt idx="873">
                  <c:v>-11.182766841005089</c:v>
                </c:pt>
                <c:pt idx="874">
                  <c:v>-11.194310620680691</c:v>
                </c:pt>
                <c:pt idx="875">
                  <c:v>-11.205854399648434</c:v>
                </c:pt>
                <c:pt idx="876">
                  <c:v>-11.217398177908217</c:v>
                </c:pt>
                <c:pt idx="877">
                  <c:v>-11.228941955459941</c:v>
                </c:pt>
                <c:pt idx="878">
                  <c:v>-11.240485732303505</c:v>
                </c:pt>
                <c:pt idx="879">
                  <c:v>-11.252029508438806</c:v>
                </c:pt>
                <c:pt idx="880">
                  <c:v>-11.263573283865746</c:v>
                </c:pt>
                <c:pt idx="881">
                  <c:v>-11.275117058584224</c:v>
                </c:pt>
                <c:pt idx="882">
                  <c:v>-11.286660832594139</c:v>
                </c:pt>
                <c:pt idx="883">
                  <c:v>-11.298204605895391</c:v>
                </c:pt>
                <c:pt idx="884">
                  <c:v>-11.30974837848788</c:v>
                </c:pt>
                <c:pt idx="885">
                  <c:v>-11.321292150371507</c:v>
                </c:pt>
                <c:pt idx="886">
                  <c:v>-11.332835921546168</c:v>
                </c:pt>
                <c:pt idx="887">
                  <c:v>-11.344379692011765</c:v>
                </c:pt>
                <c:pt idx="888">
                  <c:v>-11.355923461768198</c:v>
                </c:pt>
                <c:pt idx="889">
                  <c:v>-11.367467230815365</c:v>
                </c:pt>
                <c:pt idx="890">
                  <c:v>-11.379010999153166</c:v>
                </c:pt>
                <c:pt idx="891">
                  <c:v>-11.390554766781502</c:v>
                </c:pt>
                <c:pt idx="892">
                  <c:v>-11.40209853370027</c:v>
                </c:pt>
                <c:pt idx="893">
                  <c:v>-11.413642299909371</c:v>
                </c:pt>
                <c:pt idx="894">
                  <c:v>-11.425186065408706</c:v>
                </c:pt>
                <c:pt idx="895">
                  <c:v>-11.436729830198173</c:v>
                </c:pt>
                <c:pt idx="896">
                  <c:v>-11.448273594277671</c:v>
                </c:pt>
                <c:pt idx="897">
                  <c:v>-11.459817357647101</c:v>
                </c:pt>
                <c:pt idx="898">
                  <c:v>-11.471361120306362</c:v>
                </c:pt>
                <c:pt idx="899">
                  <c:v>-11.482904882255353</c:v>
                </c:pt>
                <c:pt idx="900">
                  <c:v>-11.494448643493975</c:v>
                </c:pt>
                <c:pt idx="901">
                  <c:v>-11.505992404022127</c:v>
                </c:pt>
                <c:pt idx="902">
                  <c:v>-11.517536163839708</c:v>
                </c:pt>
                <c:pt idx="903">
                  <c:v>-11.529079922946618</c:v>
                </c:pt>
                <c:pt idx="904">
                  <c:v>-11.540623681342757</c:v>
                </c:pt>
                <c:pt idx="905">
                  <c:v>-11.552167439028024</c:v>
                </c:pt>
                <c:pt idx="906">
                  <c:v>-11.563711196002318</c:v>
                </c:pt>
                <c:pt idx="907">
                  <c:v>-11.57525495226554</c:v>
                </c:pt>
                <c:pt idx="908">
                  <c:v>-11.586798707817589</c:v>
                </c:pt>
                <c:pt idx="909">
                  <c:v>-11.598342462658366</c:v>
                </c:pt>
                <c:pt idx="910">
                  <c:v>-11.609886216787768</c:v>
                </c:pt>
                <c:pt idx="911">
                  <c:v>-11.621429970205696</c:v>
                </c:pt>
                <c:pt idx="912">
                  <c:v>-11.63297372291205</c:v>
                </c:pt>
                <c:pt idx="913">
                  <c:v>-11.64451747490673</c:v>
                </c:pt>
                <c:pt idx="914">
                  <c:v>-11.656061226189633</c:v>
                </c:pt>
                <c:pt idx="915">
                  <c:v>-11.667604976760662</c:v>
                </c:pt>
                <c:pt idx="916">
                  <c:v>-11.679148726619715</c:v>
                </c:pt>
                <c:pt idx="917">
                  <c:v>-11.69069247576669</c:v>
                </c:pt>
                <c:pt idx="918">
                  <c:v>-11.70223622420149</c:v>
                </c:pt>
                <c:pt idx="919">
                  <c:v>-11.713779971924012</c:v>
                </c:pt>
                <c:pt idx="920">
                  <c:v>-11.725323718934156</c:v>
                </c:pt>
                <c:pt idx="921">
                  <c:v>-11.736867465231823</c:v>
                </c:pt>
                <c:pt idx="922">
                  <c:v>-11.748411210816911</c:v>
                </c:pt>
                <c:pt idx="923">
                  <c:v>-11.759954955689322</c:v>
                </c:pt>
                <c:pt idx="924">
                  <c:v>-11.771498699848953</c:v>
                </c:pt>
                <c:pt idx="925">
                  <c:v>-11.783042443295706</c:v>
                </c:pt>
                <c:pt idx="926">
                  <c:v>-11.794586186029479</c:v>
                </c:pt>
                <c:pt idx="927">
                  <c:v>-11.806129928050172</c:v>
                </c:pt>
                <c:pt idx="928">
                  <c:v>-11.817673669357685</c:v>
                </c:pt>
                <c:pt idx="929">
                  <c:v>-11.829217409951916</c:v>
                </c:pt>
                <c:pt idx="930">
                  <c:v>-11.840761149832767</c:v>
                </c:pt>
                <c:pt idx="931">
                  <c:v>-11.852304889000136</c:v>
                </c:pt>
                <c:pt idx="932">
                  <c:v>-11.863848627453924</c:v>
                </c:pt>
                <c:pt idx="933">
                  <c:v>-11.875392365194029</c:v>
                </c:pt>
                <c:pt idx="934">
                  <c:v>-11.886936102220353</c:v>
                </c:pt>
                <c:pt idx="935">
                  <c:v>-11.898479838532793</c:v>
                </c:pt>
                <c:pt idx="936">
                  <c:v>-11.910023574131252</c:v>
                </c:pt>
                <c:pt idx="937">
                  <c:v>-11.921567309015625</c:v>
                </c:pt>
                <c:pt idx="938">
                  <c:v>-11.933111043185816</c:v>
                </c:pt>
                <c:pt idx="939">
                  <c:v>-11.944654776641721</c:v>
                </c:pt>
                <c:pt idx="940">
                  <c:v>-11.956198509383244</c:v>
                </c:pt>
                <c:pt idx="941">
                  <c:v>-11.967742241410281</c:v>
                </c:pt>
                <c:pt idx="942">
                  <c:v>-11.979285972722733</c:v>
                </c:pt>
                <c:pt idx="943">
                  <c:v>-11.9908297033205</c:v>
                </c:pt>
                <c:pt idx="944">
                  <c:v>-12.002373433203481</c:v>
                </c:pt>
                <c:pt idx="945">
                  <c:v>-12.013917162371575</c:v>
                </c:pt>
                <c:pt idx="946">
                  <c:v>-12.025460890824684</c:v>
                </c:pt>
                <c:pt idx="947">
                  <c:v>-12.037004618562706</c:v>
                </c:pt>
                <c:pt idx="948">
                  <c:v>-12.048548345585541</c:v>
                </c:pt>
                <c:pt idx="949">
                  <c:v>-12.060092071893088</c:v>
                </c:pt>
                <c:pt idx="950">
                  <c:v>-12.071635797485248</c:v>
                </c:pt>
                <c:pt idx="951">
                  <c:v>-12.08317952236192</c:v>
                </c:pt>
                <c:pt idx="952">
                  <c:v>-12.094723246523003</c:v>
                </c:pt>
                <c:pt idx="953">
                  <c:v>-12.106266969968397</c:v>
                </c:pt>
                <c:pt idx="954">
                  <c:v>-12.117810692698002</c:v>
                </c:pt>
                <c:pt idx="955">
                  <c:v>-12.129354414711718</c:v>
                </c:pt>
                <c:pt idx="956">
                  <c:v>-12.140898136009445</c:v>
                </c:pt>
                <c:pt idx="957">
                  <c:v>-12.152441856591082</c:v>
                </c:pt>
                <c:pt idx="958">
                  <c:v>-12.163985576456529</c:v>
                </c:pt>
                <c:pt idx="959">
                  <c:v>-12.175529295605685</c:v>
                </c:pt>
                <c:pt idx="960">
                  <c:v>-12.18707301403845</c:v>
                </c:pt>
                <c:pt idx="961">
                  <c:v>-12.198616731754726</c:v>
                </c:pt>
                <c:pt idx="962">
                  <c:v>-12.210160448754408</c:v>
                </c:pt>
                <c:pt idx="963">
                  <c:v>-12.2217041650374</c:v>
                </c:pt>
                <c:pt idx="964">
                  <c:v>-12.233247880603599</c:v>
                </c:pt>
                <c:pt idx="965">
                  <c:v>-12.244791595452906</c:v>
                </c:pt>
                <c:pt idx="966">
                  <c:v>-12.25633530958522</c:v>
                </c:pt>
                <c:pt idx="967">
                  <c:v>-12.267879023000441</c:v>
                </c:pt>
                <c:pt idx="968">
                  <c:v>-12.27942273569847</c:v>
                </c:pt>
                <c:pt idx="969">
                  <c:v>-12.290966447679205</c:v>
                </c:pt>
                <c:pt idx="970">
                  <c:v>-12.302510158942546</c:v>
                </c:pt>
                <c:pt idx="971">
                  <c:v>-12.314053869488394</c:v>
                </c:pt>
                <c:pt idx="972">
                  <c:v>-12.325597579316646</c:v>
                </c:pt>
                <c:pt idx="973">
                  <c:v>-12.337141288427205</c:v>
                </c:pt>
                <c:pt idx="974">
                  <c:v>-12.348684996819969</c:v>
                </c:pt>
                <c:pt idx="975">
                  <c:v>-12.360228704494839</c:v>
                </c:pt>
                <c:pt idx="976">
                  <c:v>-12.371772411451712</c:v>
                </c:pt>
                <c:pt idx="977">
                  <c:v>-12.383316117690489</c:v>
                </c:pt>
                <c:pt idx="978">
                  <c:v>-12.394859823211071</c:v>
                </c:pt>
                <c:pt idx="979">
                  <c:v>-12.406403528013357</c:v>
                </c:pt>
                <c:pt idx="980">
                  <c:v>-12.417947232097246</c:v>
                </c:pt>
                <c:pt idx="981">
                  <c:v>-12.429490935462638</c:v>
                </c:pt>
                <c:pt idx="982">
                  <c:v>-12.441034638109434</c:v>
                </c:pt>
                <c:pt idx="983">
                  <c:v>-12.452578340037531</c:v>
                </c:pt>
                <c:pt idx="984">
                  <c:v>-12.464122041246831</c:v>
                </c:pt>
                <c:pt idx="985">
                  <c:v>-12.475665741737235</c:v>
                </c:pt>
                <c:pt idx="986">
                  <c:v>-12.487209441508639</c:v>
                </c:pt>
                <c:pt idx="987">
                  <c:v>-12.498753140560945</c:v>
                </c:pt>
                <c:pt idx="988">
                  <c:v>-12.510296838894053</c:v>
                </c:pt>
                <c:pt idx="989">
                  <c:v>-12.521840536507861</c:v>
                </c:pt>
                <c:pt idx="990">
                  <c:v>-12.533384233402272</c:v>
                </c:pt>
                <c:pt idx="991">
                  <c:v>-12.544927929577181</c:v>
                </c:pt>
                <c:pt idx="992">
                  <c:v>-12.556471625032492</c:v>
                </c:pt>
                <c:pt idx="993">
                  <c:v>-12.568015319768103</c:v>
                </c:pt>
                <c:pt idx="994">
                  <c:v>-12.579559013783912</c:v>
                </c:pt>
                <c:pt idx="995">
                  <c:v>-12.591102707079823</c:v>
                </c:pt>
                <c:pt idx="996">
                  <c:v>-12.602646399655733</c:v>
                </c:pt>
                <c:pt idx="997">
                  <c:v>-12.614190091511542</c:v>
                </c:pt>
                <c:pt idx="998">
                  <c:v>-12.625733782647149</c:v>
                </c:pt>
                <c:pt idx="999">
                  <c:v>-12.637277473062456</c:v>
                </c:pt>
                <c:pt idx="1000">
                  <c:v>-12.648821162757361</c:v>
                </c:pt>
              </c:numCache>
            </c:numRef>
          </c:yVal>
          <c:smooth val="1"/>
          <c:extLst>
            <c:ext xmlns:c16="http://schemas.microsoft.com/office/drawing/2014/chart" uri="{C3380CC4-5D6E-409C-BE32-E72D297353CC}">
              <c16:uniqueId val="{00000002-432A-49A9-9499-7ED3E32DDB07}"/>
            </c:ext>
          </c:extLst>
        </c:ser>
        <c:ser>
          <c:idx val="4"/>
          <c:order val="3"/>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Trajecto!$B$141:$B$147</c:f>
              <c:numCache>
                <c:formatCode>0</c:formatCode>
                <c:ptCount val="7"/>
                <c:pt idx="0">
                  <c:v>0</c:v>
                </c:pt>
                <c:pt idx="1">
                  <c:v>0</c:v>
                </c:pt>
                <c:pt idx="2">
                  <c:v>0</c:v>
                </c:pt>
                <c:pt idx="3">
                  <c:v>0</c:v>
                </c:pt>
                <c:pt idx="4">
                  <c:v>0</c:v>
                </c:pt>
                <c:pt idx="5">
                  <c:v>0</c:v>
                </c:pt>
                <c:pt idx="6">
                  <c:v>0</c:v>
                </c:pt>
              </c:numCache>
            </c:numRef>
          </c:xVal>
          <c:yVal>
            <c:numRef>
              <c:f>Trajecto!$C$141:$C$147</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4-432A-49A9-9499-7ED3E32DDB07}"/>
            </c:ext>
          </c:extLst>
        </c:ser>
        <c:ser>
          <c:idx val="5"/>
          <c:order val="4"/>
          <c:tx>
            <c:strRef>
              <c:f>Trajecto!$B$107</c:f>
              <c:strCache>
                <c:ptCount val="1"/>
                <c:pt idx="0">
                  <c:v>Phase ascendante</c:v>
                </c:pt>
              </c:strCache>
            </c:strRef>
          </c:tx>
          <c:spPr>
            <a:ln w="25400">
              <a:solidFill>
                <a:srgbClr val="000080"/>
              </a:solidFill>
              <a:prstDash val="solid"/>
            </a:ln>
          </c:spPr>
          <c:marker>
            <c:symbol val="none"/>
          </c:marker>
          <c:xVal>
            <c:numRef>
              <c:f>Calculs!$J$4:$J$1004</c:f>
              <c:numCache>
                <c:formatCode>0.00</c:formatCode>
                <c:ptCount val="1001"/>
                <c:pt idx="0">
                  <c:v>0</c:v>
                </c:pt>
                <c:pt idx="1">
                  <c:v>0.17363767227451923</c:v>
                </c:pt>
                <c:pt idx="2">
                  <c:v>0.34750797462468086</c:v>
                </c:pt>
                <c:pt idx="3">
                  <c:v>0.52211807299830937</c:v>
                </c:pt>
                <c:pt idx="4">
                  <c:v>0.69797501089247393</c:v>
                </c:pt>
                <c:pt idx="5">
                  <c:v>0.87566986072227493</c:v>
                </c:pt>
                <c:pt idx="6">
                  <c:v>1.0556664482660607</c:v>
                </c:pt>
                <c:pt idx="7">
                  <c:v>1.238088610732125</c:v>
                </c:pt>
                <c:pt idx="8">
                  <c:v>1.4229314391374186</c:v>
                </c:pt>
                <c:pt idx="9">
                  <c:v>1.6101899453699768</c:v>
                </c:pt>
                <c:pt idx="10">
                  <c:v>1.7998590633320544</c:v>
                </c:pt>
                <c:pt idx="11">
                  <c:v>1.9919336500561797</c:v>
                </c:pt>
                <c:pt idx="12">
                  <c:v>2.1864084867956048</c:v>
                </c:pt>
                <c:pt idx="13">
                  <c:v>2.3832782800905279</c:v>
                </c:pt>
                <c:pt idx="14">
                  <c:v>2.5825376628113803</c:v>
                </c:pt>
                <c:pt idx="15">
                  <c:v>2.7841811951803823</c:v>
                </c:pt>
                <c:pt idx="16">
                  <c:v>2.9882033657724976</c:v>
                </c:pt>
                <c:pt idx="17">
                  <c:v>3.1945985924968436</c:v>
                </c:pt>
                <c:pt idx="18">
                  <c:v>3.4033612235595543</c:v>
                </c:pt>
                <c:pt idx="19">
                  <c:v>3.6144855384090158</c:v>
                </c:pt>
                <c:pt idx="20">
                  <c:v>3.8279657486643588</c:v>
                </c:pt>
                <c:pt idx="21">
                  <c:v>4.0437959990280188</c:v>
                </c:pt>
                <c:pt idx="22">
                  <c:v>4.261970368183138</c:v>
                </c:pt>
                <c:pt idx="23">
                  <c:v>4.4824828696765273</c:v>
                </c:pt>
                <c:pt idx="24">
                  <c:v>4.7053274527878735</c:v>
                </c:pt>
                <c:pt idx="25">
                  <c:v>4.9304980033858259</c:v>
                </c:pt>
                <c:pt idx="26">
                  <c:v>5.1579883447715664</c:v>
                </c:pt>
                <c:pt idx="27">
                  <c:v>5.3877922385104231</c:v>
                </c:pt>
                <c:pt idx="28">
                  <c:v>5.6199033852520675</c:v>
                </c:pt>
                <c:pt idx="29">
                  <c:v>5.8543154255397898</c:v>
                </c:pt>
                <c:pt idx="30">
                  <c:v>6.0910219406093251</c:v>
                </c:pt>
                <c:pt idx="31">
                  <c:v>6.3300164531776772</c:v>
                </c:pt>
                <c:pt idx="32">
                  <c:v>6.5712924282223559</c:v>
                </c:pt>
                <c:pt idx="33">
                  <c:v>6.8148432737514257</c:v>
                </c:pt>
                <c:pt idx="34">
                  <c:v>7.0606623415647292</c:v>
                </c:pt>
                <c:pt idx="35">
                  <c:v>7.3087429280066472</c:v>
                </c:pt>
                <c:pt idx="36">
                  <c:v>7.5590782747107177</c:v>
                </c:pt>
                <c:pt idx="37">
                  <c:v>7.8116615693364233</c:v>
                </c:pt>
                <c:pt idx="38">
                  <c:v>8.0664859462984495</c:v>
                </c:pt>
                <c:pt idx="39">
                  <c:v>8.3235444874886806</c:v>
                </c:pt>
                <c:pt idx="40">
                  <c:v>8.5828302229911984</c:v>
                </c:pt>
                <c:pt idx="41">
                  <c:v>8.8443361317905325</c:v>
                </c:pt>
                <c:pt idx="42">
                  <c:v>9.1080551424733844</c:v>
                </c:pt>
                <c:pt idx="43">
                  <c:v>9.3739801339240572</c:v>
                </c:pt>
                <c:pt idx="44">
                  <c:v>9.6421039360137808</c:v>
                </c:pt>
                <c:pt idx="45">
                  <c:v>9.9124193302841448</c:v>
                </c:pt>
                <c:pt idx="46">
                  <c:v>10.184919050624799</c:v>
                </c:pt>
                <c:pt idx="47">
                  <c:v>10.45959578394562</c:v>
                </c:pt>
                <c:pt idx="48">
                  <c:v>10.736442170843484</c:v>
                </c:pt>
                <c:pt idx="49">
                  <c:v>11.015450806263809</c:v>
                </c:pt>
                <c:pt idx="50">
                  <c:v>11.296614240157009</c:v>
                </c:pt>
                <c:pt idx="51">
                  <c:v>11.579925686528231</c:v>
                </c:pt>
                <c:pt idx="52">
                  <c:v>11.865379734213658</c:v>
                </c:pt>
                <c:pt idx="53">
                  <c:v>12.152971640701326</c:v>
                </c:pt>
                <c:pt idx="54">
                  <c:v>12.442696624121892</c:v>
                </c:pt>
                <c:pt idx="55">
                  <c:v>12.734549863694301</c:v>
                </c:pt>
                <c:pt idx="56">
                  <c:v>13.028526500168926</c:v>
                </c:pt>
                <c:pt idx="57">
                  <c:v>13.32462163626824</c:v>
                </c:pt>
                <c:pt idx="58">
                  <c:v>13.622830337125105</c:v>
                </c:pt>
                <c:pt idx="59">
                  <c:v>13.923147630718729</c:v>
                </c:pt>
                <c:pt idx="60">
                  <c:v>14.22556850830836</c:v>
                </c:pt>
                <c:pt idx="61">
                  <c:v>14.530087924864777</c:v>
                </c:pt>
                <c:pt idx="62">
                  <c:v>14.836700799499621</c:v>
                </c:pt>
                <c:pt idx="63">
                  <c:v>15.14540201589263</c:v>
                </c:pt>
                <c:pt idx="64">
                  <c:v>15.456186422716817</c:v>
                </c:pt>
                <c:pt idx="65">
                  <c:v>15.769048834061634</c:v>
                </c:pt>
                <c:pt idx="66">
                  <c:v>16.083984029854175</c:v>
                </c:pt>
                <c:pt idx="67">
                  <c:v>16.400986756278453</c:v>
                </c:pt>
                <c:pt idx="68">
                  <c:v>16.720051726192775</c:v>
                </c:pt>
                <c:pt idx="69">
                  <c:v>17.041173619545258</c:v>
                </c:pt>
                <c:pt idx="70">
                  <c:v>17.364347083787539</c:v>
                </c:pt>
                <c:pt idx="71">
                  <c:v>17.689566734286664</c:v>
                </c:pt>
                <c:pt idx="72">
                  <c:v>18.016827154735221</c:v>
                </c:pt>
                <c:pt idx="73">
                  <c:v>18.346122897559727</c:v>
                </c:pt>
                <c:pt idx="74">
                  <c:v>18.677448484327289</c:v>
                </c:pt>
                <c:pt idx="75">
                  <c:v>19.010798406150574</c:v>
                </c:pt>
                <c:pt idx="76">
                  <c:v>19.346167124091096</c:v>
                </c:pt>
                <c:pt idx="77">
                  <c:v>19.68354906956084</c:v>
                </c:pt>
                <c:pt idx="78">
                  <c:v>20.022938644722238</c:v>
                </c:pt>
                <c:pt idx="79">
                  <c:v>20.364330222886522</c:v>
                </c:pt>
                <c:pt idx="80">
                  <c:v>20.707718148910455</c:v>
                </c:pt>
                <c:pt idx="81">
                  <c:v>21.053096739591464</c:v>
                </c:pt>
                <c:pt idx="82">
                  <c:v>21.400460284061165</c:v>
                </c:pt>
                <c:pt idx="83">
                  <c:v>21.749803044177316</c:v>
                </c:pt>
                <c:pt idx="84">
                  <c:v>22.101119254914185</c:v>
                </c:pt>
                <c:pt idx="85">
                  <c:v>22.454403124751359</c:v>
                </c:pt>
                <c:pt idx="86">
                  <c:v>22.809648836060976</c:v>
                </c:pt>
                <c:pt idx="87">
                  <c:v>23.166850545493404</c:v>
                </c:pt>
                <c:pt idx="88">
                  <c:v>23.526002384361362</c:v>
                </c:pt>
                <c:pt idx="89">
                  <c:v>23.887098459022507</c:v>
                </c:pt>
                <c:pt idx="90">
                  <c:v>24.250132851260435</c:v>
                </c:pt>
                <c:pt idx="91">
                  <c:v>24.615099618664175</c:v>
                </c:pt>
                <c:pt idx="92">
                  <c:v>24.9819927950061</c:v>
                </c:pt>
                <c:pt idx="93">
                  <c:v>25.350806390618306</c:v>
                </c:pt>
                <c:pt idx="94">
                  <c:v>25.721534392767445</c:v>
                </c:pt>
                <c:pt idx="95">
                  <c:v>26.094170766028</c:v>
                </c:pt>
                <c:pt idx="96">
                  <c:v>26.468709452654</c:v>
                </c:pt>
                <c:pt idx="97">
                  <c:v>26.845144372949193</c:v>
                </c:pt>
                <c:pt idx="98">
                  <c:v>27.223469425635649</c:v>
                </c:pt>
                <c:pt idx="99">
                  <c:v>27.603678488220805</c:v>
                </c:pt>
                <c:pt idx="100">
                  <c:v>27.985765417362938</c:v>
                </c:pt>
                <c:pt idx="101">
                  <c:v>28.369723710115395</c:v>
                </c:pt>
                <c:pt idx="102">
                  <c:v>28.755546164787916</c:v>
                </c:pt>
                <c:pt idx="103">
                  <c:v>29.143225220440371</c:v>
                </c:pt>
                <c:pt idx="104">
                  <c:v>29.532753296791054</c:v>
                </c:pt>
                <c:pt idx="105">
                  <c:v>29.924122794643459</c:v>
                </c:pt>
                <c:pt idx="106">
                  <c:v>30.317326096310719</c:v>
                </c:pt>
                <c:pt idx="107">
                  <c:v>30.712355566037701</c:v>
                </c:pt>
                <c:pt idx="108">
                  <c:v>31.109203550420748</c:v>
                </c:pt>
                <c:pt idx="109">
                  <c:v>31.507862378825077</c:v>
                </c:pt>
                <c:pt idx="110">
                  <c:v>31.908324363799789</c:v>
                </c:pt>
                <c:pt idx="111">
                  <c:v>32.310581801490521</c:v>
                </c:pt>
                <c:pt idx="112">
                  <c:v>32.714626972049693</c:v>
                </c:pt>
                <c:pt idx="113">
                  <c:v>33.120452140044378</c:v>
                </c:pt>
                <c:pt idx="114">
                  <c:v>33.528049554861767</c:v>
                </c:pt>
                <c:pt idx="115">
                  <c:v>33.937411451112197</c:v>
                </c:pt>
                <c:pt idx="116">
                  <c:v>34.34853004902979</c:v>
                </c:pt>
                <c:pt idx="117">
                  <c:v>34.761397554870612</c:v>
                </c:pt>
                <c:pt idx="118">
                  <c:v>35.17600616130845</c:v>
                </c:pt>
                <c:pt idx="119">
                  <c:v>35.592348047828068</c:v>
                </c:pt>
                <c:pt idx="120">
                  <c:v>36.010415381116061</c:v>
                </c:pt>
                <c:pt idx="121">
                  <c:v>36.430200315449184</c:v>
                </c:pt>
                <c:pt idx="122">
                  <c:v>36.851694993080251</c:v>
                </c:pt>
                <c:pt idx="123">
                  <c:v>37.274891544621482</c:v>
                </c:pt>
                <c:pt idx="124">
                  <c:v>37.699782089425398</c:v>
                </c:pt>
                <c:pt idx="125">
                  <c:v>38.126358735963187</c:v>
                </c:pt>
                <c:pt idx="126">
                  <c:v>38.554613582200531</c:v>
                </c:pt>
                <c:pt idx="127">
                  <c:v>38.984538715970928</c:v>
                </c:pt>
                <c:pt idx="128">
                  <c:v>39.416126215346466</c:v>
                </c:pt>
                <c:pt idx="129">
                  <c:v>39.849368149006033</c:v>
                </c:pt>
                <c:pt idx="130">
                  <c:v>40.284256576600995</c:v>
                </c:pt>
                <c:pt idx="131">
                  <c:v>40.720783549118281</c:v>
                </c:pt>
                <c:pt idx="132">
                  <c:v>41.158941109240907</c:v>
                </c:pt>
                <c:pt idx="133">
                  <c:v>41.598721291705907</c:v>
                </c:pt>
                <c:pt idx="134">
                  <c:v>42.040116123659686</c:v>
                </c:pt>
                <c:pt idx="135">
                  <c:v>42.483117625010742</c:v>
                </c:pt>
                <c:pt idx="136">
                  <c:v>42.927717808779811</c:v>
                </c:pt>
                <c:pt idx="137">
                  <c:v>43.373908681447375</c:v>
                </c:pt>
                <c:pt idx="138">
                  <c:v>43.821682243298554</c:v>
                </c:pt>
                <c:pt idx="139">
                  <c:v>44.271030488765355</c:v>
                </c:pt>
                <c:pt idx="140">
                  <c:v>44.721945406766302</c:v>
                </c:pt>
                <c:pt idx="141">
                  <c:v>45.174418981043388</c:v>
                </c:pt>
                <c:pt idx="142">
                  <c:v>45.628443190496405</c:v>
                </c:pt>
                <c:pt idx="143">
                  <c:v>46.0840100095146</c:v>
                </c:pt>
                <c:pt idx="144">
                  <c:v>46.54111140830566</c:v>
                </c:pt>
                <c:pt idx="145">
                  <c:v>46.999739353222047</c:v>
                </c:pt>
                <c:pt idx="146">
                  <c:v>47.459885807084618</c:v>
                </c:pt>
                <c:pt idx="147">
                  <c:v>47.921542729503599</c:v>
                </c:pt>
                <c:pt idx="148">
                  <c:v>48.384702077196849</c:v>
                </c:pt>
                <c:pt idx="149">
                  <c:v>48.849355804305453</c:v>
                </c:pt>
                <c:pt idx="150">
                  <c:v>49.315495862706584</c:v>
                </c:pt>
                <c:pt idx="151">
                  <c:v>49.783114321405073</c:v>
                </c:pt>
                <c:pt idx="152">
                  <c:v>50.252203485927815</c:v>
                </c:pt>
                <c:pt idx="153">
                  <c:v>50.722755779318007</c:v>
                </c:pt>
                <c:pt idx="154">
                  <c:v>51.194763623112067</c:v>
                </c:pt>
                <c:pt idx="155">
                  <c:v>51.668219437620969</c:v>
                </c:pt>
                <c:pt idx="156">
                  <c:v>52.143115642209175</c:v>
                </c:pt>
                <c:pt idx="157">
                  <c:v>52.619444655571058</c:v>
                </c:pt>
                <c:pt idx="158">
                  <c:v>53.097198896004926</c:v>
                </c:pt>
                <c:pt idx="159">
                  <c:v>53.576370781684517</c:v>
                </c:pt>
                <c:pt idx="160">
                  <c:v>54.056952730928096</c:v>
                </c:pt>
                <c:pt idx="161">
                  <c:v>54.538937162465047</c:v>
                </c:pt>
                <c:pt idx="162">
                  <c:v>55.022316495700025</c:v>
                </c:pt>
                <c:pt idx="163">
                  <c:v>55.507083150974616</c:v>
                </c:pt>
                <c:pt idx="164">
                  <c:v>55.993229549826559</c:v>
                </c:pt>
                <c:pt idx="165">
                  <c:v>56.480748115246463</c:v>
                </c:pt>
                <c:pt idx="166">
                  <c:v>56.969631271932073</c:v>
                </c:pt>
                <c:pt idx="167">
                  <c:v>57.459871446540085</c:v>
                </c:pt>
                <c:pt idx="168">
                  <c:v>57.951461067935448</c:v>
                </c:pt>
                <c:pt idx="169">
                  <c:v>58.444392567438229</c:v>
                </c:pt>
                <c:pt idx="170">
                  <c:v>58.938658379068002</c:v>
                </c:pt>
                <c:pt idx="171">
                  <c:v>59.434250939785741</c:v>
                </c:pt>
                <c:pt idx="172">
                  <c:v>59.931162689733306</c:v>
                </c:pt>
                <c:pt idx="173">
                  <c:v>60.429386072470379</c:v>
                </c:pt>
                <c:pt idx="174">
                  <c:v>60.928913535209006</c:v>
                </c:pt>
                <c:pt idx="175">
                  <c:v>61.429737529045646</c:v>
                </c:pt>
                <c:pt idx="176">
                  <c:v>61.931850509190745</c:v>
                </c:pt>
                <c:pt idx="177">
                  <c:v>62.435244935195882</c:v>
                </c:pt>
                <c:pt idx="178">
                  <c:v>62.939913271178426</c:v>
                </c:pt>
                <c:pt idx="179">
                  <c:v>63.445847986043759</c:v>
                </c:pt>
                <c:pt idx="180">
                  <c:v>63.953041553705049</c:v>
                </c:pt>
                <c:pt idx="181">
                  <c:v>64.461486453300552</c:v>
                </c:pt>
                <c:pt idx="182">
                  <c:v>64.971175169408511</c:v>
                </c:pt>
                <c:pt idx="183">
                  <c:v>65.482100192259537</c:v>
                </c:pt>
                <c:pt idx="184">
                  <c:v>65.994254017946659</c:v>
                </c:pt>
                <c:pt idx="185">
                  <c:v>66.507629148632844</c:v>
                </c:pt>
                <c:pt idx="186">
                  <c:v>67.022218092756162</c:v>
                </c:pt>
                <c:pt idx="187">
                  <c:v>67.538013365232459</c:v>
                </c:pt>
                <c:pt idx="188">
                  <c:v>68.055007487655672</c:v>
                </c:pt>
                <c:pt idx="189">
                  <c:v>68.573192988495705</c:v>
                </c:pt>
                <c:pt idx="190">
                  <c:v>69.092562403293883</c:v>
                </c:pt>
                <c:pt idx="191">
                  <c:v>69.613108274856017</c:v>
                </c:pt>
                <c:pt idx="192">
                  <c:v>70.134823153443079</c:v>
                </c:pt>
                <c:pt idx="193">
                  <c:v>70.657699596959461</c:v>
                </c:pt>
                <c:pt idx="194">
                  <c:v>71.181730171138895</c:v>
                </c:pt>
                <c:pt idx="195">
                  <c:v>71.706907449727922</c:v>
                </c:pt>
                <c:pt idx="196">
                  <c:v>72.233224014667073</c:v>
                </c:pt>
                <c:pt idx="197">
                  <c:v>72.760672456269631</c:v>
                </c:pt>
                <c:pt idx="198">
                  <c:v>73.289245373398018</c:v>
                </c:pt>
                <c:pt idx="199">
                  <c:v>73.818935373637913</c:v>
                </c:pt>
                <c:pt idx="200">
                  <c:v>74.349735073469944</c:v>
                </c:pt>
                <c:pt idx="201">
                  <c:v>74.881637098439072</c:v>
                </c:pt>
                <c:pt idx="202">
                  <c:v>75.414634083321658</c:v>
                </c:pt>
                <c:pt idx="203">
                  <c:v>75.948718672290212</c:v>
                </c:pt>
                <c:pt idx="204">
                  <c:v>76.483883519075803</c:v>
                </c:pt>
                <c:pt idx="205">
                  <c:v>77.020121287128205</c:v>
                </c:pt>
                <c:pt idx="206">
                  <c:v>77.557424649773736</c:v>
                </c:pt>
                <c:pt idx="207">
                  <c:v>78.095786290370754</c:v>
                </c:pt>
                <c:pt idx="208">
                  <c:v>78.635198902462989</c:v>
                </c:pt>
                <c:pt idx="209">
                  <c:v>79.175655189930495</c:v>
                </c:pt>
                <c:pt idx="210">
                  <c:v>79.717147867138436</c:v>
                </c:pt>
                <c:pt idx="211">
                  <c:v>80.259669659083556</c:v>
                </c:pt>
                <c:pt idx="212">
                  <c:v>80.803213301538435</c:v>
                </c:pt>
                <c:pt idx="213">
                  <c:v>81.347771541193509</c:v>
                </c:pt>
                <c:pt idx="214">
                  <c:v>81.893337135796926</c:v>
                </c:pt>
                <c:pt idx="215">
                  <c:v>82.439902854292072</c:v>
                </c:pt>
                <c:pt idx="216">
                  <c:v>82.987461476953044</c:v>
                </c:pt>
                <c:pt idx="217">
                  <c:v>83.536005795517795</c:v>
                </c:pt>
                <c:pt idx="218">
                  <c:v>84.085528613319227</c:v>
                </c:pt>
                <c:pt idx="219">
                  <c:v>84.636022745413996</c:v>
                </c:pt>
                <c:pt idx="220">
                  <c:v>85.187481018709278</c:v>
                </c:pt>
                <c:pt idx="221">
                  <c:v>85.739896272087307</c:v>
                </c:pt>
                <c:pt idx="222">
                  <c:v>86.293261356527793</c:v>
                </c:pt>
                <c:pt idx="223">
                  <c:v>86.847569135228255</c:v>
                </c:pt>
                <c:pt idx="224">
                  <c:v>87.402812483722201</c:v>
                </c:pt>
                <c:pt idx="225">
                  <c:v>87.958984289995215</c:v>
                </c:pt>
                <c:pt idx="226">
                  <c:v>88.516077454598971</c:v>
                </c:pt>
                <c:pt idx="227">
                  <c:v>89.074084890763174</c:v>
                </c:pt>
                <c:pt idx="228">
                  <c:v>89.632999524505408</c:v>
                </c:pt>
                <c:pt idx="229">
                  <c:v>90.192814294738923</c:v>
                </c:pt>
                <c:pt idx="230">
                  <c:v>90.753522153378455</c:v>
                </c:pt>
                <c:pt idx="231">
                  <c:v>91.315116065443917</c:v>
                </c:pt>
                <c:pt idx="232">
                  <c:v>91.877589009162136</c:v>
                </c:pt>
                <c:pt idx="233">
                  <c:v>92.440933976066589</c:v>
                </c:pt>
                <c:pt idx="234">
                  <c:v>93.00514397109508</c:v>
                </c:pt>
                <c:pt idx="235">
                  <c:v>93.570212012685545</c:v>
                </c:pt>
                <c:pt idx="236">
                  <c:v>94.136131132869778</c:v>
                </c:pt>
                <c:pt idx="237">
                  <c:v>94.702894377365268</c:v>
                </c:pt>
                <c:pt idx="238">
                  <c:v>95.270494805665095</c:v>
                </c:pt>
                <c:pt idx="239">
                  <c:v>95.838925491125849</c:v>
                </c:pt>
                <c:pt idx="240">
                  <c:v>96.408179521053697</c:v>
                </c:pt>
                <c:pt idx="241">
                  <c:v>96.978249996788477</c:v>
                </c:pt>
                <c:pt idx="242">
                  <c:v>97.549130033785957</c:v>
                </c:pt>
                <c:pt idx="243">
                  <c:v>98.120812761698232</c:v>
                </c:pt>
                <c:pt idx="244">
                  <c:v>98.693291324452147</c:v>
                </c:pt>
                <c:pt idx="245">
                  <c:v>99.266558880326016</c:v>
                </c:pt>
                <c:pt idx="246">
                  <c:v>99.840608602024389</c:v>
                </c:pt>
                <c:pt idx="247">
                  <c:v>100.41543367675105</c:v>
                </c:pt>
                <c:pt idx="248">
                  <c:v>100.9910273062802</c:v>
                </c:pt>
                <c:pt idx="249">
                  <c:v>101.56738270702583</c:v>
                </c:pt>
                <c:pt idx="250">
                  <c:v>102.14449311010928</c:v>
                </c:pt>
                <c:pt idx="251">
                  <c:v>102.72235121966864</c:v>
                </c:pt>
                <c:pt idx="252">
                  <c:v>103.30094867192561</c:v>
                </c:pt>
                <c:pt idx="253">
                  <c:v>103.8802765794166</c:v>
                </c:pt>
                <c:pt idx="254">
                  <c:v>104.46032607447864</c:v>
                </c:pt>
                <c:pt idx="255">
                  <c:v>105.04108830933947</c:v>
                </c:pt>
                <c:pt idx="256">
                  <c:v>105.62255445620485</c:v>
                </c:pt>
                <c:pt idx="257">
                  <c:v>106.20471570734313</c:v>
                </c:pt>
                <c:pt idx="258">
                  <c:v>106.78756327516706</c:v>
                </c:pt>
                <c:pt idx="259">
                  <c:v>107.37108839231294</c:v>
                </c:pt>
                <c:pt idx="260">
                  <c:v>107.95528231171704</c:v>
                </c:pt>
                <c:pt idx="261">
                  <c:v>108.54013630668936</c:v>
                </c:pt>
                <c:pt idx="262">
                  <c:v>109.12564167098478</c:v>
                </c:pt>
                <c:pt idx="263">
                  <c:v>109.71178971887156</c:v>
                </c:pt>
                <c:pt idx="264">
                  <c:v>110.29857178519727</c:v>
                </c:pt>
                <c:pt idx="265">
                  <c:v>110.88597922545213</c:v>
                </c:pt>
                <c:pt idx="266">
                  <c:v>111.47400341582986</c:v>
                </c:pt>
                <c:pt idx="267">
                  <c:v>112.06263575328589</c:v>
                </c:pt>
                <c:pt idx="268">
                  <c:v>112.65186765559324</c:v>
                </c:pt>
                <c:pt idx="269">
                  <c:v>113.24169056139574</c:v>
                </c:pt>
                <c:pt idx="270">
                  <c:v>113.83209593025896</c:v>
                </c:pt>
                <c:pt idx="271">
                  <c:v>114.42307524271858</c:v>
                </c:pt>
                <c:pt idx="272">
                  <c:v>115.01462000032646</c:v>
                </c:pt>
                <c:pt idx="273">
                  <c:v>115.60672172569426</c:v>
                </c:pt>
                <c:pt idx="274">
                  <c:v>116.19937196253474</c:v>
                </c:pt>
                <c:pt idx="275">
                  <c:v>116.7925622757007</c:v>
                </c:pt>
                <c:pt idx="276">
                  <c:v>117.38628425122164</c:v>
                </c:pt>
                <c:pt idx="277">
                  <c:v>117.98052949633806</c:v>
                </c:pt>
                <c:pt idx="278">
                  <c:v>118.57528963953361</c:v>
                </c:pt>
                <c:pt idx="279">
                  <c:v>119.17055633056489</c:v>
                </c:pt>
                <c:pt idx="280">
                  <c:v>119.76632124048911</c:v>
                </c:pt>
                <c:pt idx="281">
                  <c:v>120.3625760616895</c:v>
                </c:pt>
                <c:pt idx="282">
                  <c:v>120.95931250789857</c:v>
                </c:pt>
                <c:pt idx="283">
                  <c:v>121.55652231421927</c:v>
                </c:pt>
                <c:pt idx="284">
                  <c:v>122.1541972371439</c:v>
                </c:pt>
                <c:pt idx="285">
                  <c:v>122.75232905457108</c:v>
                </c:pt>
                <c:pt idx="286">
                  <c:v>123.35090956582049</c:v>
                </c:pt>
                <c:pt idx="287">
                  <c:v>123.94993059164565</c:v>
                </c:pt>
                <c:pt idx="288">
                  <c:v>124.54938397424466</c:v>
                </c:pt>
                <c:pt idx="289">
                  <c:v>125.14926157726886</c:v>
                </c:pt>
                <c:pt idx="290">
                  <c:v>125.74955528582957</c:v>
                </c:pt>
                <c:pt idx="291">
                  <c:v>126.35025700650287</c:v>
                </c:pt>
                <c:pt idx="292">
                  <c:v>126.95135866733239</c:v>
                </c:pt>
                <c:pt idx="293">
                  <c:v>127.55285221783018</c:v>
                </c:pt>
                <c:pt idx="294">
                  <c:v>128.15472962897576</c:v>
                </c:pt>
                <c:pt idx="295">
                  <c:v>128.75698289321315</c:v>
                </c:pt>
                <c:pt idx="296">
                  <c:v>129.35960402444627</c:v>
                </c:pt>
                <c:pt idx="297">
                  <c:v>129.96258505803223</c:v>
                </c:pt>
                <c:pt idx="298">
                  <c:v>130.56591197252072</c:v>
                </c:pt>
                <c:pt idx="299">
                  <c:v>131.1695586232666</c:v>
                </c:pt>
                <c:pt idx="300">
                  <c:v>131.77349285330433</c:v>
                </c:pt>
                <c:pt idx="301">
                  <c:v>132.37768259260454</c:v>
                </c:pt>
                <c:pt idx="302">
                  <c:v>132.98209585856299</c:v>
                </c:pt>
                <c:pt idx="303">
                  <c:v>133.58670075646046</c:v>
                </c:pt>
                <c:pt idx="304">
                  <c:v>134.19146547989396</c:v>
                </c:pt>
                <c:pt idx="305">
                  <c:v>134.79635831117949</c:v>
                </c:pt>
                <c:pt idx="306">
                  <c:v>135.4013476217267</c:v>
                </c:pt>
                <c:pt idx="307">
                  <c:v>136.00640187238571</c:v>
                </c:pt>
                <c:pt idx="308">
                  <c:v>136.61148961376662</c:v>
                </c:pt>
                <c:pt idx="309">
                  <c:v>137.21657948653169</c:v>
                </c:pt>
                <c:pt idx="310">
                  <c:v>137.82164022166066</c:v>
                </c:pt>
                <c:pt idx="311">
                  <c:v>138.42664064068984</c:v>
                </c:pt>
                <c:pt idx="312">
                  <c:v>139.03154965592464</c:v>
                </c:pt>
                <c:pt idx="313">
                  <c:v>139.63633627062646</c:v>
                </c:pt>
                <c:pt idx="314">
                  <c:v>140.24096957917396</c:v>
                </c:pt>
                <c:pt idx="315">
                  <c:v>140.84541876719911</c:v>
                </c:pt>
                <c:pt idx="316">
                  <c:v>141.44965311169824</c:v>
                </c:pt>
                <c:pt idx="317">
                  <c:v>142.05364198111863</c:v>
                </c:pt>
                <c:pt idx="318">
                  <c:v>142.65735483542079</c:v>
                </c:pt>
                <c:pt idx="319">
                  <c:v>143.2607612261167</c:v>
                </c:pt>
                <c:pt idx="320">
                  <c:v>143.86383079628453</c:v>
                </c:pt>
                <c:pt idx="321">
                  <c:v>144.46653572093044</c:v>
                </c:pt>
                <c:pt idx="322">
                  <c:v>145.06885314083115</c:v>
                </c:pt>
                <c:pt idx="323">
                  <c:v>145.67076270649298</c:v>
                </c:pt>
                <c:pt idx="324">
                  <c:v>146.27224412853164</c:v>
                </c:pt>
                <c:pt idx="325">
                  <c:v>146.87327717747317</c:v>
                </c:pt>
                <c:pt idx="326">
                  <c:v>147.47384168354586</c:v>
                </c:pt>
                <c:pt idx="327">
                  <c:v>148.07391753646348</c:v>
                </c:pt>
                <c:pt idx="328">
                  <c:v>148.67348468519981</c:v>
                </c:pt>
                <c:pt idx="329">
                  <c:v>149.27252313775449</c:v>
                </c:pt>
                <c:pt idx="330">
                  <c:v>149.87101296091069</c:v>
                </c:pt>
                <c:pt idx="331">
                  <c:v>150.46893427998441</c:v>
                </c:pt>
                <c:pt idx="332">
                  <c:v>151.06626727856559</c:v>
                </c:pt>
                <c:pt idx="333">
                  <c:v>151.66299219825126</c:v>
                </c:pt>
                <c:pt idx="334">
                  <c:v>152.25908933837087</c:v>
                </c:pt>
                <c:pt idx="335">
                  <c:v>152.8545390557037</c:v>
                </c:pt>
                <c:pt idx="336">
                  <c:v>153.44932176418882</c:v>
                </c:pt>
                <c:pt idx="337">
                  <c:v>154.0434179346274</c:v>
                </c:pt>
                <c:pt idx="338">
                  <c:v>154.63680809437767</c:v>
                </c:pt>
                <c:pt idx="339">
                  <c:v>155.22947282704266</c:v>
                </c:pt>
                <c:pt idx="340">
                  <c:v>155.82139277215074</c:v>
                </c:pt>
                <c:pt idx="341">
                  <c:v>156.4125486248291</c:v>
                </c:pt>
                <c:pt idx="342">
                  <c:v>157.00292113547036</c:v>
                </c:pt>
                <c:pt idx="343">
                  <c:v>157.59249110939234</c:v>
                </c:pt>
                <c:pt idx="344">
                  <c:v>158.1812394064911</c:v>
                </c:pt>
                <c:pt idx="345">
                  <c:v>158.76914694088751</c:v>
                </c:pt>
                <c:pt idx="346">
                  <c:v>159.35619468056717</c:v>
                </c:pt>
                <c:pt idx="347">
                  <c:v>159.94236364701408</c:v>
                </c:pt>
                <c:pt idx="348">
                  <c:v>160.52763518063429</c:v>
                </c:pt>
                <c:pt idx="349">
                  <c:v>161.11199120536705</c:v>
                </c:pt>
                <c:pt idx="350">
                  <c:v>161.69541396068706</c:v>
                </c:pt>
                <c:pt idx="351">
                  <c:v>162.27788573441347</c:v>
                </c:pt>
                <c:pt idx="352">
                  <c:v>162.85938886232535</c:v>
                </c:pt>
                <c:pt idx="353">
                  <c:v>163.43990572777244</c:v>
                </c:pt>
                <c:pt idx="354">
                  <c:v>164.01941876128086</c:v>
                </c:pt>
                <c:pt idx="355">
                  <c:v>164.59791044015421</c:v>
                </c:pt>
                <c:pt idx="356">
                  <c:v>165.17536328806986</c:v>
                </c:pt>
                <c:pt idx="357">
                  <c:v>165.75175987467063</c:v>
                </c:pt>
                <c:pt idx="358">
                  <c:v>166.32708281515201</c:v>
                </c:pt>
                <c:pt idx="359">
                  <c:v>166.90131476984484</c:v>
                </c:pt>
                <c:pt idx="360">
                  <c:v>167.47444399432734</c:v>
                </c:pt>
                <c:pt idx="361">
                  <c:v>168.04646987220565</c:v>
                </c:pt>
                <c:pt idx="362">
                  <c:v>168.61739732598954</c:v>
                </c:pt>
                <c:pt idx="363">
                  <c:v>169.18723124565525</c:v>
                </c:pt>
                <c:pt idx="364">
                  <c:v>169.75597648893492</c:v>
                </c:pt>
                <c:pt idx="365">
                  <c:v>170.32363788160262</c:v>
                </c:pt>
                <c:pt idx="366">
                  <c:v>170.89022021775739</c:v>
                </c:pt>
                <c:pt idx="367">
                  <c:v>171.45572826010306</c:v>
                </c:pt>
                <c:pt idx="368">
                  <c:v>172.02016674022497</c:v>
                </c:pt>
                <c:pt idx="369">
                  <c:v>172.58354035886362</c:v>
                </c:pt>
                <c:pt idx="370">
                  <c:v>173.14585378618531</c:v>
                </c:pt>
                <c:pt idx="371">
                  <c:v>173.70711166204987</c:v>
                </c:pt>
                <c:pt idx="372">
                  <c:v>174.26731859627535</c:v>
                </c:pt>
                <c:pt idx="373">
                  <c:v>174.82647916889982</c:v>
                </c:pt>
                <c:pt idx="374">
                  <c:v>175.38459793044046</c:v>
                </c:pt>
                <c:pt idx="375">
                  <c:v>175.94167940214962</c:v>
                </c:pt>
                <c:pt idx="376">
                  <c:v>176.49772807626815</c:v>
                </c:pt>
                <c:pt idx="377">
                  <c:v>177.05274841627616</c:v>
                </c:pt>
                <c:pt idx="378">
                  <c:v>177.60674485714077</c:v>
                </c:pt>
                <c:pt idx="379">
                  <c:v>178.15972180556142</c:v>
                </c:pt>
                <c:pt idx="380">
                  <c:v>178.71168364021244</c:v>
                </c:pt>
                <c:pt idx="381">
                  <c:v>179.26263471198303</c:v>
                </c:pt>
                <c:pt idx="382">
                  <c:v>179.81257934421456</c:v>
                </c:pt>
                <c:pt idx="383">
                  <c:v>180.36152183293555</c:v>
                </c:pt>
                <c:pt idx="384">
                  <c:v>180.90946644709396</c:v>
                </c:pt>
                <c:pt idx="385">
                  <c:v>181.45641742878703</c:v>
                </c:pt>
                <c:pt idx="386">
                  <c:v>182.00237899348872</c:v>
                </c:pt>
                <c:pt idx="387">
                  <c:v>182.54735533027471</c:v>
                </c:pt>
                <c:pt idx="388">
                  <c:v>183.09135060204503</c:v>
                </c:pt>
                <c:pt idx="389">
                  <c:v>183.63436894574428</c:v>
                </c:pt>
                <c:pt idx="390">
                  <c:v>184.17641447257967</c:v>
                </c:pt>
                <c:pt idx="391">
                  <c:v>184.71749126823653</c:v>
                </c:pt>
                <c:pt idx="392">
                  <c:v>185.25760339309184</c:v>
                </c:pt>
                <c:pt idx="393">
                  <c:v>185.79675488242529</c:v>
                </c:pt>
                <c:pt idx="394">
                  <c:v>186.33494974662824</c:v>
                </c:pt>
                <c:pt idx="395">
                  <c:v>186.87219197141044</c:v>
                </c:pt>
                <c:pt idx="396">
                  <c:v>187.40848551800471</c:v>
                </c:pt>
                <c:pt idx="397">
                  <c:v>187.94383432336934</c:v>
                </c:pt>
                <c:pt idx="398">
                  <c:v>188.47824230038853</c:v>
                </c:pt>
                <c:pt idx="399">
                  <c:v>189.01171333807068</c:v>
                </c:pt>
                <c:pt idx="400">
                  <c:v>189.54425130174459</c:v>
                </c:pt>
                <c:pt idx="401">
                  <c:v>194.81860934778189</c:v>
                </c:pt>
                <c:pt idx="402">
                  <c:v>200.00211852654652</c:v>
                </c:pt>
                <c:pt idx="403">
                  <c:v>205.09843346947216</c:v>
                </c:pt>
                <c:pt idx="404">
                  <c:v>210.11099540358438</c:v>
                </c:pt>
                <c:pt idx="405">
                  <c:v>215.0430487091746</c:v>
                </c:pt>
                <c:pt idx="406">
                  <c:v>219.89765589052234</c:v>
                </c:pt>
                <c:pt idx="407">
                  <c:v>224.67771113979319</c:v>
                </c:pt>
                <c:pt idx="408">
                  <c:v>229.38595265072681</c:v>
                </c:pt>
                <c:pt idx="409">
                  <c:v>234.02497381867281</c:v>
                </c:pt>
                <c:pt idx="410">
                  <c:v>238.59723344636788</c:v>
                </c:pt>
                <c:pt idx="411">
                  <c:v>243.10506506011342</c:v>
                </c:pt>
                <c:pt idx="412">
                  <c:v>247.55068542832845</c:v>
                </c:pt>
                <c:pt idx="413">
                  <c:v>251.93620236350003</c:v>
                </c:pt>
                <c:pt idx="414">
                  <c:v>256.26362187907222</c:v>
                </c:pt>
                <c:pt idx="415">
                  <c:v>260.53485476458377</c:v>
                </c:pt>
                <c:pt idx="416">
                  <c:v>264.75172263520352</c:v>
                </c:pt>
                <c:pt idx="417">
                  <c:v>268.91596350556313</c:v>
                </c:pt>
                <c:pt idx="418">
                  <c:v>273.0292369323252</c:v>
                </c:pt>
                <c:pt idx="419">
                  <c:v>277.09312876513491</c:v>
                </c:pt>
                <c:pt idx="420">
                  <c:v>281.10915554139939</c:v>
                </c:pt>
                <c:pt idx="421">
                  <c:v>285.07876855663619</c:v>
                </c:pt>
                <c:pt idx="422">
                  <c:v>289.00335763886744</c:v>
                </c:pt>
                <c:pt idx="423">
                  <c:v>292.88425465265095</c:v>
                </c:pt>
                <c:pt idx="424">
                  <c:v>296.72273675578418</c:v>
                </c:pt>
                <c:pt idx="425">
                  <c:v>300.52002942944978</c:v>
                </c:pt>
                <c:pt idx="426">
                  <c:v>304.27730930055725</c:v>
                </c:pt>
                <c:pt idx="427">
                  <c:v>307.99570677324135</c:v>
                </c:pt>
                <c:pt idx="428">
                  <c:v>311.67630848487801</c:v>
                </c:pt>
                <c:pt idx="429">
                  <c:v>315.32015960054969</c:v>
                </c:pt>
                <c:pt idx="430">
                  <c:v>318.92826595861311</c:v>
                </c:pt>
                <c:pt idx="431">
                  <c:v>322.50159607887662</c:v>
                </c:pt>
                <c:pt idx="432">
                  <c:v>326.04108304386574</c:v>
                </c:pt>
                <c:pt idx="433">
                  <c:v>329.54762626273106</c:v>
                </c:pt>
                <c:pt idx="434">
                  <c:v>333.02209312652053</c:v>
                </c:pt>
                <c:pt idx="435">
                  <c:v>336.4653205627875</c:v>
                </c:pt>
                <c:pt idx="436">
                  <c:v>339.87811649682976</c:v>
                </c:pt>
                <c:pt idx="437">
                  <c:v>343.26126122624163</c:v>
                </c:pt>
                <c:pt idx="438">
                  <c:v>346.61550871490789</c:v>
                </c:pt>
                <c:pt idx="439">
                  <c:v>349.94158781206653</c:v>
                </c:pt>
                <c:pt idx="440">
                  <c:v>353.24020340161132</c:v>
                </c:pt>
                <c:pt idx="441">
                  <c:v>356.51203748639205</c:v>
                </c:pt>
                <c:pt idx="442">
                  <c:v>359.75775021189344</c:v>
                </c:pt>
                <c:pt idx="443">
                  <c:v>362.97798083333214</c:v>
                </c:pt>
                <c:pt idx="444">
                  <c:v>366.1733486298977</c:v>
                </c:pt>
                <c:pt idx="445">
                  <c:v>369.34445376957984</c:v>
                </c:pt>
                <c:pt idx="446">
                  <c:v>372.49187812776239</c:v>
                </c:pt>
                <c:pt idx="447">
                  <c:v>375.61618606252807</c:v>
                </c:pt>
                <c:pt idx="448">
                  <c:v>378.71792514939887</c:v>
                </c:pt>
                <c:pt idx="449">
                  <c:v>381.79762687803782</c:v>
                </c:pt>
                <c:pt idx="450">
                  <c:v>384.85580731325479</c:v>
                </c:pt>
                <c:pt idx="451">
                  <c:v>387.89296772249031</c:v>
                </c:pt>
                <c:pt idx="452">
                  <c:v>390.90959517179766</c:v>
                </c:pt>
                <c:pt idx="453">
                  <c:v>393.90616309219985</c:v>
                </c:pt>
                <c:pt idx="454">
                  <c:v>396.88313181816943</c:v>
                </c:pt>
                <c:pt idx="455">
                  <c:v>399.84094909985572</c:v>
                </c:pt>
                <c:pt idx="456">
                  <c:v>402.78005059057529</c:v>
                </c:pt>
                <c:pt idx="457">
                  <c:v>405.70086031097662</c:v>
                </c:pt>
                <c:pt idx="458">
                  <c:v>408.60379109119629</c:v>
                </c:pt>
                <c:pt idx="459">
                  <c:v>411.48924499223585</c:v>
                </c:pt>
                <c:pt idx="460">
                  <c:v>414.35761370770643</c:v>
                </c:pt>
                <c:pt idx="461">
                  <c:v>417.20927894701413</c:v>
                </c:pt>
                <c:pt idx="462">
                  <c:v>420.04461280098775</c:v>
                </c:pt>
                <c:pt idx="463">
                  <c:v>422.86397809088726</c:v>
                </c:pt>
                <c:pt idx="464">
                  <c:v>425.66772870166903</c:v>
                </c:pt>
                <c:pt idx="465">
                  <c:v>428.45620990032978</c:v>
                </c:pt>
                <c:pt idx="466">
                  <c:v>431.22975864009743</c:v>
                </c:pt>
                <c:pt idx="467">
                  <c:v>433.98870385118926</c:v>
                </c:pt>
                <c:pt idx="468">
                  <c:v>436.73336671881185</c:v>
                </c:pt>
                <c:pt idx="469">
                  <c:v>439.46406094903523</c:v>
                </c:pt>
                <c:pt idx="470">
                  <c:v>442.1810930231332</c:v>
                </c:pt>
                <c:pt idx="471">
                  <c:v>444.88476244094619</c:v>
                </c:pt>
                <c:pt idx="472">
                  <c:v>447.575361953786</c:v>
                </c:pt>
                <c:pt idx="473">
                  <c:v>450.25317778737156</c:v>
                </c:pt>
                <c:pt idx="474">
                  <c:v>452.91848985525161</c:v>
                </c:pt>
                <c:pt idx="475">
                  <c:v>455.57157196314324</c:v>
                </c:pt>
                <c:pt idx="476">
                  <c:v>458.21269200458704</c:v>
                </c:pt>
                <c:pt idx="477">
                  <c:v>460.84211214829332</c:v>
                </c:pt>
                <c:pt idx="478">
                  <c:v>463.46008901753066</c:v>
                </c:pt>
                <c:pt idx="479">
                  <c:v>466.06687386188378</c:v>
                </c:pt>
                <c:pt idx="480">
                  <c:v>468.66271272168609</c:v>
                </c:pt>
                <c:pt idx="481">
                  <c:v>471.24784658541108</c:v>
                </c:pt>
                <c:pt idx="482">
                  <c:v>473.82251154028654</c:v>
                </c:pt>
                <c:pt idx="483">
                  <c:v>476.38693891637638</c:v>
                </c:pt>
                <c:pt idx="484">
                  <c:v>478.94135542435606</c:v>
                </c:pt>
                <c:pt idx="485">
                  <c:v>481.48598328718941</c:v>
                </c:pt>
                <c:pt idx="486">
                  <c:v>484.02104036589759</c:v>
                </c:pt>
                <c:pt idx="487">
                  <c:v>486.54674027959345</c:v>
                </c:pt>
                <c:pt idx="488">
                  <c:v>489.06329251993805</c:v>
                </c:pt>
                <c:pt idx="489">
                  <c:v>491.57090256015954</c:v>
                </c:pt>
                <c:pt idx="490">
                  <c:v>494.06977195875857</c:v>
                </c:pt>
                <c:pt idx="491">
                  <c:v>496.56009845800764</c:v>
                </c:pt>
                <c:pt idx="492">
                  <c:v>499.04207607733707</c:v>
                </c:pt>
                <c:pt idx="493">
                  <c:v>501.51589520168187</c:v>
                </c:pt>
                <c:pt idx="494">
                  <c:v>503.98174266485</c:v>
                </c:pt>
                <c:pt idx="495">
                  <c:v>506.43980182795366</c:v>
                </c:pt>
                <c:pt idx="496">
                  <c:v>508.89025265293026</c:v>
                </c:pt>
                <c:pt idx="497">
                  <c:v>511.33327177116109</c:v>
                </c:pt>
                <c:pt idx="498">
                  <c:v>513.76903254717899</c:v>
                </c:pt>
                <c:pt idx="499">
                  <c:v>516.19770513743765</c:v>
                </c:pt>
                <c:pt idx="500">
                  <c:v>518.61945654409647</c:v>
                </c:pt>
                <c:pt idx="501">
                  <c:v>521.03445066375571</c:v>
                </c:pt>
                <c:pt idx="502">
                  <c:v>523.44284833105633</c:v>
                </c:pt>
                <c:pt idx="503">
                  <c:v>525.84480735703778</c:v>
                </c:pt>
                <c:pt idx="504">
                  <c:v>528.24048256212745</c:v>
                </c:pt>
                <c:pt idx="505">
                  <c:v>530.63002580360967</c:v>
                </c:pt>
                <c:pt idx="506">
                  <c:v>533.01358599740399</c:v>
                </c:pt>
                <c:pt idx="507">
                  <c:v>535.3913091339557</c:v>
                </c:pt>
                <c:pt idx="508">
                  <c:v>537.76333828802024</c:v>
                </c:pt>
                <c:pt idx="509">
                  <c:v>540.12981362209939</c:v>
                </c:pt>
                <c:pt idx="510">
                  <c:v>542.49087238326422</c:v>
                </c:pt>
                <c:pt idx="511">
                  <c:v>544.84664889307851</c:v>
                </c:pt>
                <c:pt idx="512">
                  <c:v>547.19727453031646</c:v>
                </c:pt>
                <c:pt idx="513">
                  <c:v>549.5428777061511</c:v>
                </c:pt>
                <c:pt idx="514">
                  <c:v>551.88358383147761</c:v>
                </c:pt>
                <c:pt idx="515">
                  <c:v>554.21951527602664</c:v>
                </c:pt>
                <c:pt idx="516">
                  <c:v>556.55079131892376</c:v>
                </c:pt>
                <c:pt idx="517">
                  <c:v>558.87752809035976</c:v>
                </c:pt>
                <c:pt idx="518">
                  <c:v>561.19983850405742</c:v>
                </c:pt>
                <c:pt idx="519">
                  <c:v>563.51783218025707</c:v>
                </c:pt>
                <c:pt idx="520">
                  <c:v>565.83161535899944</c:v>
                </c:pt>
                <c:pt idx="521">
                  <c:v>568.14129080356076</c:v>
                </c:pt>
                <c:pt idx="522">
                  <c:v>570.44695769400016</c:v>
                </c:pt>
                <c:pt idx="523">
                  <c:v>572.74871151091691</c:v>
                </c:pt>
                <c:pt idx="524">
                  <c:v>575.04664390968333</c:v>
                </c:pt>
                <c:pt idx="525">
                  <c:v>577.34084258563189</c:v>
                </c:pt>
                <c:pt idx="526">
                  <c:v>579.63139113092404</c:v>
                </c:pt>
                <c:pt idx="527">
                  <c:v>581.91836888412217</c:v>
                </c:pt>
                <c:pt idx="528">
                  <c:v>584.20185077381734</c:v>
                </c:pt>
                <c:pt idx="529">
                  <c:v>586.48190715803139</c:v>
                </c:pt>
                <c:pt idx="530">
                  <c:v>588.75860366150209</c:v>
                </c:pt>
                <c:pt idx="531">
                  <c:v>591.03200101335551</c:v>
                </c:pt>
                <c:pt idx="532">
                  <c:v>593.30215488805652</c:v>
                </c:pt>
                <c:pt idx="533">
                  <c:v>595.56911575287381</c:v>
                </c:pt>
                <c:pt idx="534">
                  <c:v>597.83292872537322</c:v>
                </c:pt>
                <c:pt idx="535">
                  <c:v>600.09363344463009</c:v>
                </c:pt>
                <c:pt idx="536">
                  <c:v>602.35126395989892</c:v>
                </c:pt>
                <c:pt idx="537">
                  <c:v>604.60584864036423</c:v>
                </c:pt>
                <c:pt idx="538">
                  <c:v>606.85741010931326</c:v>
                </c:pt>
                <c:pt idx="539">
                  <c:v>609.10596520560694</c:v>
                </c:pt>
                <c:pt idx="540">
                  <c:v>611.35152497469494</c:v>
                </c:pt>
                <c:pt idx="541">
                  <c:v>613.59409469065258</c:v>
                </c:pt>
                <c:pt idx="542">
                  <c:v>615.83367390985518</c:v>
                </c:pt>
                <c:pt idx="543">
                  <c:v>618.07025655599739</c:v>
                </c:pt>
                <c:pt idx="544">
                  <c:v>620.30383103527743</c:v>
                </c:pt>
                <c:pt idx="545">
                  <c:v>622.53438037974979</c:v>
                </c:pt>
                <c:pt idx="546">
                  <c:v>624.7618824161566</c:v>
                </c:pt>
                <c:pt idx="547">
                  <c:v>626.98630995701194</c:v>
                </c:pt>
                <c:pt idx="548">
                  <c:v>629.20763101035288</c:v>
                </c:pt>
                <c:pt idx="549">
                  <c:v>631.42580900439543</c:v>
                </c:pt>
                <c:pt idx="550">
                  <c:v>633.64080302332115</c:v>
                </c:pt>
                <c:pt idx="551">
                  <c:v>635.85256805055712</c:v>
                </c:pt>
                <c:pt idx="552">
                  <c:v>638.06105521616632</c:v>
                </c:pt>
                <c:pt idx="553">
                  <c:v>640.26621204529829</c:v>
                </c:pt>
                <c:pt idx="554">
                  <c:v>642.46798270504166</c:v>
                </c:pt>
                <c:pt idx="555">
                  <c:v>644.6663082474264</c:v>
                </c:pt>
                <c:pt idx="556">
                  <c:v>646.86112684673719</c:v>
                </c:pt>
                <c:pt idx="557">
                  <c:v>649.05237402968601</c:v>
                </c:pt>
                <c:pt idx="558">
                  <c:v>651.23998289735221</c:v>
                </c:pt>
                <c:pt idx="559">
                  <c:v>653.4238843381172</c:v>
                </c:pt>
                <c:pt idx="560">
                  <c:v>655.60400723109547</c:v>
                </c:pt>
                <c:pt idx="561">
                  <c:v>657.78027863979594</c:v>
                </c:pt>
                <c:pt idx="562">
                  <c:v>659.95262399593958</c:v>
                </c:pt>
                <c:pt idx="563">
                  <c:v>662.12096727350911</c:v>
                </c:pt>
                <c:pt idx="564">
                  <c:v>664.28523115322662</c:v>
                </c:pt>
                <c:pt idx="565">
                  <c:v>666.44533717774368</c:v>
                </c:pt>
                <c:pt idx="566">
                  <c:v>668.60120589789062</c:v>
                </c:pt>
                <c:pt idx="567">
                  <c:v>670.7527570103764</c:v>
                </c:pt>
                <c:pt idx="568">
                  <c:v>672.89990948735704</c:v>
                </c:pt>
                <c:pt idx="569">
                  <c:v>675.04258169830098</c:v>
                </c:pt>
                <c:pt idx="570">
                  <c:v>677.18069152458622</c:v>
                </c:pt>
                <c:pt idx="571">
                  <c:v>679.31415646725429</c:v>
                </c:pt>
                <c:pt idx="572">
                  <c:v>681.44289374833807</c:v>
                </c:pt>
                <c:pt idx="573">
                  <c:v>683.56682040616431</c:v>
                </c:pt>
                <c:pt idx="574">
                  <c:v>685.6858533850118</c:v>
                </c:pt>
                <c:pt idx="575">
                  <c:v>687.79990961948783</c:v>
                </c:pt>
                <c:pt idx="576">
                  <c:v>689.90890611396412</c:v>
                </c:pt>
                <c:pt idx="577">
                  <c:v>692.01276001739132</c:v>
                </c:pt>
                <c:pt idx="578">
                  <c:v>694.11138869379135</c:v>
                </c:pt>
                <c:pt idx="579">
                  <c:v>696.20470978870458</c:v>
                </c:pt>
                <c:pt idx="580">
                  <c:v>698.29264129185026</c:v>
                </c:pt>
                <c:pt idx="581">
                  <c:v>700.37510159623969</c:v>
                </c:pt>
                <c:pt idx="582">
                  <c:v>702.45200955396263</c:v>
                </c:pt>
                <c:pt idx="583">
                  <c:v>704.52328452885115</c:v>
                </c:pt>
                <c:pt idx="584">
                  <c:v>706.5888464462106</c:v>
                </c:pt>
                <c:pt idx="585">
                  <c:v>708.64861583978995</c:v>
                </c:pt>
                <c:pt idx="586">
                  <c:v>710.70251389615373</c:v>
                </c:pt>
                <c:pt idx="587">
                  <c:v>712.75046249660204</c:v>
                </c:pt>
                <c:pt idx="588">
                  <c:v>714.79238425677545</c:v>
                </c:pt>
                <c:pt idx="589">
                  <c:v>716.82820256407103</c:v>
                </c:pt>
                <c:pt idx="590">
                  <c:v>718.85784161298443</c:v>
                </c:pt>
                <c:pt idx="591">
                  <c:v>720.88122643848624</c:v>
                </c:pt>
                <c:pt idx="592">
                  <c:v>722.89828294753045</c:v>
                </c:pt>
                <c:pt idx="593">
                  <c:v>724.9089379487873</c:v>
                </c:pt>
                <c:pt idx="594">
                  <c:v>726.91311918068436</c:v>
                </c:pt>
                <c:pt idx="595">
                  <c:v>728.91075533783487</c:v>
                </c:pt>
                <c:pt idx="596">
                  <c:v>730.90177609592558</c:v>
                </c:pt>
                <c:pt idx="597">
                  <c:v>732.88611213513184</c:v>
                </c:pt>
                <c:pt idx="598">
                  <c:v>734.86369516212233</c:v>
                </c:pt>
                <c:pt idx="599">
                  <c:v>736.83445793071257</c:v>
                </c:pt>
                <c:pt idx="600">
                  <c:v>738.79833426122104</c:v>
                </c:pt>
                <c:pt idx="601">
                  <c:v>740.75525905857921</c:v>
                </c:pt>
                <c:pt idx="602">
                  <c:v>742.70516832924341</c:v>
                </c:pt>
                <c:pt idx="603">
                  <c:v>744.64799919695315</c:v>
                </c:pt>
                <c:pt idx="604">
                  <c:v>746.58368991737746</c:v>
                </c:pt>
                <c:pt idx="605">
                  <c:v>748.51217989168993</c:v>
                </c:pt>
                <c:pt idx="606">
                  <c:v>750.43340967910854</c:v>
                </c:pt>
                <c:pt idx="607">
                  <c:v>752.34732100843689</c:v>
                </c:pt>
                <c:pt idx="608">
                  <c:v>754.25385678863915</c:v>
                </c:pt>
                <c:pt idx="609">
                  <c:v>756.15296111848136</c:v>
                </c:pt>
                <c:pt idx="610">
                  <c:v>758.04457929526905</c:v>
                </c:pt>
                <c:pt idx="611">
                  <c:v>759.9286578227094</c:v>
                </c:pt>
                <c:pt idx="612">
                  <c:v>761.80514441792684</c:v>
                </c:pt>
                <c:pt idx="613">
                  <c:v>763.6739880176566</c:v>
                </c:pt>
                <c:pt idx="614">
                  <c:v>765.53513878364356</c:v>
                </c:pt>
                <c:pt idx="615">
                  <c:v>767.38854810726866</c:v>
                </c:pt>
                <c:pt idx="616">
                  <c:v>769.23416861342787</c:v>
                </c:pt>
                <c:pt idx="617">
                  <c:v>771.07195416368552</c:v>
                </c:pt>
                <c:pt idx="618">
                  <c:v>772.90185985872358</c:v>
                </c:pt>
                <c:pt idx="619">
                  <c:v>774.72384204010871</c:v>
                </c:pt>
                <c:pt idx="620">
                  <c:v>776.53785829139713</c:v>
                </c:pt>
                <c:pt idx="621">
                  <c:v>778.3438674385967</c:v>
                </c:pt>
                <c:pt idx="622">
                  <c:v>780.14182955000695</c:v>
                </c:pt>
                <c:pt idx="623">
                  <c:v>781.93170593545392</c:v>
                </c:pt>
                <c:pt idx="624">
                  <c:v>783.71345914493997</c:v>
                </c:pt>
                <c:pt idx="625">
                  <c:v>785.48705296672529</c:v>
                </c:pt>
                <c:pt idx="626">
                  <c:v>787.25245242485914</c:v>
                </c:pt>
                <c:pt idx="627">
                  <c:v>789.0096237761777</c:v>
                </c:pt>
                <c:pt idx="628">
                  <c:v>790.75853450678528</c:v>
                </c:pt>
                <c:pt idx="629">
                  <c:v>792.49915332803539</c:v>
                </c:pt>
                <c:pt idx="630">
                  <c:v>794.23145017202785</c:v>
                </c:pt>
                <c:pt idx="631">
                  <c:v>795.95539618663736</c:v>
                </c:pt>
                <c:pt idx="632">
                  <c:v>797.67096373008928</c:v>
                </c:pt>
                <c:pt idx="633">
                  <c:v>799.3781263650983</c:v>
                </c:pt>
                <c:pt idx="634">
                  <c:v>801.07685885258343</c:v>
                </c:pt>
                <c:pt idx="635">
                  <c:v>802.76713714497589</c:v>
                </c:pt>
                <c:pt idx="636">
                  <c:v>804.44893837913332</c:v>
                </c:pt>
                <c:pt idx="637">
                  <c:v>806.12224086887431</c:v>
                </c:pt>
                <c:pt idx="638">
                  <c:v>807.78702409714776</c:v>
                </c:pt>
                <c:pt idx="639">
                  <c:v>809.44326870785085</c:v>
                </c:pt>
                <c:pt idx="640">
                  <c:v>811.09095649730864</c:v>
                </c:pt>
                <c:pt idx="641">
                  <c:v>812.73007040542893</c:v>
                </c:pt>
                <c:pt idx="642">
                  <c:v>814.36059450654579</c:v>
                </c:pt>
                <c:pt idx="643">
                  <c:v>815.98251399996366</c:v>
                </c:pt>
                <c:pt idx="644">
                  <c:v>817.59581520021572</c:v>
                </c:pt>
                <c:pt idx="645">
                  <c:v>819.20048552704884</c:v>
                </c:pt>
                <c:pt idx="646">
                  <c:v>820.79651349514654</c:v>
                </c:pt>
                <c:pt idx="647">
                  <c:v>822.38388870360313</c:v>
                </c:pt>
                <c:pt idx="648">
                  <c:v>823.96260182515994</c:v>
                </c:pt>
                <c:pt idx="649">
                  <c:v>825.53264459521597</c:v>
                </c:pt>
                <c:pt idx="650">
                  <c:v>827.09400980062435</c:v>
                </c:pt>
                <c:pt idx="651">
                  <c:v>828.64669126828517</c:v>
                </c:pt>
                <c:pt idx="652">
                  <c:v>830.1906838535466</c:v>
                </c:pt>
                <c:pt idx="653">
                  <c:v>831.72598342842468</c:v>
                </c:pt>
                <c:pt idx="654">
                  <c:v>833.25258686965276</c:v>
                </c:pt>
                <c:pt idx="655">
                  <c:v>834.77049204657033</c:v>
                </c:pt>
                <c:pt idx="656">
                  <c:v>836.27969780886224</c:v>
                </c:pt>
                <c:pt idx="657">
                  <c:v>837.78020397415855</c:v>
                </c:pt>
                <c:pt idx="658">
                  <c:v>839.27201131550339</c:v>
                </c:pt>
                <c:pt idx="659">
                  <c:v>840.75512154870444</c:v>
                </c:pt>
                <c:pt idx="660">
                  <c:v>842.22953731957114</c:v>
                </c:pt>
                <c:pt idx="661">
                  <c:v>843.69526219105126</c:v>
                </c:pt>
                <c:pt idx="662">
                  <c:v>845.15230063027502</c:v>
                </c:pt>
                <c:pt idx="663">
                  <c:v>846.60065799551523</c:v>
                </c:pt>
                <c:pt idx="664">
                  <c:v>848.04034052307259</c:v>
                </c:pt>
                <c:pt idx="665">
                  <c:v>849.47135531409447</c:v>
                </c:pt>
                <c:pt idx="666">
                  <c:v>850.89371032133488</c:v>
                </c:pt>
                <c:pt idx="667">
                  <c:v>852.30741433586445</c:v>
                </c:pt>
                <c:pt idx="668">
                  <c:v>853.71247697373792</c:v>
                </c:pt>
                <c:pt idx="669">
                  <c:v>855.1089086626265</c:v>
                </c:pt>
                <c:pt idx="670">
                  <c:v>856.4967206284233</c:v>
                </c:pt>
                <c:pt idx="671">
                  <c:v>857.87592488182827</c:v>
                </c:pt>
                <c:pt idx="672">
                  <c:v>859.24653420492041</c:v>
                </c:pt>
                <c:pt idx="673">
                  <c:v>860.60856213772342</c:v>
                </c:pt>
                <c:pt idx="674">
                  <c:v>861.96202296477236</c:v>
                </c:pt>
                <c:pt idx="675">
                  <c:v>863.30693170168695</c:v>
                </c:pt>
                <c:pt idx="676">
                  <c:v>864.6433040817584</c:v>
                </c:pt>
                <c:pt idx="677">
                  <c:v>865.97115654255538</c:v>
                </c:pt>
                <c:pt idx="678">
                  <c:v>867.29050621255544</c:v>
                </c:pt>
                <c:pt idx="679">
                  <c:v>868.60137089780778</c:v>
                </c:pt>
                <c:pt idx="680">
                  <c:v>869.90376906863219</c:v>
                </c:pt>
                <c:pt idx="681">
                  <c:v>871.1977198463602</c:v>
                </c:pt>
                <c:pt idx="682">
                  <c:v>872.48324299012336</c:v>
                </c:pt>
                <c:pt idx="683">
                  <c:v>873.76035888369393</c:v>
                </c:pt>
                <c:pt idx="684">
                  <c:v>875.02908852238215</c:v>
                </c:pt>
                <c:pt idx="685">
                  <c:v>876.2894534999956</c:v>
                </c:pt>
                <c:pt idx="686">
                  <c:v>877.54147599586452</c:v>
                </c:pt>
                <c:pt idx="687">
                  <c:v>878.78517876193769</c:v>
                </c:pt>
                <c:pt idx="688">
                  <c:v>880.02058510995278</c:v>
                </c:pt>
                <c:pt idx="689">
                  <c:v>881.24771889868566</c:v>
                </c:pt>
                <c:pt idx="690">
                  <c:v>882.46660452128174</c:v>
                </c:pt>
                <c:pt idx="691">
                  <c:v>883.67726689267386</c:v>
                </c:pt>
                <c:pt idx="692">
                  <c:v>884.87973143708928</c:v>
                </c:pt>
                <c:pt idx="693">
                  <c:v>886.07402407564996</c:v>
                </c:pt>
                <c:pt idx="694">
                  <c:v>887.26017121406903</c:v>
                </c:pt>
                <c:pt idx="695">
                  <c:v>888.43819973044629</c:v>
                </c:pt>
                <c:pt idx="696">
                  <c:v>889.60813696316563</c:v>
                </c:pt>
                <c:pt idx="697">
                  <c:v>890.77001069889775</c:v>
                </c:pt>
                <c:pt idx="698">
                  <c:v>891.92384916070989</c:v>
                </c:pt>
                <c:pt idx="699">
                  <c:v>893.0696809962858</c:v>
                </c:pt>
                <c:pt idx="700">
                  <c:v>894.20753526625776</c:v>
                </c:pt>
                <c:pt idx="701">
                  <c:v>895.33744143265301</c:v>
                </c:pt>
                <c:pt idx="702">
                  <c:v>896.45942934745722</c:v>
                </c:pt>
                <c:pt idx="703">
                  <c:v>897.57352924129555</c:v>
                </c:pt>
                <c:pt idx="704">
                  <c:v>898.67977171223481</c:v>
                </c:pt>
                <c:pt idx="705">
                  <c:v>899.77818771470731</c:v>
                </c:pt>
                <c:pt idx="706">
                  <c:v>900.86880854855792</c:v>
                </c:pt>
                <c:pt idx="707">
                  <c:v>901.95166584821698</c:v>
                </c:pt>
                <c:pt idx="708">
                  <c:v>903.0267915719985</c:v>
                </c:pt>
                <c:pt idx="709">
                  <c:v>904.09421799152722</c:v>
                </c:pt>
                <c:pt idx="710">
                  <c:v>905.1539776812931</c:v>
                </c:pt>
                <c:pt idx="711">
                  <c:v>906.2061035083367</c:v>
                </c:pt>
                <c:pt idx="712">
                  <c:v>907.25062862206437</c:v>
                </c:pt>
                <c:pt idx="713">
                  <c:v>908.28758644419554</c:v>
                </c:pt>
                <c:pt idx="714">
                  <c:v>909.31701065884181</c:v>
                </c:pt>
                <c:pt idx="715">
                  <c:v>910.3389352027192</c:v>
                </c:pt>
                <c:pt idx="716">
                  <c:v>911.35339425549353</c:v>
                </c:pt>
                <c:pt idx="717">
                  <c:v>912.36042223026004</c:v>
                </c:pt>
                <c:pt idx="718">
                  <c:v>913.36005376415665</c:v>
                </c:pt>
                <c:pt idx="719">
                  <c:v>914.35232370911228</c:v>
                </c:pt>
                <c:pt idx="720">
                  <c:v>915.33726712272914</c:v>
                </c:pt>
                <c:pt idx="721">
                  <c:v>916.31491925930084</c:v>
                </c:pt>
                <c:pt idx="722">
                  <c:v>917.28531556096436</c:v>
                </c:pt>
                <c:pt idx="723">
                  <c:v>918.2484916489874</c:v>
                </c:pt>
                <c:pt idx="724">
                  <c:v>919.2044833151906</c:v>
                </c:pt>
                <c:pt idx="725">
                  <c:v>920.15332651350354</c:v>
                </c:pt>
                <c:pt idx="726">
                  <c:v>921.09505735165624</c:v>
                </c:pt>
                <c:pt idx="727">
                  <c:v>922.02971208300369</c:v>
                </c:pt>
                <c:pt idx="728">
                  <c:v>922.9573270984846</c:v>
                </c:pt>
                <c:pt idx="729">
                  <c:v>923.87793891871343</c:v>
                </c:pt>
                <c:pt idx="730">
                  <c:v>924.79158418620511</c:v>
                </c:pt>
                <c:pt idx="731">
                  <c:v>925.69829965773192</c:v>
                </c:pt>
                <c:pt idx="732">
                  <c:v>926.5981221968126</c:v>
                </c:pt>
                <c:pt idx="733">
                  <c:v>927.49108876633204</c:v>
                </c:pt>
                <c:pt idx="734">
                  <c:v>928.37723642129163</c:v>
                </c:pt>
                <c:pt idx="735">
                  <c:v>929.25660230168944</c:v>
                </c:pt>
                <c:pt idx="736">
                  <c:v>930.12922362552911</c:v>
                </c:pt>
                <c:pt idx="737">
                  <c:v>930.9951376819572</c:v>
                </c:pt>
                <c:pt idx="738">
                  <c:v>931.85438182452754</c:v>
                </c:pt>
                <c:pt idx="739">
                  <c:v>932.70699346459253</c:v>
                </c:pt>
                <c:pt idx="740">
                  <c:v>933.55301006481932</c:v>
                </c:pt>
                <c:pt idx="741">
                  <c:v>934.39246913283114</c:v>
                </c:pt>
                <c:pt idx="742">
                  <c:v>935.22540821497205</c:v>
                </c:pt>
                <c:pt idx="743">
                  <c:v>936.05186489019411</c:v>
                </c:pt>
                <c:pt idx="744">
                  <c:v>936.87187676406677</c:v>
                </c:pt>
                <c:pt idx="745">
                  <c:v>937.68548146290573</c:v>
                </c:pt>
                <c:pt idx="746">
                  <c:v>938.49271662802221</c:v>
                </c:pt>
                <c:pt idx="747">
                  <c:v>939.29361991009023</c:v>
                </c:pt>
                <c:pt idx="748">
                  <c:v>940.08822896363063</c:v>
                </c:pt>
                <c:pt idx="749">
                  <c:v>940.87658144161173</c:v>
                </c:pt>
                <c:pt idx="750">
                  <c:v>941.65871499016441</c:v>
                </c:pt>
                <c:pt idx="751">
                  <c:v>942.43466724341135</c:v>
                </c:pt>
                <c:pt idx="752">
                  <c:v>943.2044758184079</c:v>
                </c:pt>
                <c:pt idx="753">
                  <c:v>943.96817831019519</c:v>
                </c:pt>
                <c:pt idx="754">
                  <c:v>944.7258122869622</c:v>
                </c:pt>
                <c:pt idx="755">
                  <c:v>945.47741528531731</c:v>
                </c:pt>
                <c:pt idx="756">
                  <c:v>946.22302480566725</c:v>
                </c:pt>
                <c:pt idx="757">
                  <c:v>946.96267830770194</c:v>
                </c:pt>
                <c:pt idx="758">
                  <c:v>947.69641320598407</c:v>
                </c:pt>
                <c:pt idx="759">
                  <c:v>948.42426686564306</c:v>
                </c:pt>
                <c:pt idx="760">
                  <c:v>949.14627659817074</c:v>
                </c:pt>
                <c:pt idx="761">
                  <c:v>949.86247965731832</c:v>
                </c:pt>
                <c:pt idx="762">
                  <c:v>950.57291323509287</c:v>
                </c:pt>
                <c:pt idx="763">
                  <c:v>951.27761445785234</c:v>
                </c:pt>
                <c:pt idx="764">
                  <c:v>951.97662038249769</c:v>
                </c:pt>
                <c:pt idx="765">
                  <c:v>952.6699679927608</c:v>
                </c:pt>
                <c:pt idx="766">
                  <c:v>953.35769419558665</c:v>
                </c:pt>
                <c:pt idx="767">
                  <c:v>954.03983581760883</c:v>
                </c:pt>
                <c:pt idx="768">
                  <c:v>954.71642960171675</c:v>
                </c:pt>
                <c:pt idx="769">
                  <c:v>955.38751220371353</c:v>
                </c:pt>
                <c:pt idx="770">
                  <c:v>956.0531201890625</c:v>
                </c:pt>
                <c:pt idx="771">
                  <c:v>956.71329002972243</c:v>
                </c:pt>
                <c:pt idx="772">
                  <c:v>957.36805810106841</c:v>
                </c:pt>
                <c:pt idx="773">
                  <c:v>958.01746067889871</c:v>
                </c:pt>
                <c:pt idx="774">
                  <c:v>958.66153393652485</c:v>
                </c:pt>
                <c:pt idx="775">
                  <c:v>959.30031394194498</c:v>
                </c:pt>
                <c:pt idx="776">
                  <c:v>959.93383665509793</c:v>
                </c:pt>
                <c:pt idx="777">
                  <c:v>960.56213792519793</c:v>
                </c:pt>
                <c:pt idx="778">
                  <c:v>961.18525348814751</c:v>
                </c:pt>
                <c:pt idx="779">
                  <c:v>961.80321896402825</c:v>
                </c:pt>
                <c:pt idx="780">
                  <c:v>962.41606985466763</c:v>
                </c:pt>
                <c:pt idx="781">
                  <c:v>963.02384154128072</c:v>
                </c:pt>
                <c:pt idx="782">
                  <c:v>963.62656928218553</c:v>
                </c:pt>
                <c:pt idx="783">
                  <c:v>964.22428821059111</c:v>
                </c:pt>
                <c:pt idx="784">
                  <c:v>964.81703333245662</c:v>
                </c:pt>
                <c:pt idx="785">
                  <c:v>965.40483952442003</c:v>
                </c:pt>
                <c:pt idx="786">
                  <c:v>965.98774153179647</c:v>
                </c:pt>
                <c:pt idx="787">
                  <c:v>966.56577396664318</c:v>
                </c:pt>
                <c:pt idx="788">
                  <c:v>967.13897130589135</c:v>
                </c:pt>
                <c:pt idx="789">
                  <c:v>967.70736788954298</c:v>
                </c:pt>
                <c:pt idx="790">
                  <c:v>968.27099791893181</c:v>
                </c:pt>
                <c:pt idx="791">
                  <c:v>968.82989545504677</c:v>
                </c:pt>
                <c:pt idx="792">
                  <c:v>969.38409441691749</c:v>
                </c:pt>
                <c:pt idx="793">
                  <c:v>969.93362858006003</c:v>
                </c:pt>
                <c:pt idx="794">
                  <c:v>970.47853157498207</c:v>
                </c:pt>
                <c:pt idx="795">
                  <c:v>971.01883688574662</c:v>
                </c:pt>
                <c:pt idx="796">
                  <c:v>971.55457784859243</c:v>
                </c:pt>
                <c:pt idx="797">
                  <c:v>972.08578765061065</c:v>
                </c:pt>
                <c:pt idx="798">
                  <c:v>972.6124993284767</c:v>
                </c:pt>
                <c:pt idx="799">
                  <c:v>973.1347457672357</c:v>
                </c:pt>
                <c:pt idx="800">
                  <c:v>973.65255969914074</c:v>
                </c:pt>
                <c:pt idx="801">
                  <c:v>974.16597370254328</c:v>
                </c:pt>
                <c:pt idx="802">
                  <c:v>974.67502020083407</c:v>
                </c:pt>
                <c:pt idx="803">
                  <c:v>975.17973146143368</c:v>
                </c:pt>
                <c:pt idx="804">
                  <c:v>975.68013959483199</c:v>
                </c:pt>
                <c:pt idx="805">
                  <c:v>976.17627655367528</c:v>
                </c:pt>
                <c:pt idx="806">
                  <c:v>976.66817413190017</c:v>
                </c:pt>
                <c:pt idx="807">
                  <c:v>976.66817413190017</c:v>
                </c:pt>
                <c:pt idx="808">
                  <c:v>976.66817413190017</c:v>
                </c:pt>
                <c:pt idx="809">
                  <c:v>976.66817413190017</c:v>
                </c:pt>
                <c:pt idx="810">
                  <c:v>976.66817413190017</c:v>
                </c:pt>
                <c:pt idx="811">
                  <c:v>976.66817413190017</c:v>
                </c:pt>
                <c:pt idx="812">
                  <c:v>976.66817413190017</c:v>
                </c:pt>
                <c:pt idx="813">
                  <c:v>976.66817413190017</c:v>
                </c:pt>
                <c:pt idx="814">
                  <c:v>976.66817413190017</c:v>
                </c:pt>
                <c:pt idx="815">
                  <c:v>976.66817413190017</c:v>
                </c:pt>
                <c:pt idx="816">
                  <c:v>976.66817413190017</c:v>
                </c:pt>
                <c:pt idx="817">
                  <c:v>976.66817413190017</c:v>
                </c:pt>
                <c:pt idx="818">
                  <c:v>976.66817413190017</c:v>
                </c:pt>
                <c:pt idx="819">
                  <c:v>976.66817413190017</c:v>
                </c:pt>
                <c:pt idx="820">
                  <c:v>976.66817413190017</c:v>
                </c:pt>
                <c:pt idx="821">
                  <c:v>976.66817413190017</c:v>
                </c:pt>
                <c:pt idx="822">
                  <c:v>976.66817413190017</c:v>
                </c:pt>
                <c:pt idx="823">
                  <c:v>976.66817413190017</c:v>
                </c:pt>
                <c:pt idx="824">
                  <c:v>976.66817413190017</c:v>
                </c:pt>
                <c:pt idx="825">
                  <c:v>976.66817413190017</c:v>
                </c:pt>
                <c:pt idx="826">
                  <c:v>976.66817413190017</c:v>
                </c:pt>
                <c:pt idx="827">
                  <c:v>976.66817413190017</c:v>
                </c:pt>
                <c:pt idx="828">
                  <c:v>976.66817413190017</c:v>
                </c:pt>
                <c:pt idx="829">
                  <c:v>976.66817413190017</c:v>
                </c:pt>
                <c:pt idx="830">
                  <c:v>976.66817413190017</c:v>
                </c:pt>
                <c:pt idx="831">
                  <c:v>976.66817413190017</c:v>
                </c:pt>
                <c:pt idx="832">
                  <c:v>976.66817413190017</c:v>
                </c:pt>
                <c:pt idx="833">
                  <c:v>976.66817413190017</c:v>
                </c:pt>
                <c:pt idx="834">
                  <c:v>976.66817413190017</c:v>
                </c:pt>
                <c:pt idx="835">
                  <c:v>976.66817413190017</c:v>
                </c:pt>
                <c:pt idx="836">
                  <c:v>976.66817413190017</c:v>
                </c:pt>
                <c:pt idx="837">
                  <c:v>976.66817413190017</c:v>
                </c:pt>
                <c:pt idx="838">
                  <c:v>976.66817413190017</c:v>
                </c:pt>
                <c:pt idx="839">
                  <c:v>976.66817413190017</c:v>
                </c:pt>
                <c:pt idx="840">
                  <c:v>976.66817413190017</c:v>
                </c:pt>
                <c:pt idx="841">
                  <c:v>976.66817413190017</c:v>
                </c:pt>
                <c:pt idx="842">
                  <c:v>976.66817413190017</c:v>
                </c:pt>
                <c:pt idx="843">
                  <c:v>976.66817413190017</c:v>
                </c:pt>
                <c:pt idx="844">
                  <c:v>976.66817413190017</c:v>
                </c:pt>
                <c:pt idx="845">
                  <c:v>976.66817413190017</c:v>
                </c:pt>
                <c:pt idx="846">
                  <c:v>976.66817413190017</c:v>
                </c:pt>
                <c:pt idx="847">
                  <c:v>976.66817413190017</c:v>
                </c:pt>
                <c:pt idx="848">
                  <c:v>976.66817413190017</c:v>
                </c:pt>
                <c:pt idx="849">
                  <c:v>976.66817413190017</c:v>
                </c:pt>
                <c:pt idx="850">
                  <c:v>976.66817413190017</c:v>
                </c:pt>
                <c:pt idx="851">
                  <c:v>976.66817413190017</c:v>
                </c:pt>
                <c:pt idx="852">
                  <c:v>976.66817413190017</c:v>
                </c:pt>
                <c:pt idx="853">
                  <c:v>976.66817413190017</c:v>
                </c:pt>
                <c:pt idx="854">
                  <c:v>976.66817413190017</c:v>
                </c:pt>
                <c:pt idx="855">
                  <c:v>976.66817413190017</c:v>
                </c:pt>
                <c:pt idx="856">
                  <c:v>976.66817413190017</c:v>
                </c:pt>
                <c:pt idx="857">
                  <c:v>976.66817413190017</c:v>
                </c:pt>
                <c:pt idx="858">
                  <c:v>976.66817413190017</c:v>
                </c:pt>
                <c:pt idx="859">
                  <c:v>976.66817413190017</c:v>
                </c:pt>
                <c:pt idx="860">
                  <c:v>976.66817413190017</c:v>
                </c:pt>
                <c:pt idx="861">
                  <c:v>976.66817413190017</c:v>
                </c:pt>
                <c:pt idx="862">
                  <c:v>976.66817413190017</c:v>
                </c:pt>
                <c:pt idx="863">
                  <c:v>976.66817413190017</c:v>
                </c:pt>
                <c:pt idx="864">
                  <c:v>976.66817413190017</c:v>
                </c:pt>
                <c:pt idx="865">
                  <c:v>976.66817413190017</c:v>
                </c:pt>
                <c:pt idx="866">
                  <c:v>976.66817413190017</c:v>
                </c:pt>
                <c:pt idx="867">
                  <c:v>976.66817413190017</c:v>
                </c:pt>
                <c:pt idx="868">
                  <c:v>976.66817413190017</c:v>
                </c:pt>
                <c:pt idx="869">
                  <c:v>976.66817413190017</c:v>
                </c:pt>
                <c:pt idx="870">
                  <c:v>976.66817413190017</c:v>
                </c:pt>
                <c:pt idx="871">
                  <c:v>976.66817413190017</c:v>
                </c:pt>
                <c:pt idx="872">
                  <c:v>976.66817413190017</c:v>
                </c:pt>
                <c:pt idx="873">
                  <c:v>976.66817413190017</c:v>
                </c:pt>
                <c:pt idx="874">
                  <c:v>976.66817413190017</c:v>
                </c:pt>
                <c:pt idx="875">
                  <c:v>976.66817413190017</c:v>
                </c:pt>
                <c:pt idx="876">
                  <c:v>976.66817413190017</c:v>
                </c:pt>
                <c:pt idx="877">
                  <c:v>976.66817413190017</c:v>
                </c:pt>
                <c:pt idx="878">
                  <c:v>976.66817413190017</c:v>
                </c:pt>
                <c:pt idx="879">
                  <c:v>976.66817413190017</c:v>
                </c:pt>
                <c:pt idx="880">
                  <c:v>976.66817413190017</c:v>
                </c:pt>
                <c:pt idx="881">
                  <c:v>976.66817413190017</c:v>
                </c:pt>
                <c:pt idx="882">
                  <c:v>976.66817413190017</c:v>
                </c:pt>
                <c:pt idx="883">
                  <c:v>976.66817413190017</c:v>
                </c:pt>
                <c:pt idx="884">
                  <c:v>976.66817413190017</c:v>
                </c:pt>
                <c:pt idx="885">
                  <c:v>976.66817413190017</c:v>
                </c:pt>
                <c:pt idx="886">
                  <c:v>976.66817413190017</c:v>
                </c:pt>
                <c:pt idx="887">
                  <c:v>976.66817413190017</c:v>
                </c:pt>
                <c:pt idx="888">
                  <c:v>976.66817413190017</c:v>
                </c:pt>
                <c:pt idx="889">
                  <c:v>976.66817413190017</c:v>
                </c:pt>
                <c:pt idx="890">
                  <c:v>976.66817413190017</c:v>
                </c:pt>
                <c:pt idx="891">
                  <c:v>976.66817413190017</c:v>
                </c:pt>
                <c:pt idx="892">
                  <c:v>976.66817413190017</c:v>
                </c:pt>
                <c:pt idx="893">
                  <c:v>976.66817413190017</c:v>
                </c:pt>
                <c:pt idx="894">
                  <c:v>976.66817413190017</c:v>
                </c:pt>
                <c:pt idx="895">
                  <c:v>976.66817413190017</c:v>
                </c:pt>
                <c:pt idx="896">
                  <c:v>976.66817413190017</c:v>
                </c:pt>
                <c:pt idx="897">
                  <c:v>976.66817413190017</c:v>
                </c:pt>
                <c:pt idx="898">
                  <c:v>976.66817413190017</c:v>
                </c:pt>
                <c:pt idx="899">
                  <c:v>976.66817413190017</c:v>
                </c:pt>
                <c:pt idx="900">
                  <c:v>976.66817413190017</c:v>
                </c:pt>
                <c:pt idx="901">
                  <c:v>976.66817413190017</c:v>
                </c:pt>
                <c:pt idx="902">
                  <c:v>976.66817413190017</c:v>
                </c:pt>
                <c:pt idx="903">
                  <c:v>976.66817413190017</c:v>
                </c:pt>
                <c:pt idx="904">
                  <c:v>976.66817413190017</c:v>
                </c:pt>
                <c:pt idx="905">
                  <c:v>976.66817413190017</c:v>
                </c:pt>
                <c:pt idx="906">
                  <c:v>976.66817413190017</c:v>
                </c:pt>
                <c:pt idx="907">
                  <c:v>976.66817413190017</c:v>
                </c:pt>
                <c:pt idx="908">
                  <c:v>976.66817413190017</c:v>
                </c:pt>
                <c:pt idx="909">
                  <c:v>976.66817413190017</c:v>
                </c:pt>
                <c:pt idx="910">
                  <c:v>976.66817413190017</c:v>
                </c:pt>
                <c:pt idx="911">
                  <c:v>976.66817413190017</c:v>
                </c:pt>
                <c:pt idx="912">
                  <c:v>976.66817413190017</c:v>
                </c:pt>
                <c:pt idx="913">
                  <c:v>976.66817413190017</c:v>
                </c:pt>
                <c:pt idx="914">
                  <c:v>976.66817413190017</c:v>
                </c:pt>
                <c:pt idx="915">
                  <c:v>976.66817413190017</c:v>
                </c:pt>
                <c:pt idx="916">
                  <c:v>976.66817413190017</c:v>
                </c:pt>
                <c:pt idx="917">
                  <c:v>976.66817413190017</c:v>
                </c:pt>
                <c:pt idx="918">
                  <c:v>976.66817413190017</c:v>
                </c:pt>
                <c:pt idx="919">
                  <c:v>976.66817413190017</c:v>
                </c:pt>
                <c:pt idx="920">
                  <c:v>976.66817413190017</c:v>
                </c:pt>
                <c:pt idx="921">
                  <c:v>976.66817413190017</c:v>
                </c:pt>
                <c:pt idx="922">
                  <c:v>976.66817413190017</c:v>
                </c:pt>
                <c:pt idx="923">
                  <c:v>976.66817413190017</c:v>
                </c:pt>
                <c:pt idx="924">
                  <c:v>976.66817413190017</c:v>
                </c:pt>
                <c:pt idx="925">
                  <c:v>976.66817413190017</c:v>
                </c:pt>
                <c:pt idx="926">
                  <c:v>976.66817413190017</c:v>
                </c:pt>
                <c:pt idx="927">
                  <c:v>976.66817413190017</c:v>
                </c:pt>
                <c:pt idx="928">
                  <c:v>976.66817413190017</c:v>
                </c:pt>
                <c:pt idx="929">
                  <c:v>976.66817413190017</c:v>
                </c:pt>
                <c:pt idx="930">
                  <c:v>976.66817413190017</c:v>
                </c:pt>
                <c:pt idx="931">
                  <c:v>976.66817413190017</c:v>
                </c:pt>
                <c:pt idx="932">
                  <c:v>976.66817413190017</c:v>
                </c:pt>
                <c:pt idx="933">
                  <c:v>976.66817413190017</c:v>
                </c:pt>
                <c:pt idx="934">
                  <c:v>976.66817413190017</c:v>
                </c:pt>
                <c:pt idx="935">
                  <c:v>976.66817413190017</c:v>
                </c:pt>
                <c:pt idx="936">
                  <c:v>976.66817413190017</c:v>
                </c:pt>
                <c:pt idx="937">
                  <c:v>976.66817413190017</c:v>
                </c:pt>
                <c:pt idx="938">
                  <c:v>976.66817413190017</c:v>
                </c:pt>
                <c:pt idx="939">
                  <c:v>976.66817413190017</c:v>
                </c:pt>
                <c:pt idx="940">
                  <c:v>976.66817413190017</c:v>
                </c:pt>
                <c:pt idx="941">
                  <c:v>976.66817413190017</c:v>
                </c:pt>
                <c:pt idx="942">
                  <c:v>976.66817413190017</c:v>
                </c:pt>
                <c:pt idx="943">
                  <c:v>976.66817413190017</c:v>
                </c:pt>
                <c:pt idx="944">
                  <c:v>976.66817413190017</c:v>
                </c:pt>
                <c:pt idx="945">
                  <c:v>976.66817413190017</c:v>
                </c:pt>
                <c:pt idx="946">
                  <c:v>976.66817413190017</c:v>
                </c:pt>
                <c:pt idx="947">
                  <c:v>976.66817413190017</c:v>
                </c:pt>
                <c:pt idx="948">
                  <c:v>976.66817413190017</c:v>
                </c:pt>
                <c:pt idx="949">
                  <c:v>976.66817413190017</c:v>
                </c:pt>
                <c:pt idx="950">
                  <c:v>976.66817413190017</c:v>
                </c:pt>
                <c:pt idx="951">
                  <c:v>976.66817413190017</c:v>
                </c:pt>
                <c:pt idx="952">
                  <c:v>976.66817413190017</c:v>
                </c:pt>
                <c:pt idx="953">
                  <c:v>976.66817413190017</c:v>
                </c:pt>
                <c:pt idx="954">
                  <c:v>976.66817413190017</c:v>
                </c:pt>
                <c:pt idx="955">
                  <c:v>976.66817413190017</c:v>
                </c:pt>
                <c:pt idx="956">
                  <c:v>976.66817413190017</c:v>
                </c:pt>
                <c:pt idx="957">
                  <c:v>976.66817413190017</c:v>
                </c:pt>
                <c:pt idx="958">
                  <c:v>976.66817413190017</c:v>
                </c:pt>
                <c:pt idx="959">
                  <c:v>976.66817413190017</c:v>
                </c:pt>
                <c:pt idx="960">
                  <c:v>976.66817413190017</c:v>
                </c:pt>
                <c:pt idx="961">
                  <c:v>976.66817413190017</c:v>
                </c:pt>
                <c:pt idx="962">
                  <c:v>976.66817413190017</c:v>
                </c:pt>
                <c:pt idx="963">
                  <c:v>976.66817413190017</c:v>
                </c:pt>
                <c:pt idx="964">
                  <c:v>976.66817413190017</c:v>
                </c:pt>
                <c:pt idx="965">
                  <c:v>976.66817413190017</c:v>
                </c:pt>
                <c:pt idx="966">
                  <c:v>976.66817413190017</c:v>
                </c:pt>
                <c:pt idx="967">
                  <c:v>976.66817413190017</c:v>
                </c:pt>
                <c:pt idx="968">
                  <c:v>976.66817413190017</c:v>
                </c:pt>
                <c:pt idx="969">
                  <c:v>976.66817413190017</c:v>
                </c:pt>
                <c:pt idx="970">
                  <c:v>976.66817413190017</c:v>
                </c:pt>
                <c:pt idx="971">
                  <c:v>976.66817413190017</c:v>
                </c:pt>
                <c:pt idx="972">
                  <c:v>976.66817413190017</c:v>
                </c:pt>
                <c:pt idx="973">
                  <c:v>976.66817413190017</c:v>
                </c:pt>
                <c:pt idx="974">
                  <c:v>976.66817413190017</c:v>
                </c:pt>
                <c:pt idx="975">
                  <c:v>976.66817413190017</c:v>
                </c:pt>
                <c:pt idx="976">
                  <c:v>976.66817413190017</c:v>
                </c:pt>
                <c:pt idx="977">
                  <c:v>976.66817413190017</c:v>
                </c:pt>
                <c:pt idx="978">
                  <c:v>976.66817413190017</c:v>
                </c:pt>
                <c:pt idx="979">
                  <c:v>976.66817413190017</c:v>
                </c:pt>
                <c:pt idx="980">
                  <c:v>976.66817413190017</c:v>
                </c:pt>
                <c:pt idx="981">
                  <c:v>976.66817413190017</c:v>
                </c:pt>
                <c:pt idx="982">
                  <c:v>976.66817413190017</c:v>
                </c:pt>
                <c:pt idx="983">
                  <c:v>976.66817413190017</c:v>
                </c:pt>
                <c:pt idx="984">
                  <c:v>976.66817413190017</c:v>
                </c:pt>
                <c:pt idx="985">
                  <c:v>976.66817413190017</c:v>
                </c:pt>
                <c:pt idx="986">
                  <c:v>976.66817413190017</c:v>
                </c:pt>
                <c:pt idx="987">
                  <c:v>976.66817413190017</c:v>
                </c:pt>
                <c:pt idx="988">
                  <c:v>976.66817413190017</c:v>
                </c:pt>
                <c:pt idx="989">
                  <c:v>976.66817413190017</c:v>
                </c:pt>
                <c:pt idx="990">
                  <c:v>976.66817413190017</c:v>
                </c:pt>
                <c:pt idx="991">
                  <c:v>976.66817413190017</c:v>
                </c:pt>
                <c:pt idx="992">
                  <c:v>976.66817413190017</c:v>
                </c:pt>
                <c:pt idx="993">
                  <c:v>976.66817413190017</c:v>
                </c:pt>
                <c:pt idx="994">
                  <c:v>976.66817413190017</c:v>
                </c:pt>
                <c:pt idx="995">
                  <c:v>976.66817413190017</c:v>
                </c:pt>
                <c:pt idx="996">
                  <c:v>976.66817413190017</c:v>
                </c:pt>
                <c:pt idx="997">
                  <c:v>976.66817413190017</c:v>
                </c:pt>
                <c:pt idx="998">
                  <c:v>976.66817413190017</c:v>
                </c:pt>
                <c:pt idx="999">
                  <c:v>976.66817413190017</c:v>
                </c:pt>
                <c:pt idx="1000">
                  <c:v>976.66817413190017</c:v>
                </c:pt>
              </c:numCache>
            </c:numRef>
          </c:xVal>
          <c:yVal>
            <c:numRef>
              <c:f>Calculs!$AE$4:$AE$1004</c:f>
              <c:numCache>
                <c:formatCode>0</c:formatCode>
                <c:ptCount val="1001"/>
                <c:pt idx="0">
                  <c:v>0</c:v>
                </c:pt>
                <c:pt idx="1">
                  <c:v>0.9847482099156567</c:v>
                </c:pt>
                <c:pt idx="2">
                  <c:v>1.9708158743514637</c:v>
                </c:pt>
                <c:pt idx="3">
                  <c:v>2.961079418210022</c:v>
                </c:pt>
                <c:pt idx="4">
                  <c:v>3.9584145720889357</c:v>
                </c:pt>
                <c:pt idx="5">
                  <c:v>4.9656827944024275</c:v>
                </c:pt>
                <c:pt idx="6">
                  <c:v>5.9850171664031286</c:v>
                </c:pt>
                <c:pt idx="7">
                  <c:v>7.0171068046332365</c:v>
                </c:pt>
                <c:pt idx="8">
                  <c:v>8.0619108910433823</c:v>
                </c:pt>
                <c:pt idx="9">
                  <c:v>9.1193883832660259</c:v>
                </c:pt>
                <c:pt idx="10">
                  <c:v>10.189498016550278</c:v>
                </c:pt>
                <c:pt idx="11">
                  <c:v>11.272198305715337</c:v>
                </c:pt>
                <c:pt idx="12">
                  <c:v>12.367447547121964</c:v>
                </c:pt>
                <c:pt idx="13">
                  <c:v>13.47520382066147</c:v>
                </c:pt>
                <c:pt idx="14">
                  <c:v>14.595424991761659</c:v>
                </c:pt>
                <c:pt idx="15">
                  <c:v>15.728068713409225</c:v>
                </c:pt>
                <c:pt idx="16">
                  <c:v>16.87309242818808</c:v>
                </c:pt>
                <c:pt idx="17">
                  <c:v>18.030453370333099</c:v>
                </c:pt>
                <c:pt idx="18">
                  <c:v>19.200108567798825</c:v>
                </c:pt>
                <c:pt idx="19">
                  <c:v>20.382014844342606</c:v>
                </c:pt>
                <c:pt idx="20">
                  <c:v>21.576128821621708</c:v>
                </c:pt>
                <c:pt idx="21">
                  <c:v>22.782406921303945</c:v>
                </c:pt>
                <c:pt idx="22">
                  <c:v>24.000805367191326</c:v>
                </c:pt>
                <c:pt idx="23">
                  <c:v>25.231280187356312</c:v>
                </c:pt>
                <c:pt idx="24">
                  <c:v>26.47378721629018</c:v>
                </c:pt>
                <c:pt idx="25">
                  <c:v>27.728282097063097</c:v>
                </c:pt>
                <c:pt idx="26">
                  <c:v>28.994720283495429</c:v>
                </c:pt>
                <c:pt idx="27">
                  <c:v>30.273057042339872</c:v>
                </c:pt>
                <c:pt idx="28">
                  <c:v>31.563247455473959</c:v>
                </c:pt>
                <c:pt idx="29">
                  <c:v>32.865246422102544</c:v>
                </c:pt>
                <c:pt idx="30">
                  <c:v>34.179008660969799</c:v>
                </c:pt>
                <c:pt idx="31">
                  <c:v>35.504488712580383</c:v>
                </c:pt>
                <c:pt idx="32">
                  <c:v>36.841640941429247</c:v>
                </c:pt>
                <c:pt idx="33">
                  <c:v>38.190419538239851</c:v>
                </c:pt>
                <c:pt idx="34">
                  <c:v>39.550778522210173</c:v>
                </c:pt>
                <c:pt idx="35">
                  <c:v>40.922671743266299</c:v>
                </c:pt>
                <c:pt idx="36">
                  <c:v>42.30605288432308</c:v>
                </c:pt>
                <c:pt idx="37">
                  <c:v>43.700875463551519</c:v>
                </c:pt>
                <c:pt idx="38">
                  <c:v>45.107092836652477</c:v>
                </c:pt>
                <c:pt idx="39">
                  <c:v>46.524658199136297</c:v>
                </c:pt>
                <c:pt idx="40">
                  <c:v>47.953524588608033</c:v>
                </c:pt>
                <c:pt idx="41">
                  <c:v>49.393644887057789</c:v>
                </c:pt>
                <c:pt idx="42">
                  <c:v>50.844971823155916</c:v>
                </c:pt>
                <c:pt idx="43">
                  <c:v>52.307457974552605</c:v>
                </c:pt>
                <c:pt idx="44">
                  <c:v>53.781055770181545</c:v>
                </c:pt>
                <c:pt idx="45">
                  <c:v>55.265717492567255</c:v>
                </c:pt>
                <c:pt idx="46">
                  <c:v>56.761395280135787</c:v>
                </c:pt>
                <c:pt idx="47">
                  <c:v>58.268041129528342</c:v>
                </c:pt>
                <c:pt idx="48">
                  <c:v>59.785606897917532</c:v>
                </c:pt>
                <c:pt idx="49">
                  <c:v>61.314044305325886</c:v>
                </c:pt>
                <c:pt idx="50">
                  <c:v>62.853304936946252</c:v>
                </c:pt>
                <c:pt idx="51">
                  <c:v>64.403344122442661</c:v>
                </c:pt>
                <c:pt idx="52">
                  <c:v>65.964124817409498</c:v>
                </c:pt>
                <c:pt idx="53">
                  <c:v>67.535613727695477</c:v>
                </c:pt>
                <c:pt idx="54">
                  <c:v>69.117777431181949</c:v>
                </c:pt>
                <c:pt idx="55">
                  <c:v>70.710582379331512</c:v>
                </c:pt>
                <c:pt idx="56">
                  <c:v>72.313994898741072</c:v>
                </c:pt>
                <c:pt idx="57">
                  <c:v>73.927981192699065</c:v>
                </c:pt>
                <c:pt idx="58">
                  <c:v>75.552507342746608</c:v>
                </c:pt>
                <c:pt idx="59">
                  <c:v>77.187539310242499</c:v>
                </c:pt>
                <c:pt idx="60">
                  <c:v>78.833042937931666</c:v>
                </c:pt>
                <c:pt idx="61">
                  <c:v>80.488983951517028</c:v>
                </c:pt>
                <c:pt idx="62">
                  <c:v>82.155327961234448</c:v>
                </c:pt>
                <c:pt idx="63">
                  <c:v>83.83204046343063</c:v>
                </c:pt>
                <c:pt idx="64">
                  <c:v>85.519086842143764</c:v>
                </c:pt>
                <c:pt idx="65">
                  <c:v>87.216432370686618</c:v>
                </c:pt>
                <c:pt idx="66">
                  <c:v>88.924042213232028</c:v>
                </c:pt>
                <c:pt idx="67">
                  <c:v>90.641881426400388</c:v>
                </c:pt>
                <c:pt idx="68">
                  <c:v>92.369914960849187</c:v>
                </c:pt>
                <c:pt idx="69">
                  <c:v>94.108107662864171</c:v>
                </c:pt>
                <c:pt idx="70">
                  <c:v>95.856424275951994</c:v>
                </c:pt>
                <c:pt idx="71">
                  <c:v>97.614829442434257</c:v>
                </c:pt>
                <c:pt idx="72">
                  <c:v>99.383287705042619</c:v>
                </c:pt>
                <c:pt idx="73">
                  <c:v>101.16176350851485</c:v>
                </c:pt>
                <c:pt idx="74">
                  <c:v>102.95022120119161</c:v>
                </c:pt>
                <c:pt idx="75">
                  <c:v>104.74862503661372</c:v>
                </c:pt>
                <c:pt idx="76">
                  <c:v>106.55693917511985</c:v>
                </c:pt>
                <c:pt idx="77">
                  <c:v>108.37512768544437</c:v>
                </c:pt>
                <c:pt idx="78">
                  <c:v>110.20315454631505</c:v>
                </c:pt>
                <c:pt idx="79">
                  <c:v>112.04098364805068</c:v>
                </c:pt>
                <c:pt idx="80">
                  <c:v>113.88857879415824</c:v>
                </c:pt>
                <c:pt idx="81">
                  <c:v>115.74590370292937</c:v>
                </c:pt>
                <c:pt idx="82">
                  <c:v>117.6129220090363</c:v>
                </c:pt>
                <c:pt idx="83">
                  <c:v>119.4895972651266</c:v>
                </c:pt>
                <c:pt idx="84">
                  <c:v>121.37589294341696</c:v>
                </c:pt>
                <c:pt idx="85">
                  <c:v>123.27177243728551</c:v>
                </c:pt>
                <c:pt idx="86">
                  <c:v>125.17719906286277</c:v>
                </c:pt>
                <c:pt idx="87">
                  <c:v>127.09213606062094</c:v>
                </c:pt>
                <c:pt idx="88">
                  <c:v>129.01654659696126</c:v>
                </c:pt>
                <c:pt idx="89">
                  <c:v>130.95039376579942</c:v>
                </c:pt>
                <c:pt idx="90">
                  <c:v>132.89364059014875</c:v>
                </c:pt>
                <c:pt idx="91">
                  <c:v>134.8462500237012</c:v>
                </c:pt>
                <c:pt idx="92">
                  <c:v>136.80818495240558</c:v>
                </c:pt>
                <c:pt idx="93">
                  <c:v>138.77940819604328</c:v>
                </c:pt>
                <c:pt idx="94">
                  <c:v>140.75988250980112</c:v>
                </c:pt>
                <c:pt idx="95">
                  <c:v>142.74957058584113</c:v>
                </c:pt>
                <c:pt idx="96">
                  <c:v>144.74843505486723</c:v>
                </c:pt>
                <c:pt idx="97">
                  <c:v>146.75643848768854</c:v>
                </c:pt>
                <c:pt idx="98">
                  <c:v>148.77354339677922</c:v>
                </c:pt>
                <c:pt idx="99">
                  <c:v>150.79971223783465</c:v>
                </c:pt>
                <c:pt idx="100">
                  <c:v>152.83490741132388</c:v>
                </c:pt>
                <c:pt idx="101">
                  <c:v>154.87908945814223</c:v>
                </c:pt>
                <c:pt idx="102">
                  <c:v>156.93221525581896</c:v>
                </c:pt>
                <c:pt idx="103">
                  <c:v>158.99423982945027</c:v>
                </c:pt>
                <c:pt idx="104">
                  <c:v>161.06511816222158</c:v>
                </c:pt>
                <c:pt idx="105">
                  <c:v>163.14480519724228</c:v>
                </c:pt>
                <c:pt idx="106">
                  <c:v>165.23325583937287</c:v>
                </c:pt>
                <c:pt idx="107">
                  <c:v>167.33042495704413</c:v>
                </c:pt>
                <c:pt idx="108">
                  <c:v>169.43626738406829</c:v>
                </c:pt>
                <c:pt idx="109">
                  <c:v>171.55073792144194</c:v>
                </c:pt>
                <c:pt idx="110">
                  <c:v>173.67379133914071</c:v>
                </c:pt>
                <c:pt idx="111">
                  <c:v>175.80538237790518</c:v>
                </c:pt>
                <c:pt idx="112">
                  <c:v>177.94546575101839</c:v>
                </c:pt>
                <c:pt idx="113">
                  <c:v>180.09399614607426</c:v>
                </c:pt>
                <c:pt idx="114">
                  <c:v>182.25092822673722</c:v>
                </c:pt>
                <c:pt idx="115">
                  <c:v>184.4162166344926</c:v>
                </c:pt>
                <c:pt idx="116">
                  <c:v>186.58981599038776</c:v>
                </c:pt>
                <c:pt idx="117">
                  <c:v>188.77168089676388</c:v>
                </c:pt>
                <c:pt idx="118">
                  <c:v>190.96176593897815</c:v>
                </c:pt>
                <c:pt idx="119">
                  <c:v>193.16002568711619</c:v>
                </c:pt>
                <c:pt idx="120">
                  <c:v>195.36641469769484</c:v>
                </c:pt>
                <c:pt idx="121">
                  <c:v>197.58088751535487</c:v>
                </c:pt>
                <c:pt idx="122">
                  <c:v>199.80339867454364</c:v>
                </c:pt>
                <c:pt idx="123">
                  <c:v>202.03390270118754</c:v>
                </c:pt>
                <c:pt idx="124">
                  <c:v>204.27235411435424</c:v>
                </c:pt>
                <c:pt idx="125">
                  <c:v>206.51870742790433</c:v>
                </c:pt>
                <c:pt idx="126">
                  <c:v>208.77291715213249</c:v>
                </c:pt>
                <c:pt idx="127">
                  <c:v>211.03493779539806</c:v>
                </c:pt>
                <c:pt idx="128">
                  <c:v>213.30472386574476</c:v>
                </c:pt>
                <c:pt idx="129">
                  <c:v>215.58222987250949</c:v>
                </c:pt>
                <c:pt idx="130">
                  <c:v>217.86741032792025</c:v>
                </c:pt>
                <c:pt idx="131">
                  <c:v>220.16021974868298</c:v>
                </c:pt>
                <c:pt idx="132">
                  <c:v>222.46061265755705</c:v>
                </c:pt>
                <c:pt idx="133">
                  <c:v>224.76854358491968</c:v>
                </c:pt>
                <c:pt idx="134">
                  <c:v>227.08396707031889</c:v>
                </c:pt>
                <c:pt idx="135">
                  <c:v>229.40683766401494</c:v>
                </c:pt>
                <c:pt idx="136">
                  <c:v>231.73710992851034</c:v>
                </c:pt>
                <c:pt idx="137">
                  <c:v>234.07473844006807</c:v>
                </c:pt>
                <c:pt idx="138">
                  <c:v>236.41967779021829</c:v>
                </c:pt>
                <c:pt idx="139">
                  <c:v>238.771882587253</c:v>
                </c:pt>
                <c:pt idx="140">
                  <c:v>241.13130745770911</c:v>
                </c:pt>
                <c:pt idx="141">
                  <c:v>243.49790704783928</c:v>
                </c:pt>
                <c:pt idx="142">
                  <c:v>245.87163602507093</c:v>
                </c:pt>
                <c:pt idx="143">
                  <c:v>248.2524490794531</c:v>
                </c:pt>
                <c:pt idx="144">
                  <c:v>250.6403009250912</c:v>
                </c:pt>
                <c:pt idx="145">
                  <c:v>253.0351463015694</c:v>
                </c:pt>
                <c:pt idx="146">
                  <c:v>255.43693997536093</c:v>
                </c:pt>
                <c:pt idx="147">
                  <c:v>257.84563674122592</c:v>
                </c:pt>
                <c:pt idx="148">
                  <c:v>260.26119142359687</c:v>
                </c:pt>
                <c:pt idx="149">
                  <c:v>262.68355887795167</c:v>
                </c:pt>
                <c:pt idx="150">
                  <c:v>265.11269399217417</c:v>
                </c:pt>
                <c:pt idx="151">
                  <c:v>267.54855230833056</c:v>
                </c:pt>
                <c:pt idx="152">
                  <c:v>269.99109064371459</c:v>
                </c:pt>
                <c:pt idx="153">
                  <c:v>272.44026646955751</c:v>
                </c:pt>
                <c:pt idx="154">
                  <c:v>274.89603729040419</c:v>
                </c:pt>
                <c:pt idx="155">
                  <c:v>277.3583606453318</c:v>
                </c:pt>
                <c:pt idx="156">
                  <c:v>279.82719410915723</c:v>
                </c:pt>
                <c:pt idx="157">
                  <c:v>282.3024952936326</c:v>
                </c:pt>
                <c:pt idx="158">
                  <c:v>284.78422184862956</c:v>
                </c:pt>
                <c:pt idx="159">
                  <c:v>287.27233146331179</c:v>
                </c:pt>
                <c:pt idx="160">
                  <c:v>289.766781867296</c:v>
                </c:pt>
                <c:pt idx="161">
                  <c:v>292.26753083180125</c:v>
                </c:pt>
                <c:pt idx="162">
                  <c:v>294.77453617078652</c:v>
                </c:pt>
                <c:pt idx="163">
                  <c:v>297.28775574207685</c:v>
                </c:pt>
                <c:pt idx="164">
                  <c:v>299.80714744847745</c:v>
                </c:pt>
                <c:pt idx="165">
                  <c:v>302.33266923887635</c:v>
                </c:pt>
                <c:pt idx="166">
                  <c:v>304.86427910933503</c:v>
                </c:pt>
                <c:pt idx="167">
                  <c:v>307.40193510416759</c:v>
                </c:pt>
                <c:pt idx="168">
                  <c:v>309.9455953170081</c:v>
                </c:pt>
                <c:pt idx="169">
                  <c:v>312.49521789186599</c:v>
                </c:pt>
                <c:pt idx="170">
                  <c:v>315.05076102416967</c:v>
                </c:pt>
                <c:pt idx="171">
                  <c:v>317.61218296179874</c:v>
                </c:pt>
                <c:pt idx="172">
                  <c:v>320.17944200610384</c:v>
                </c:pt>
                <c:pt idx="173">
                  <c:v>322.75249651291517</c:v>
                </c:pt>
                <c:pt idx="174">
                  <c:v>325.33130489353891</c:v>
                </c:pt>
                <c:pt idx="175">
                  <c:v>327.91582561574205</c:v>
                </c:pt>
                <c:pt idx="176">
                  <c:v>330.50601720472525</c:v>
                </c:pt>
                <c:pt idx="177">
                  <c:v>333.10183824408404</c:v>
                </c:pt>
                <c:pt idx="178">
                  <c:v>335.7032473767581</c:v>
                </c:pt>
                <c:pt idx="179">
                  <c:v>338.31020330596903</c:v>
                </c:pt>
                <c:pt idx="180">
                  <c:v>340.92266479614597</c:v>
                </c:pt>
                <c:pt idx="181">
                  <c:v>343.54059067383969</c:v>
                </c:pt>
                <c:pt idx="182">
                  <c:v>346.16393982862502</c:v>
                </c:pt>
                <c:pt idx="183">
                  <c:v>348.79267121399135</c:v>
                </c:pt>
                <c:pt idx="184">
                  <c:v>351.42674384822141</c:v>
                </c:pt>
                <c:pt idx="185">
                  <c:v>354.06611681525857</c:v>
                </c:pt>
                <c:pt idx="186">
                  <c:v>356.7107492655623</c:v>
                </c:pt>
                <c:pt idx="187">
                  <c:v>359.36060041695191</c:v>
                </c:pt>
                <c:pt idx="188">
                  <c:v>362.01562955543881</c:v>
                </c:pt>
                <c:pt idx="189">
                  <c:v>364.67579603604702</c:v>
                </c:pt>
                <c:pt idx="190">
                  <c:v>367.3410592836222</c:v>
                </c:pt>
                <c:pt idx="191">
                  <c:v>370.01137879362904</c:v>
                </c:pt>
                <c:pt idx="192">
                  <c:v>372.68671413293714</c:v>
                </c:pt>
                <c:pt idx="193">
                  <c:v>375.36702494059534</c:v>
                </c:pt>
                <c:pt idx="194">
                  <c:v>378.05227092859468</c:v>
                </c:pt>
                <c:pt idx="195">
                  <c:v>380.74241188261971</c:v>
                </c:pt>
                <c:pt idx="196">
                  <c:v>383.43740766278864</c:v>
                </c:pt>
                <c:pt idx="197">
                  <c:v>386.1372182043819</c:v>
                </c:pt>
                <c:pt idx="198">
                  <c:v>388.8418035185594</c:v>
                </c:pt>
                <c:pt idx="199">
                  <c:v>391.55112369306664</c:v>
                </c:pt>
                <c:pt idx="200">
                  <c:v>394.26513889292926</c:v>
                </c:pt>
                <c:pt idx="201">
                  <c:v>396.98380936113665</c:v>
                </c:pt>
                <c:pt idx="202">
                  <c:v>399.7070954193141</c:v>
                </c:pt>
                <c:pt idx="203">
                  <c:v>402.43495746838403</c:v>
                </c:pt>
                <c:pt idx="204">
                  <c:v>405.16735598921593</c:v>
                </c:pt>
                <c:pt idx="205">
                  <c:v>407.90425154326527</c:v>
                </c:pt>
                <c:pt idx="206">
                  <c:v>410.64560477320157</c:v>
                </c:pt>
                <c:pt idx="207">
                  <c:v>413.3913764035251</c:v>
                </c:pt>
                <c:pt idx="208">
                  <c:v>416.14152724117315</c:v>
                </c:pt>
                <c:pt idx="209">
                  <c:v>418.89601817611492</c:v>
                </c:pt>
                <c:pt idx="210">
                  <c:v>421.65481018193594</c:v>
                </c:pt>
                <c:pt idx="211">
                  <c:v>424.41786431641145</c:v>
                </c:pt>
                <c:pt idx="212">
                  <c:v>427.18514172206926</c:v>
                </c:pt>
                <c:pt idx="213">
                  <c:v>429.95660362674175</c:v>
                </c:pt>
                <c:pt idx="214">
                  <c:v>432.73221134410733</c:v>
                </c:pt>
                <c:pt idx="215">
                  <c:v>435.5119262742212</c:v>
                </c:pt>
                <c:pt idx="216">
                  <c:v>438.29570990403579</c:v>
                </c:pt>
                <c:pt idx="217">
                  <c:v>441.08352380791047</c:v>
                </c:pt>
                <c:pt idx="218">
                  <c:v>443.87532964811106</c:v>
                </c:pt>
                <c:pt idx="219">
                  <c:v>446.67108917529885</c:v>
                </c:pt>
                <c:pt idx="220">
                  <c:v>449.47076422900932</c:v>
                </c:pt>
                <c:pt idx="221">
                  <c:v>452.27431673812072</c:v>
                </c:pt>
                <c:pt idx="222">
                  <c:v>455.08170872131222</c:v>
                </c:pt>
                <c:pt idx="223">
                  <c:v>457.8929022875123</c:v>
                </c:pt>
                <c:pt idx="224">
                  <c:v>460.70785963633659</c:v>
                </c:pt>
                <c:pt idx="225">
                  <c:v>463.52654305851615</c:v>
                </c:pt>
                <c:pt idx="226">
                  <c:v>466.34891493631551</c:v>
                </c:pt>
                <c:pt idx="227">
                  <c:v>469.17493774394092</c:v>
                </c:pt>
                <c:pt idx="228">
                  <c:v>472.00457404793877</c:v>
                </c:pt>
                <c:pt idx="229">
                  <c:v>474.83778650758421</c:v>
                </c:pt>
                <c:pt idx="230">
                  <c:v>477.67453787526011</c:v>
                </c:pt>
                <c:pt idx="231">
                  <c:v>480.51479099682638</c:v>
                </c:pt>
                <c:pt idx="232">
                  <c:v>483.35850881197962</c:v>
                </c:pt>
                <c:pt idx="233">
                  <c:v>486.20565435460338</c:v>
                </c:pt>
                <c:pt idx="234">
                  <c:v>489.05619075310892</c:v>
                </c:pt>
                <c:pt idx="235">
                  <c:v>491.91008123076654</c:v>
                </c:pt>
                <c:pt idx="236">
                  <c:v>494.76728910602776</c:v>
                </c:pt>
                <c:pt idx="237">
                  <c:v>497.62777779283806</c:v>
                </c:pt>
                <c:pt idx="238">
                  <c:v>500.49151080094055</c:v>
                </c:pt>
                <c:pt idx="239">
                  <c:v>503.35845173617042</c:v>
                </c:pt>
                <c:pt idx="240">
                  <c:v>506.22856430074057</c:v>
                </c:pt>
                <c:pt idx="241">
                  <c:v>509.10181229351804</c:v>
                </c:pt>
                <c:pt idx="242">
                  <c:v>511.97815961029153</c:v>
                </c:pt>
                <c:pt idx="243">
                  <c:v>514.85757024403028</c:v>
                </c:pt>
                <c:pt idx="244">
                  <c:v>517.74000828513385</c:v>
                </c:pt>
                <c:pt idx="245">
                  <c:v>520.62543792167378</c:v>
                </c:pt>
                <c:pt idx="246">
                  <c:v>523.51382343962575</c:v>
                </c:pt>
                <c:pt idx="247">
                  <c:v>526.40512922309415</c:v>
                </c:pt>
                <c:pt idx="248">
                  <c:v>529.29931975452723</c:v>
                </c:pt>
                <c:pt idx="249">
                  <c:v>532.1963596149244</c:v>
                </c:pt>
                <c:pt idx="250">
                  <c:v>535.09621348403539</c:v>
                </c:pt>
                <c:pt idx="251">
                  <c:v>537.99884341880193</c:v>
                </c:pt>
                <c:pt idx="252">
                  <c:v>540.90420613836181</c:v>
                </c:pt>
                <c:pt idx="253">
                  <c:v>543.81225576174711</c:v>
                </c:pt>
                <c:pt idx="254">
                  <c:v>546.72294653906238</c:v>
                </c:pt>
                <c:pt idx="255">
                  <c:v>549.63623285175743</c:v>
                </c:pt>
                <c:pt idx="256">
                  <c:v>552.55206921288629</c:v>
                </c:pt>
                <c:pt idx="257">
                  <c:v>555.47041026735417</c:v>
                </c:pt>
                <c:pt idx="258">
                  <c:v>558.39121079215079</c:v>
                </c:pt>
                <c:pt idx="259">
                  <c:v>561.31442569657179</c:v>
                </c:pt>
                <c:pt idx="260">
                  <c:v>564.2400100224271</c:v>
                </c:pt>
                <c:pt idx="261">
                  <c:v>567.16791894423716</c:v>
                </c:pt>
                <c:pt idx="262">
                  <c:v>570.09810776941697</c:v>
                </c:pt>
                <c:pt idx="263">
                  <c:v>573.03053193844767</c:v>
                </c:pt>
                <c:pt idx="264">
                  <c:v>575.96514702503623</c:v>
                </c:pt>
                <c:pt idx="265">
                  <c:v>578.90190873626341</c:v>
                </c:pt>
                <c:pt idx="266">
                  <c:v>581.84077291271979</c:v>
                </c:pt>
                <c:pt idx="267">
                  <c:v>584.78169552862994</c:v>
                </c:pt>
                <c:pt idx="268">
                  <c:v>587.72463269196521</c:v>
                </c:pt>
                <c:pt idx="269">
                  <c:v>590.66954064454535</c:v>
                </c:pt>
                <c:pt idx="270">
                  <c:v>593.61637576212831</c:v>
                </c:pt>
                <c:pt idx="271">
                  <c:v>596.56509455448929</c:v>
                </c:pt>
                <c:pt idx="272">
                  <c:v>599.51565366548846</c:v>
                </c:pt>
                <c:pt idx="273">
                  <c:v>602.46800987312781</c:v>
                </c:pt>
                <c:pt idx="274">
                  <c:v>605.42212008959723</c:v>
                </c:pt>
                <c:pt idx="275">
                  <c:v>608.37794136130992</c:v>
                </c:pt>
                <c:pt idx="276">
                  <c:v>611.33543086892735</c:v>
                </c:pt>
                <c:pt idx="277">
                  <c:v>614.29454592737306</c:v>
                </c:pt>
                <c:pt idx="278">
                  <c:v>617.25524398583707</c:v>
                </c:pt>
                <c:pt idx="279">
                  <c:v>620.21748262776964</c:v>
                </c:pt>
                <c:pt idx="280">
                  <c:v>623.18121957086464</c:v>
                </c:pt>
                <c:pt idx="281">
                  <c:v>626.1464126670337</c:v>
                </c:pt>
                <c:pt idx="282">
                  <c:v>629.1130199023695</c:v>
                </c:pt>
                <c:pt idx="283">
                  <c:v>632.08099939710041</c:v>
                </c:pt>
                <c:pt idx="284">
                  <c:v>635.05030940553468</c:v>
                </c:pt>
                <c:pt idx="285">
                  <c:v>638.02090831599526</c:v>
                </c:pt>
                <c:pt idx="286">
                  <c:v>640.99275465074584</c:v>
                </c:pt>
                <c:pt idx="287">
                  <c:v>643.96580706590669</c:v>
                </c:pt>
                <c:pt idx="288">
                  <c:v>646.94002435136235</c:v>
                </c:pt>
                <c:pt idx="289">
                  <c:v>649.91536543065934</c:v>
                </c:pt>
                <c:pt idx="290">
                  <c:v>652.89178936089547</c:v>
                </c:pt>
                <c:pt idx="291">
                  <c:v>655.86925533260069</c:v>
                </c:pt>
                <c:pt idx="292">
                  <c:v>658.84772266960829</c:v>
                </c:pt>
                <c:pt idx="293">
                  <c:v>661.82715082891832</c:v>
                </c:pt>
                <c:pt idx="294">
                  <c:v>664.80749940055239</c:v>
                </c:pt>
                <c:pt idx="295">
                  <c:v>667.78872810740006</c:v>
                </c:pt>
                <c:pt idx="296">
                  <c:v>670.77079680505688</c:v>
                </c:pt>
                <c:pt idx="297">
                  <c:v>673.75366548165459</c:v>
                </c:pt>
                <c:pt idx="298">
                  <c:v>676.73726419430136</c:v>
                </c:pt>
                <c:pt idx="299">
                  <c:v>679.72146309386619</c:v>
                </c:pt>
                <c:pt idx="300">
                  <c:v>682.70610268891232</c:v>
                </c:pt>
                <c:pt idx="301">
                  <c:v>685.69102402235717</c:v>
                </c:pt>
                <c:pt idx="302">
                  <c:v>688.67606867337076</c:v>
                </c:pt>
                <c:pt idx="303">
                  <c:v>691.66107875913838</c:v>
                </c:pt>
                <c:pt idx="304">
                  <c:v>694.64589693649054</c:v>
                </c:pt>
                <c:pt idx="305">
                  <c:v>697.63036640340101</c:v>
                </c:pt>
                <c:pt idx="306">
                  <c:v>700.61433090035405</c:v>
                </c:pt>
                <c:pt idx="307">
                  <c:v>703.59763471158431</c:v>
                </c:pt>
                <c:pt idx="308">
                  <c:v>706.5801226661888</c:v>
                </c:pt>
                <c:pt idx="309">
                  <c:v>709.5616401391145</c:v>
                </c:pt>
                <c:pt idx="310">
                  <c:v>712.54203305202202</c:v>
                </c:pt>
                <c:pt idx="311">
                  <c:v>715.52114787402741</c:v>
                </c:pt>
                <c:pt idx="312">
                  <c:v>718.49883162232436</c:v>
                </c:pt>
                <c:pt idx="313">
                  <c:v>721.47493186268719</c:v>
                </c:pt>
                <c:pt idx="314">
                  <c:v>724.44929670985789</c:v>
                </c:pt>
                <c:pt idx="315">
                  <c:v>727.42177482781722</c:v>
                </c:pt>
                <c:pt idx="316">
                  <c:v>730.39221542994323</c:v>
                </c:pt>
                <c:pt idx="317">
                  <c:v>733.36046827905727</c:v>
                </c:pt>
                <c:pt idx="318">
                  <c:v>736.32638368736093</c:v>
                </c:pt>
                <c:pt idx="319">
                  <c:v>739.28981251626362</c:v>
                </c:pt>
                <c:pt idx="320">
                  <c:v>742.25060617610438</c:v>
                </c:pt>
                <c:pt idx="321">
                  <c:v>745.20862860487659</c:v>
                </c:pt>
                <c:pt idx="322">
                  <c:v>748.1637682030489</c:v>
                </c:pt>
                <c:pt idx="323">
                  <c:v>751.11592576136957</c:v>
                </c:pt>
                <c:pt idx="324">
                  <c:v>754.06500243216237</c:v>
                </c:pt>
                <c:pt idx="325">
                  <c:v>757.01089972814884</c:v>
                </c:pt>
                <c:pt idx="326">
                  <c:v>759.95351952123269</c:v>
                </c:pt>
                <c:pt idx="327">
                  <c:v>762.89276404124644</c:v>
                </c:pt>
                <c:pt idx="328">
                  <c:v>765.82853587466104</c:v>
                </c:pt>
                <c:pt idx="329">
                  <c:v>768.7607379632592</c:v>
                </c:pt>
                <c:pt idx="330">
                  <c:v>771.68927360277394</c:v>
                </c:pt>
                <c:pt idx="331">
                  <c:v>774.61404644149138</c:v>
                </c:pt>
                <c:pt idx="332">
                  <c:v>777.53496047882038</c:v>
                </c:pt>
                <c:pt idx="333">
                  <c:v>780.4519200638282</c:v>
                </c:pt>
                <c:pt idx="334">
                  <c:v>783.36482989374372</c:v>
                </c:pt>
                <c:pt idx="335">
                  <c:v>786.2735950124287</c:v>
                </c:pt>
                <c:pt idx="336">
                  <c:v>789.17812080881743</c:v>
                </c:pt>
                <c:pt idx="337">
                  <c:v>792.07831301532588</c:v>
                </c:pt>
                <c:pt idx="338">
                  <c:v>794.9740777062309</c:v>
                </c:pt>
                <c:pt idx="339">
                  <c:v>797.86532129601994</c:v>
                </c:pt>
                <c:pt idx="340">
                  <c:v>800.75195053771176</c:v>
                </c:pt>
                <c:pt idx="341">
                  <c:v>803.63387252114944</c:v>
                </c:pt>
                <c:pt idx="342">
                  <c:v>806.51099467126573</c:v>
                </c:pt>
                <c:pt idx="343">
                  <c:v>809.38322474632128</c:v>
                </c:pt>
                <c:pt idx="344">
                  <c:v>812.25047083611719</c:v>
                </c:pt>
                <c:pt idx="345">
                  <c:v>815.11264136018133</c:v>
                </c:pt>
                <c:pt idx="346">
                  <c:v>817.96964506592963</c:v>
                </c:pt>
                <c:pt idx="347">
                  <c:v>820.82139102680355</c:v>
                </c:pt>
                <c:pt idx="348">
                  <c:v>823.66778993327443</c:v>
                </c:pt>
                <c:pt idx="349">
                  <c:v>826.50875537856575</c:v>
                </c:pt>
                <c:pt idx="350">
                  <c:v>829.34420255321231</c:v>
                </c:pt>
                <c:pt idx="351">
                  <c:v>832.17404694488971</c:v>
                </c:pt>
                <c:pt idx="352">
                  <c:v>834.9982043365037</c:v>
                </c:pt>
                <c:pt idx="353">
                  <c:v>837.81659080426164</c:v>
                </c:pt>
                <c:pt idx="354">
                  <c:v>840.62912271572691</c:v>
                </c:pt>
                <c:pt idx="355">
                  <c:v>843.43571672785697</c:v>
                </c:pt>
                <c:pt idx="356">
                  <c:v>846.23628978502529</c:v>
                </c:pt>
                <c:pt idx="357">
                  <c:v>849.0307591170274</c:v>
                </c:pt>
                <c:pt idx="358">
                  <c:v>851.81904223707159</c:v>
                </c:pt>
                <c:pt idx="359">
                  <c:v>854.60105693975493</c:v>
                </c:pt>
                <c:pt idx="360">
                  <c:v>857.37674818526625</c:v>
                </c:pt>
                <c:pt idx="361">
                  <c:v>860.14611487112461</c:v>
                </c:pt>
                <c:pt idx="362">
                  <c:v>862.90918272102988</c:v>
                </c:pt>
                <c:pt idx="363">
                  <c:v>865.66597728795637</c:v>
                </c:pt>
                <c:pt idx="364">
                  <c:v>868.41652395566973</c:v>
                </c:pt>
                <c:pt idx="365">
                  <c:v>871.16084794022731</c:v>
                </c:pt>
                <c:pt idx="366">
                  <c:v>873.8989742914614</c:v>
                </c:pt>
                <c:pt idx="367">
                  <c:v>876.63092789444613</c:v>
                </c:pt>
                <c:pt idx="368">
                  <c:v>879.35673347094837</c:v>
                </c:pt>
                <c:pt idx="369">
                  <c:v>882.0764155808622</c:v>
                </c:pt>
                <c:pt idx="370">
                  <c:v>884.78999862362798</c:v>
                </c:pt>
                <c:pt idx="371">
                  <c:v>887.49750683963543</c:v>
                </c:pt>
                <c:pt idx="372">
                  <c:v>890.19896431161158</c:v>
                </c:pt>
                <c:pt idx="373">
                  <c:v>892.89439496599334</c:v>
                </c:pt>
                <c:pt idx="374">
                  <c:v>895.58382257428514</c:v>
                </c:pt>
                <c:pt idx="375">
                  <c:v>898.26727075440203</c:v>
                </c:pt>
                <c:pt idx="376">
                  <c:v>900.94476297199753</c:v>
                </c:pt>
                <c:pt idx="377">
                  <c:v>903.61632254177778</c:v>
                </c:pt>
                <c:pt idx="378">
                  <c:v>906.28197262880099</c:v>
                </c:pt>
                <c:pt idx="379">
                  <c:v>908.94173624976304</c:v>
                </c:pt>
                <c:pt idx="380">
                  <c:v>911.59563627426905</c:v>
                </c:pt>
                <c:pt idx="381">
                  <c:v>914.24369542609168</c:v>
                </c:pt>
                <c:pt idx="382">
                  <c:v>916.88593628441527</c:v>
                </c:pt>
                <c:pt idx="383">
                  <c:v>919.52238128506735</c:v>
                </c:pt>
                <c:pt idx="384">
                  <c:v>922.15305272173634</c:v>
                </c:pt>
                <c:pt idx="385">
                  <c:v>924.77797274717693</c:v>
                </c:pt>
                <c:pt idx="386">
                  <c:v>927.397163374402</c:v>
                </c:pt>
                <c:pt idx="387">
                  <c:v>930.01064647786234</c:v>
                </c:pt>
                <c:pt idx="388">
                  <c:v>932.61844379461354</c:v>
                </c:pt>
                <c:pt idx="389">
                  <c:v>935.22057692547082</c:v>
                </c:pt>
                <c:pt idx="390">
                  <c:v>937.81706733615158</c:v>
                </c:pt>
                <c:pt idx="391">
                  <c:v>940.40793635840566</c:v>
                </c:pt>
                <c:pt idx="392">
                  <c:v>942.99320519113439</c:v>
                </c:pt>
                <c:pt idx="393">
                  <c:v>945.57289490149697</c:v>
                </c:pt>
                <c:pt idx="394">
                  <c:v>948.14702642600639</c:v>
                </c:pt>
                <c:pt idx="395">
                  <c:v>950.7156205716127</c:v>
                </c:pt>
                <c:pt idx="396">
                  <c:v>953.27869801677605</c:v>
                </c:pt>
                <c:pt idx="397">
                  <c:v>955.83627931252806</c:v>
                </c:pt>
                <c:pt idx="398">
                  <c:v>958.38838488352201</c:v>
                </c:pt>
                <c:pt idx="399">
                  <c:v>960.93503502907276</c:v>
                </c:pt>
                <c:pt idx="400">
                  <c:v>963.47624992418537</c:v>
                </c:pt>
                <c:pt idx="401">
                  <c:v>988.59101272768726</c:v>
                </c:pt>
                <c:pt idx="402">
                  <c:v>1013.175072855261</c:v>
                </c:pt>
                <c:pt idx="403">
                  <c:v>1037.2474832232151</c:v>
                </c:pt>
                <c:pt idx="404">
                  <c:v>1060.8261774100238</c:v>
                </c:pt>
                <c:pt idx="405">
                  <c:v>1083.9280563520347</c:v>
                </c:pt>
                <c:pt idx="406">
                  <c:v>1106.5690667296578</c:v>
                </c:pt>
                <c:pt idx="407">
                  <c:v>1128.7642719871212</c:v>
                </c:pt>
                <c:pt idx="408">
                  <c:v>1150.5279168057789</c:v>
                </c:pt>
                <c:pt idx="409">
                  <c:v>1171.8734857459551</c:v>
                </c:pt>
                <c:pt idx="410">
                  <c:v>1192.8137566824398</c:v>
                </c:pt>
                <c:pt idx="411">
                  <c:v>1213.3608495816145</c:v>
                </c:pt>
                <c:pt idx="412">
                  <c:v>1233.5262711017738</c:v>
                </c:pt>
                <c:pt idx="413">
                  <c:v>1253.3209554408654</c:v>
                </c:pt>
                <c:pt idx="414">
                  <c:v>1272.7553018062345</c:v>
                </c:pt>
                <c:pt idx="415">
                  <c:v>1291.8392088378616</c:v>
                </c:pt>
                <c:pt idx="416">
                  <c:v>1310.5821062790887</c:v>
                </c:pt>
                <c:pt idx="417">
                  <c:v>1328.9929841561147</c:v>
                </c:pt>
                <c:pt idx="418">
                  <c:v>1347.080419698935</c:v>
                </c:pt>
                <c:pt idx="419">
                  <c:v>1364.8526022113342</c:v>
                </c:pt>
                <c:pt idx="420">
                  <c:v>1382.3173560755197</c:v>
                </c:pt>
                <c:pt idx="421">
                  <c:v>1399.4821620576013</c:v>
                </c:pt>
                <c:pt idx="422">
                  <c:v>1416.3541770630281</c:v>
                </c:pt>
                <c:pt idx="423">
                  <c:v>1432.940252475986</c:v>
                </c:pt>
                <c:pt idx="424">
                  <c:v>1449.2469512033774</c:v>
                </c:pt>
                <c:pt idx="425">
                  <c:v>1465.2805635321401</c:v>
                </c:pt>
                <c:pt idx="426">
                  <c:v>1481.0471218981097</c:v>
                </c:pt>
                <c:pt idx="427">
                  <c:v>1496.5524146552398</c:v>
                </c:pt>
                <c:pt idx="428">
                  <c:v>1511.80199892562</c:v>
                </c:pt>
                <c:pt idx="429">
                  <c:v>1526.8012126032452</c:v>
                </c:pt>
                <c:pt idx="430">
                  <c:v>1541.5551855777974</c:v>
                </c:pt>
                <c:pt idx="431">
                  <c:v>1556.0688502387006</c:v>
                </c:pt>
                <c:pt idx="432">
                  <c:v>1570.3469513143245</c:v>
                </c:pt>
                <c:pt idx="433">
                  <c:v>1584.3940550963703</c:v>
                </c:pt>
                <c:pt idx="434">
                  <c:v>1598.2145580951164</c:v>
                </c:pt>
                <c:pt idx="435">
                  <c:v>1611.8126951672771</c:v>
                </c:pt>
                <c:pt idx="436">
                  <c:v>1625.1925471546715</c:v>
                </c:pt>
                <c:pt idx="437">
                  <c:v>1638.3580480687119</c:v>
                </c:pt>
                <c:pt idx="438">
                  <c:v>1651.3129918528041</c:v>
                </c:pt>
                <c:pt idx="439">
                  <c:v>1664.0610387521367</c:v>
                </c:pt>
                <c:pt idx="440">
                  <c:v>1676.6057213179454</c:v>
                </c:pt>
                <c:pt idx="441">
                  <c:v>1688.9504500711755</c:v>
                </c:pt>
                <c:pt idx="442">
                  <c:v>1701.0985188484963</c:v>
                </c:pt>
                <c:pt idx="443">
                  <c:v>1713.0531098518254</c:v>
                </c:pt>
                <c:pt idx="444">
                  <c:v>1724.8172984208916</c:v>
                </c:pt>
                <c:pt idx="445">
                  <c:v>1736.3940575468671</c:v>
                </c:pt>
                <c:pt idx="446">
                  <c:v>1747.7862621437439</c:v>
                </c:pt>
                <c:pt idx="447">
                  <c:v>1758.9966930928802</c:v>
                </c:pt>
                <c:pt idx="448">
                  <c:v>1770.0280410750017</c:v>
                </c:pt>
                <c:pt idx="449">
                  <c:v>1780.8829102029038</c:v>
                </c:pt>
                <c:pt idx="450">
                  <c:v>1791.5638214671321</c:v>
                </c:pt>
                <c:pt idx="451">
                  <c:v>1802.0732160060543</c:v>
                </c:pt>
                <c:pt idx="452">
                  <c:v>1812.4134582109125</c:v>
                </c:pt>
                <c:pt idx="453">
                  <c:v>1822.5868386757145</c:v>
                </c:pt>
                <c:pt idx="454">
                  <c:v>1832.5955770011324</c:v>
                </c:pt>
                <c:pt idx="455">
                  <c:v>1842.4418244609471</c:v>
                </c:pt>
                <c:pt idx="456">
                  <c:v>1852.1276665390005</c:v>
                </c:pt>
                <c:pt idx="457">
                  <c:v>1861.6551253440741</c:v>
                </c:pt>
                <c:pt idx="458">
                  <c:v>1871.0261619096252</c:v>
                </c:pt>
                <c:pt idx="459">
                  <c:v>1880.2426783848484</c:v>
                </c:pt>
                <c:pt idx="460">
                  <c:v>1889.30652012311</c:v>
                </c:pt>
                <c:pt idx="461">
                  <c:v>1898.2194776734104</c:v>
                </c:pt>
                <c:pt idx="462">
                  <c:v>1906.9832886801662</c:v>
                </c:pt>
                <c:pt idx="463">
                  <c:v>1915.5996396962662</c:v>
                </c:pt>
                <c:pt idx="464">
                  <c:v>1924.0701679140466</c:v>
                </c:pt>
                <c:pt idx="465">
                  <c:v>1932.3964628185381</c:v>
                </c:pt>
                <c:pt idx="466">
                  <c:v>1940.5800677670682</c:v>
                </c:pt>
                <c:pt idx="467">
                  <c:v>1948.6224814990537</c:v>
                </c:pt>
                <c:pt idx="468">
                  <c:v>1956.5251595795858</c:v>
                </c:pt>
                <c:pt idx="469">
                  <c:v>1964.2895157801895</c:v>
                </c:pt>
                <c:pt idx="470">
                  <c:v>1971.9169233999437</c:v>
                </c:pt>
                <c:pt idx="471">
                  <c:v>1979.4087165299552</c:v>
                </c:pt>
                <c:pt idx="472">
                  <c:v>1986.7661912640065</c:v>
                </c:pt>
                <c:pt idx="473">
                  <c:v>1993.9906068580353</c:v>
                </c:pt>
                <c:pt idx="474">
                  <c:v>2001.0831868409487</c:v>
                </c:pt>
                <c:pt idx="475">
                  <c:v>2008.0451200791335</c:v>
                </c:pt>
                <c:pt idx="476">
                  <c:v>2014.877561796894</c:v>
                </c:pt>
                <c:pt idx="477">
                  <c:v>2021.5816345549181</c:v>
                </c:pt>
                <c:pt idx="478">
                  <c:v>2028.1584291887632</c:v>
                </c:pt>
                <c:pt idx="479">
                  <c:v>2034.6090057092433</c:v>
                </c:pt>
                <c:pt idx="480">
                  <c:v>2040.9343941664927</c:v>
                </c:pt>
                <c:pt idx="481">
                  <c:v>2047.135595479393</c:v>
                </c:pt>
                <c:pt idx="482">
                  <c:v>2053.2135822319601</c:v>
                </c:pt>
                <c:pt idx="483">
                  <c:v>2059.1692994382015</c:v>
                </c:pt>
                <c:pt idx="484">
                  <c:v>2065.0036652768822</c:v>
                </c:pt>
                <c:pt idx="485">
                  <c:v>2070.7175717975615</c:v>
                </c:pt>
                <c:pt idx="486">
                  <c:v>2076.3118855991988</c:v>
                </c:pt>
                <c:pt idx="487">
                  <c:v>2081.7874484825606</c:v>
                </c:pt>
                <c:pt idx="488">
                  <c:v>2087.1450780776045</c:v>
                </c:pt>
                <c:pt idx="489">
                  <c:v>2092.3855684469631</c:v>
                </c:pt>
                <c:pt idx="490">
                  <c:v>2097.5096906665985</c:v>
                </c:pt>
                <c:pt idx="491">
                  <c:v>2102.5181933846507</c:v>
                </c:pt>
                <c:pt idx="492">
                  <c:v>2107.4118033594664</c:v>
                </c:pt>
                <c:pt idx="493">
                  <c:v>2112.1912259777473</c:v>
                </c:pt>
                <c:pt idx="494">
                  <c:v>2116.8571457537323</c:v>
                </c:pt>
                <c:pt idx="495">
                  <c:v>2121.410226810282</c:v>
                </c:pt>
                <c:pt idx="496">
                  <c:v>2125.8511133427241</c:v>
                </c:pt>
                <c:pt idx="497">
                  <c:v>2130.1804300662739</c:v>
                </c:pt>
                <c:pt idx="498">
                  <c:v>2134.3987826478397</c:v>
                </c:pt>
                <c:pt idx="499">
                  <c:v>2138.5067581229946</c:v>
                </c:pt>
                <c:pt idx="500">
                  <c:v>2142.5049252988888</c:v>
                </c:pt>
                <c:pt idx="501">
                  <c:v>2146.3938351438624</c:v>
                </c:pt>
                <c:pt idx="502">
                  <c:v>2150.1740211645179</c:v>
                </c:pt>
                <c:pt idx="503">
                  <c:v>2153.8459997710061</c:v>
                </c:pt>
                <c:pt idx="504">
                  <c:v>2157.4102706312883</c:v>
                </c:pt>
                <c:pt idx="505">
                  <c:v>2160.8673170151383</c:v>
                </c:pt>
                <c:pt idx="506">
                  <c:v>2164.2176061286723</c:v>
                </c:pt>
                <c:pt idx="507">
                  <c:v>2167.461589440205</c:v>
                </c:pt>
                <c:pt idx="508">
                  <c:v>2170.5997029982659</c:v>
                </c:pt>
                <c:pt idx="509">
                  <c:v>2173.6323677426335</c:v>
                </c:pt>
                <c:pt idx="510">
                  <c:v>2176.5599898092951</c:v>
                </c:pt>
                <c:pt idx="511">
                  <c:v>2179.3829608302826</c:v>
                </c:pt>
                <c:pt idx="512">
                  <c:v>2182.1016582293946</c:v>
                </c:pt>
                <c:pt idx="513">
                  <c:v>2184.71644551488</c:v>
                </c:pt>
                <c:pt idx="514">
                  <c:v>2187.2276725702386</c:v>
                </c:pt>
                <c:pt idx="515">
                  <c:v>2189.6356759443729</c:v>
                </c:pt>
                <c:pt idx="516">
                  <c:v>2191.9407791424287</c:v>
                </c:pt>
                <c:pt idx="517">
                  <c:v>2194.1432929187604</c:v>
                </c:pt>
                <c:pt idx="518">
                  <c:v>2196.2435155735784</c:v>
                </c:pt>
                <c:pt idx="519">
                  <c:v>2198.2417332549526</c:v>
                </c:pt>
                <c:pt idx="520">
                  <c:v>2200.1382202679761</c:v>
                </c:pt>
                <c:pt idx="521">
                  <c:v>2201.9332393930194</c:v>
                </c:pt>
                <c:pt idx="522">
                  <c:v>2203.6270422151415</c:v>
                </c:pt>
                <c:pt idx="523">
                  <c:v>2205.2198694668296</c:v>
                </c:pt>
                <c:pt idx="524">
                  <c:v>2206.7119513863536</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5-432A-49A9-9499-7ED3E32DDB07}"/>
            </c:ext>
          </c:extLst>
        </c:ser>
        <c:ser>
          <c:idx val="6"/>
          <c:order val="5"/>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Trajecto!$D$158</c:f>
              <c:numCache>
                <c:formatCode>0</c:formatCode>
                <c:ptCount val="1"/>
                <c:pt idx="0">
                  <c:v>143.76166097742083</c:v>
                </c:pt>
              </c:numCache>
            </c:numRef>
          </c:xVal>
          <c:yVal>
            <c:numRef>
              <c:f>Trajecto!$C$158</c:f>
              <c:numCache>
                <c:formatCode>0</c:formatCode>
                <c:ptCount val="1"/>
                <c:pt idx="0">
                  <c:v>1103.3559756931768</c:v>
                </c:pt>
              </c:numCache>
            </c:numRef>
          </c:yVal>
          <c:smooth val="0"/>
          <c:extLst>
            <c:ext xmlns:c16="http://schemas.microsoft.com/office/drawing/2014/chart" uri="{C3380CC4-5D6E-409C-BE32-E72D297353CC}">
              <c16:uniqueId val="{00000006-432A-49A9-9499-7ED3E32DDB07}"/>
            </c:ext>
          </c:extLst>
        </c:ser>
        <c:ser>
          <c:idx val="7"/>
          <c:order val="6"/>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Trajecto!$D$159</c:f>
              <c:numCache>
                <c:formatCode>0</c:formatCode>
                <c:ptCount val="1"/>
                <c:pt idx="0">
                  <c:v>853.39791945770457</c:v>
                </c:pt>
              </c:numCache>
            </c:numRef>
          </c:xVal>
          <c:yVal>
            <c:numRef>
              <c:f>Trajecto!$C$159</c:f>
              <c:numCache>
                <c:formatCode>0</c:formatCode>
                <c:ptCount val="1"/>
                <c:pt idx="0">
                  <c:v>1108.5652326754048</c:v>
                </c:pt>
              </c:numCache>
            </c:numRef>
          </c:yVal>
          <c:smooth val="0"/>
          <c:extLst>
            <c:ext xmlns:c16="http://schemas.microsoft.com/office/drawing/2014/chart" uri="{C3380CC4-5D6E-409C-BE32-E72D297353CC}">
              <c16:uniqueId val="{00000007-432A-49A9-9499-7ED3E32DDB07}"/>
            </c:ext>
          </c:extLst>
        </c:ser>
        <c:ser>
          <c:idx val="8"/>
          <c:order val="7"/>
          <c:tx>
            <c:strRef>
              <c:f>Trajecto!$D$161</c:f>
              <c:strCache>
                <c:ptCount val="1"/>
                <c:pt idx="0">
                  <c:v>Arc de triomphe</c:v>
                </c:pt>
              </c:strCache>
            </c:strRef>
          </c:tx>
          <c:spPr>
            <a:ln>
              <a:solidFill>
                <a:srgbClr val="C0C0C0"/>
              </a:solidFill>
            </a:ln>
          </c:spPr>
          <c:marker>
            <c:symbol val="none"/>
          </c:marker>
          <c:dLbls>
            <c:dLbl>
              <c:idx val="8"/>
              <c:tx>
                <c:strRef>
                  <c:f>Trajecto!$D$161</c:f>
                  <c:strCache>
                    <c:ptCount val="1"/>
                    <c:pt idx="0">
                      <c:v>Arc de triomphe</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{1B565261-1B07-4E2A-B9A9-CD2C4726FDC7}</c15:txfldGUID>
                      <c15:f>Trajecto!$D$161</c15:f>
                      <c15:dlblFieldTableCache>
                        <c:ptCount val="1"/>
                        <c:pt idx="0">
                          <c:v>Arc de triomphe</c:v>
                        </c:pt>
                      </c15:dlblFieldTableCache>
                    </c15:dlblFTEntry>
                  </c15:dlblFieldTable>
                  <c15:showDataLabelsRange val="0"/>
                </c:ext>
                <c:ext xmlns:c16="http://schemas.microsoft.com/office/drawing/2014/chart" uri="{C3380CC4-5D6E-409C-BE32-E72D297353CC}">
                  <c16:uniqueId val="{00000008-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Trajecto!$D$162:$D$177</c:f>
              <c:numCache>
                <c:formatCode>0</c:formatCode>
                <c:ptCount val="16"/>
                <c:pt idx="0">
                  <c:v>606.85741010931326</c:v>
                </c:pt>
                <c:pt idx="1">
                  <c:v>629.85741010931326</c:v>
                </c:pt>
                <c:pt idx="2">
                  <c:v>629.85741010931326</c:v>
                </c:pt>
                <c:pt idx="3">
                  <c:v>606.85741010931326</c:v>
                </c:pt>
                <c:pt idx="4">
                  <c:v>629.85741010931326</c:v>
                </c:pt>
                <c:pt idx="5">
                  <c:v>629.85741010931326</c:v>
                </c:pt>
                <c:pt idx="6">
                  <c:v>614.85741010931326</c:v>
                </c:pt>
                <c:pt idx="7">
                  <c:v>614.85741010931326</c:v>
                </c:pt>
                <c:pt idx="8">
                  <c:v>629.85741010931326</c:v>
                </c:pt>
                <c:pt idx="9">
                  <c:v>614.85741010931326</c:v>
                </c:pt>
                <c:pt idx="10">
                  <c:v>614.45741010931329</c:v>
                </c:pt>
                <c:pt idx="11">
                  <c:v>613.65741010931322</c:v>
                </c:pt>
                <c:pt idx="12">
                  <c:v>612.85741010931326</c:v>
                </c:pt>
                <c:pt idx="13">
                  <c:v>611.85741010931326</c:v>
                </c:pt>
                <c:pt idx="14">
                  <c:v>610.65741010931322</c:v>
                </c:pt>
                <c:pt idx="15">
                  <c:v>606.85741010931326</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9-432A-49A9-9499-7ED3E32DDB07}"/>
            </c:ext>
          </c:extLst>
        </c:ser>
        <c:ser>
          <c:idx val="9"/>
          <c:order val="8"/>
          <c:tx>
            <c:strRef>
              <c:f>Trajecto!$F$162</c:f>
              <c:strCache>
                <c:ptCount val="1"/>
                <c:pt idx="0">
                  <c:v>Arc de triomphe</c:v>
                </c:pt>
              </c:strCache>
            </c:strRef>
          </c:tx>
          <c:spPr>
            <a:ln>
              <a:solidFill>
                <a:srgbClr val="C0C0C0"/>
              </a:solidFill>
            </a:ln>
          </c:spPr>
          <c:marker>
            <c:symbol val="none"/>
          </c:marker>
          <c:xVal>
            <c:numRef>
              <c:f>Trajecto!$F$163:$F$178</c:f>
              <c:numCache>
                <c:formatCode>0</c:formatCode>
                <c:ptCount val="16"/>
                <c:pt idx="0">
                  <c:v>606.85741010931326</c:v>
                </c:pt>
                <c:pt idx="1">
                  <c:v>583.85741010931326</c:v>
                </c:pt>
                <c:pt idx="2">
                  <c:v>583.85741010931326</c:v>
                </c:pt>
                <c:pt idx="3">
                  <c:v>606.85741010931326</c:v>
                </c:pt>
                <c:pt idx="4">
                  <c:v>583.85741010931326</c:v>
                </c:pt>
                <c:pt idx="5">
                  <c:v>583.85741010931326</c:v>
                </c:pt>
                <c:pt idx="6">
                  <c:v>598.85741010931326</c:v>
                </c:pt>
                <c:pt idx="7">
                  <c:v>598.85741010931326</c:v>
                </c:pt>
                <c:pt idx="8">
                  <c:v>583.85741010931326</c:v>
                </c:pt>
                <c:pt idx="9">
                  <c:v>598.85741010931326</c:v>
                </c:pt>
                <c:pt idx="10">
                  <c:v>599.25741010931324</c:v>
                </c:pt>
                <c:pt idx="11">
                  <c:v>600.05741010931331</c:v>
                </c:pt>
                <c:pt idx="12">
                  <c:v>600.85741010931326</c:v>
                </c:pt>
                <c:pt idx="13">
                  <c:v>601.85741010931326</c:v>
                </c:pt>
                <c:pt idx="14">
                  <c:v>603.05741010931331</c:v>
                </c:pt>
                <c:pt idx="15">
                  <c:v>606.85741010931326</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A-432A-49A9-9499-7ED3E32DDB07}"/>
            </c:ext>
          </c:extLst>
        </c:ser>
        <c:ser>
          <c:idx val="10"/>
          <c:order val="9"/>
          <c:tx>
            <c:strRef>
              <c:f>Trajecto!$D$179</c:f>
              <c:strCache>
                <c:ptCount val="1"/>
                <c:pt idx="0">
                  <c:v>Tour Eiffel</c:v>
                </c:pt>
              </c:strCache>
            </c:strRef>
          </c:tx>
          <c:spPr>
            <a:ln>
              <a:solidFill>
                <a:srgbClr val="C0C0C0"/>
              </a:solidFill>
            </a:ln>
          </c:spPr>
          <c:marker>
            <c:symbol val="none"/>
          </c:marker>
          <c:dLbls>
            <c:dLbl>
              <c:idx val="6"/>
              <c:tx>
                <c:strRef>
                  <c:f>Trajecto!$D$179</c:f>
                  <c:strCache>
                    <c:ptCount val="1"/>
                    <c:pt idx="0">
                      <c:v>Tour Eiffel</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{15572C1C-CE9E-4867-91CD-3755EA8A464B}</c15:txfldGUID>
                      <c15:f>Trajecto!$D$179</c15:f>
                      <c15:dlblFieldTableCache>
                        <c:ptCount val="1"/>
                        <c:pt idx="0">
                          <c:v>Tour Eiffel</c:v>
                        </c:pt>
                      </c15:dlblFieldTableCache>
                    </c15:dlblFTEntry>
                  </c15:dlblFieldTable>
                  <c15:showDataLabelsRange val="0"/>
                </c:ext>
                <c:ext xmlns:c16="http://schemas.microsoft.com/office/drawing/2014/chart" uri="{C3380CC4-5D6E-409C-BE32-E72D297353CC}">
                  <c16:uniqueId val="{0000000B-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Trajecto!$D$180:$D$196</c:f>
              <c:numCache>
                <c:formatCode>0</c:formatCode>
                <c:ptCount val="17"/>
                <c:pt idx="0">
                  <c:v>606.85741010931326</c:v>
                </c:pt>
                <c:pt idx="1">
                  <c:v>606.85741010931326</c:v>
                </c:pt>
                <c:pt idx="2">
                  <c:v>616.85741010931326</c:v>
                </c:pt>
                <c:pt idx="3">
                  <c:v>606.85741010931326</c:v>
                </c:pt>
                <c:pt idx="4">
                  <c:v>616.85741010931326</c:v>
                </c:pt>
                <c:pt idx="5">
                  <c:v>619.85741010931326</c:v>
                </c:pt>
                <c:pt idx="6">
                  <c:v>623.85741010931326</c:v>
                </c:pt>
                <c:pt idx="7">
                  <c:v>626.85741010931326</c:v>
                </c:pt>
                <c:pt idx="8">
                  <c:v>631.85741010931326</c:v>
                </c:pt>
                <c:pt idx="9">
                  <c:v>636.85741010931326</c:v>
                </c:pt>
                <c:pt idx="10">
                  <c:v>642.85741010931326</c:v>
                </c:pt>
                <c:pt idx="11">
                  <c:v>654.85741010931326</c:v>
                </c:pt>
                <c:pt idx="12">
                  <c:v>668.85741010931326</c:v>
                </c:pt>
                <c:pt idx="13">
                  <c:v>643.85741010931326</c:v>
                </c:pt>
                <c:pt idx="14">
                  <c:v>636.85741010931326</c:v>
                </c:pt>
                <c:pt idx="15">
                  <c:v>621.85741010931326</c:v>
                </c:pt>
                <c:pt idx="16">
                  <c:v>606.85741010931326</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C-432A-49A9-9499-7ED3E32DDB07}"/>
            </c:ext>
          </c:extLst>
        </c:ser>
        <c:ser>
          <c:idx val="11"/>
          <c:order val="10"/>
          <c:tx>
            <c:strRef>
              <c:f>Trajecto!$F$180</c:f>
              <c:strCache>
                <c:ptCount val="1"/>
                <c:pt idx="0">
                  <c:v>Tour Eiffel</c:v>
                </c:pt>
              </c:strCache>
            </c:strRef>
          </c:tx>
          <c:spPr>
            <a:ln>
              <a:solidFill>
                <a:srgbClr val="C0C0C0"/>
              </a:solidFill>
            </a:ln>
          </c:spPr>
          <c:marker>
            <c:symbol val="none"/>
          </c:marker>
          <c:xVal>
            <c:numRef>
              <c:f>Trajecto!$F$181:$F$197</c:f>
              <c:numCache>
                <c:formatCode>0</c:formatCode>
                <c:ptCount val="17"/>
                <c:pt idx="0">
                  <c:v>606.85741010931326</c:v>
                </c:pt>
                <c:pt idx="1">
                  <c:v>606.85741010931326</c:v>
                </c:pt>
                <c:pt idx="2">
                  <c:v>596.85741010931326</c:v>
                </c:pt>
                <c:pt idx="3">
                  <c:v>606.85741010931326</c:v>
                </c:pt>
                <c:pt idx="4">
                  <c:v>596.85741010931326</c:v>
                </c:pt>
                <c:pt idx="5">
                  <c:v>593.85741010931326</c:v>
                </c:pt>
                <c:pt idx="6">
                  <c:v>589.85741010931326</c:v>
                </c:pt>
                <c:pt idx="7">
                  <c:v>586.85741010931326</c:v>
                </c:pt>
                <c:pt idx="8">
                  <c:v>581.85741010931326</c:v>
                </c:pt>
                <c:pt idx="9">
                  <c:v>576.85741010931326</c:v>
                </c:pt>
                <c:pt idx="10">
                  <c:v>570.85741010931326</c:v>
                </c:pt>
                <c:pt idx="11">
                  <c:v>558.85741010931326</c:v>
                </c:pt>
                <c:pt idx="12">
                  <c:v>544.85741010931326</c:v>
                </c:pt>
                <c:pt idx="13">
                  <c:v>569.85741010931326</c:v>
                </c:pt>
                <c:pt idx="14">
                  <c:v>576.85741010931326</c:v>
                </c:pt>
                <c:pt idx="15">
                  <c:v>591.85741010931326</c:v>
                </c:pt>
                <c:pt idx="16">
                  <c:v>606.85741010931326</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D-432A-49A9-9499-7ED3E32DDB07}"/>
            </c:ext>
          </c:extLst>
        </c:ser>
        <c:ser>
          <c:idx val="12"/>
          <c:order val="11"/>
          <c:tx>
            <c:strRef>
              <c:f>Trajecto!$D$179</c:f>
              <c:strCache>
                <c:ptCount val="1"/>
                <c:pt idx="0">
                  <c:v>Tour Eiffel</c:v>
                </c:pt>
              </c:strCache>
            </c:strRef>
          </c:tx>
          <c:spPr>
            <a:ln>
              <a:solidFill>
                <a:srgbClr val="C0C0C0"/>
              </a:solidFill>
            </a:ln>
          </c:spPr>
          <c:marker>
            <c:symbol val="none"/>
          </c:marker>
          <c:xVal>
            <c:numRef>
              <c:f>Trajecto!$D$197:$D$200</c:f>
              <c:numCache>
                <c:formatCode>0</c:formatCode>
                <c:ptCount val="4"/>
                <c:pt idx="0">
                  <c:v>606.85741010931326</c:v>
                </c:pt>
                <c:pt idx="1">
                  <c:v>623.85741010931326</c:v>
                </c:pt>
                <c:pt idx="2">
                  <c:v>617.85741010931326</c:v>
                </c:pt>
                <c:pt idx="3">
                  <c:v>606.85741010931326</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E-432A-49A9-9499-7ED3E32DDB07}"/>
            </c:ext>
          </c:extLst>
        </c:ser>
        <c:ser>
          <c:idx val="13"/>
          <c:order val="12"/>
          <c:tx>
            <c:strRef>
              <c:f>Trajecto!$F$180</c:f>
              <c:strCache>
                <c:ptCount val="1"/>
                <c:pt idx="0">
                  <c:v>Tour Eiffel</c:v>
                </c:pt>
              </c:strCache>
            </c:strRef>
          </c:tx>
          <c:spPr>
            <a:ln>
              <a:solidFill>
                <a:srgbClr val="C0C0C0"/>
              </a:solidFill>
            </a:ln>
          </c:spPr>
          <c:marker>
            <c:symbol val="none"/>
          </c:marker>
          <c:xVal>
            <c:numRef>
              <c:f>Trajecto!$F$198:$F$201</c:f>
              <c:numCache>
                <c:formatCode>0</c:formatCode>
                <c:ptCount val="4"/>
                <c:pt idx="0">
                  <c:v>606.85741010931326</c:v>
                </c:pt>
                <c:pt idx="1">
                  <c:v>589.85741010931326</c:v>
                </c:pt>
                <c:pt idx="2">
                  <c:v>595.85741010931326</c:v>
                </c:pt>
                <c:pt idx="3">
                  <c:v>606.85741010931326</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F-432A-49A9-9499-7ED3E32DDB07}"/>
            </c:ext>
          </c:extLst>
        </c:ser>
        <c:ser>
          <c:idx val="3"/>
          <c:order val="13"/>
          <c:tx>
            <c:strRef>
              <c:f>Trajecto!$B$109</c:f>
              <c:strCache>
                <c:ptCount val="1"/>
                <c:pt idx="0">
                  <c:v>Fusée sous parachute</c:v>
                </c:pt>
              </c:strCache>
            </c:strRef>
          </c:tx>
          <c:spPr>
            <a:ln>
              <a:solidFill>
                <a:srgbClr val="008000"/>
              </a:solidFill>
            </a:ln>
          </c:spPr>
          <c:marker>
            <c:symbol val="none"/>
          </c:marker>
          <c:dLbls>
            <c:dLbl>
              <c:idx val="1"/>
              <c:tx>
                <c:strRef>
                  <c:f>Trajecto!$B$109</c:f>
                  <c:strCache>
                    <c:ptCount val="1"/>
                    <c:pt idx="0">
                      <c:v>Fusée sous parachute</c:v>
                    </c:pt>
                  </c:strCache>
                </c:strRef>
              </c:tx>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{333FEF16-F1F7-46D9-9B86-C7027CC7E497}</c15:txfldGUID>
                      <c15:f>Trajecto!$B$109</c15:f>
                      <c15:dlblFieldTableCache>
                        <c:ptCount val="1"/>
                        <c:pt idx="0">
                          <c:v>Fusée sous parachute</c:v>
                        </c:pt>
                      </c15:dlblFieldTableCache>
                    </c15:dlblFTEntry>
                  </c15:dlblFieldTable>
                  <c15:showDataLabelsRange val="0"/>
                </c:ext>
                <c:ext xmlns:c16="http://schemas.microsoft.com/office/drawing/2014/chart" uri="{C3380CC4-5D6E-409C-BE32-E72D297353CC}">
                  <c16:uniqueId val="{00000010-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Trajecto!$B$124:$B$130</c:f>
              <c:numCache>
                <c:formatCode>0</c:formatCode>
                <c:ptCount val="7"/>
                <c:pt idx="0">
                  <c:v>575.04664390968333</c:v>
                </c:pt>
                <c:pt idx="1">
                  <c:v>575.04664390968333</c:v>
                </c:pt>
                <c:pt idx="2">
                  <c:v>575.04664390968333</c:v>
                </c:pt>
                <c:pt idx="3">
                  <c:v>630.21444269434221</c:v>
                </c:pt>
                <c:pt idx="4">
                  <c:v>575.04664390968333</c:v>
                </c:pt>
                <c:pt idx="5">
                  <c:v>519.87884512502444</c:v>
                </c:pt>
                <c:pt idx="6">
                  <c:v>575.04664390968333</c:v>
                </c:pt>
              </c:numCache>
            </c:numRef>
          </c:xVal>
          <c:yVal>
            <c:numRef>
              <c:f>Trajecto!$C$124:$C$130</c:f>
              <c:numCache>
                <c:formatCode>0</c:formatCode>
                <c:ptCount val="7"/>
                <c:pt idx="0">
                  <c:v>2206.7119513863536</c:v>
                </c:pt>
                <c:pt idx="1">
                  <c:v>1103.3559756931768</c:v>
                </c:pt>
                <c:pt idx="2">
                  <c:v>0</c:v>
                </c:pt>
                <c:pt idx="3">
                  <c:v>110.33559756931768</c:v>
                </c:pt>
                <c:pt idx="4">
                  <c:v>0</c:v>
                </c:pt>
                <c:pt idx="5">
                  <c:v>110.33559756931768</c:v>
                </c:pt>
                <c:pt idx="6" formatCode="General">
                  <c:v>0</c:v>
                </c:pt>
              </c:numCache>
            </c:numRef>
          </c:yVal>
          <c:smooth val="0"/>
          <c:extLst>
            <c:ext xmlns:c16="http://schemas.microsoft.com/office/drawing/2014/chart" uri="{C3380CC4-5D6E-409C-BE32-E72D297353CC}">
              <c16:uniqueId val="{00000011-432A-49A9-9499-7ED3E32DDB07}"/>
            </c:ext>
          </c:extLst>
        </c:ser>
        <c:dLbls>
          <c:showLegendKey val="0"/>
          <c:showVal val="0"/>
          <c:showCatName val="0"/>
          <c:showSerName val="0"/>
          <c:showPercent val="0"/>
          <c:showBubbleSize val="0"/>
        </c:dLbls>
        <c:axId val="148241024"/>
        <c:axId val="149054208"/>
      </c:scatterChart>
      <c:valAx>
        <c:axId val="148241024"/>
        <c:scaling>
          <c:orientation val="minMax"/>
          <c:min val="0"/>
        </c:scaling>
        <c:delete val="0"/>
        <c:axPos val="b"/>
        <c:majorGridlines>
          <c:spPr>
            <a:ln w="3175">
              <a:solidFill>
                <a:srgbClr val="000000"/>
              </a:solidFill>
              <a:prstDash val="sysDash"/>
            </a:ln>
          </c:spPr>
        </c:majorGridlines>
        <c:title>
          <c:tx>
            <c:strRef>
              <c:f>Trajecto!$B$112</c:f>
              <c:strCache>
                <c:ptCount val="1"/>
                <c:pt idx="0">
                  <c:v>Portée x [m]</c:v>
                </c:pt>
              </c:strCache>
            </c:strRef>
          </c:tx>
          <c:layout>
            <c:manualLayout>
              <c:xMode val="edge"/>
              <c:yMode val="edge"/>
              <c:x val="0.56464627732344286"/>
              <c:y val="0.84829693458129063"/>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054208"/>
        <c:crosses val="autoZero"/>
        <c:crossBetween val="midCat"/>
      </c:valAx>
      <c:valAx>
        <c:axId val="14905420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8.1818320007296413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241024"/>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paperSize="9" firstPageNumber="0"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Trajecto!$B$114</c:f>
          <c:strCache>
            <c:ptCount val="1"/>
            <c:pt idx="0">
              <c:v>Altitude z  /  Temps</c:v>
            </c:pt>
          </c:strCache>
        </c:strRef>
      </c:tx>
      <c:layout>
        <c:manualLayout>
          <c:xMode val="edge"/>
          <c:yMode val="edge"/>
          <c:x val="0.57666688909649"/>
          <c:y val="3.7151818286865097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7.6666916233451413E-2"/>
          <c:y val="3.5608360198500402E-2"/>
          <c:w val="0.89333624132890843"/>
          <c:h val="0.89614373166225958"/>
        </c:manualLayout>
      </c:layout>
      <c:scatterChart>
        <c:scatterStyle val="lineMarker"/>
        <c:varyColors val="0"/>
        <c:ser>
          <c:idx val="4"/>
          <c:order val="0"/>
          <c:tx>
            <c:v>Point invisible pour mise à l'echelle</c:v>
          </c:tx>
          <c:spPr>
            <a:ln w="28575">
              <a:noFill/>
            </a:ln>
          </c:spPr>
          <c:marker>
            <c:symbol val="none"/>
          </c:marker>
          <c:xVal>
            <c:numLit>
              <c:formatCode>General</c:formatCode>
              <c:ptCount val="1"/>
              <c:pt idx="0">
                <c:v>0</c:v>
              </c:pt>
            </c:numLit>
          </c:xVal>
          <c:yVal>
            <c:numRef>
              <c:f>Trajecto!$B$121</c:f>
              <c:numCache>
                <c:formatCode>0</c:formatCode>
                <c:ptCount val="1"/>
                <c:pt idx="0">
                  <c:v>2217.1304653508096</c:v>
                </c:pt>
              </c:numCache>
            </c:numRef>
          </c:yVal>
          <c:smooth val="0"/>
          <c:extLst>
            <c:ext xmlns:c16="http://schemas.microsoft.com/office/drawing/2014/chart" uri="{C3380CC4-5D6E-409C-BE32-E72D297353CC}">
              <c16:uniqueId val="{00000000-4C7F-469F-ADED-1B0B28F452E1}"/>
            </c:ext>
          </c:extLst>
        </c:ser>
        <c:ser>
          <c:idx val="0"/>
          <c:order val="1"/>
          <c:tx>
            <c:v>1 point par seconde</c:v>
          </c:tx>
          <c:spPr>
            <a:ln w="28575">
              <a:noFill/>
            </a:ln>
          </c:spPr>
          <c:marker>
            <c:symbol val="plus"/>
            <c:size val="7"/>
            <c:spPr>
              <a:noFill/>
              <a:ln>
                <a:solidFill>
                  <a:srgbClr val="000000"/>
                </a:solidFill>
                <a:prstDash val="solid"/>
              </a:ln>
            </c:spPr>
          </c:marker>
          <c:xVal>
            <c:numRef>
              <c:f>Calculs!$AC$4:$AC$1004</c:f>
              <c:numCache>
                <c:formatCode>0</c:formatCode>
                <c:ptCount val="1001"/>
                <c:pt idx="0">
                  <c:v>0</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1.0000000000000007</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2.0000000000000013</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2.99999999999998</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3.9999999999999587</c:v>
                </c:pt>
                <c:pt idx="401">
                  <c:v>#N/A</c:v>
                </c:pt>
                <c:pt idx="402">
                  <c:v>#N/A</c:v>
                </c:pt>
                <c:pt idx="403">
                  <c:v>#N/A</c:v>
                </c:pt>
                <c:pt idx="404">
                  <c:v>#N/A</c:v>
                </c:pt>
                <c:pt idx="405">
                  <c:v>#N/A</c:v>
                </c:pt>
                <c:pt idx="406">
                  <c:v>#N/A</c:v>
                </c:pt>
                <c:pt idx="407">
                  <c:v>#N/A</c:v>
                </c:pt>
                <c:pt idx="408">
                  <c:v>#N/A</c:v>
                </c:pt>
                <c:pt idx="409">
                  <c:v>#N/A</c:v>
                </c:pt>
                <c:pt idx="410">
                  <c:v>4.9999999999999556</c:v>
                </c:pt>
                <c:pt idx="411">
                  <c:v>#N/A</c:v>
                </c:pt>
                <c:pt idx="412">
                  <c:v>#N/A</c:v>
                </c:pt>
                <c:pt idx="413">
                  <c:v>#N/A</c:v>
                </c:pt>
                <c:pt idx="414">
                  <c:v>#N/A</c:v>
                </c:pt>
                <c:pt idx="415">
                  <c:v>#N/A</c:v>
                </c:pt>
                <c:pt idx="416">
                  <c:v>#N/A</c:v>
                </c:pt>
                <c:pt idx="417">
                  <c:v>#N/A</c:v>
                </c:pt>
                <c:pt idx="418">
                  <c:v>#N/A</c:v>
                </c:pt>
                <c:pt idx="419">
                  <c:v>#N/A</c:v>
                </c:pt>
                <c:pt idx="420">
                  <c:v>5.999999999999952</c:v>
                </c:pt>
                <c:pt idx="421">
                  <c:v>#N/A</c:v>
                </c:pt>
                <c:pt idx="422">
                  <c:v>#N/A</c:v>
                </c:pt>
                <c:pt idx="423">
                  <c:v>#N/A</c:v>
                </c:pt>
                <c:pt idx="424">
                  <c:v>#N/A</c:v>
                </c:pt>
                <c:pt idx="425">
                  <c:v>#N/A</c:v>
                </c:pt>
                <c:pt idx="426">
                  <c:v>#N/A</c:v>
                </c:pt>
                <c:pt idx="427">
                  <c:v>#N/A</c:v>
                </c:pt>
                <c:pt idx="428">
                  <c:v>#N/A</c:v>
                </c:pt>
                <c:pt idx="429">
                  <c:v>#N/A</c:v>
                </c:pt>
                <c:pt idx="430">
                  <c:v>6.9999999999999485</c:v>
                </c:pt>
                <c:pt idx="431">
                  <c:v>#N/A</c:v>
                </c:pt>
                <c:pt idx="432">
                  <c:v>#N/A</c:v>
                </c:pt>
                <c:pt idx="433">
                  <c:v>#N/A</c:v>
                </c:pt>
                <c:pt idx="434">
                  <c:v>#N/A</c:v>
                </c:pt>
                <c:pt idx="435">
                  <c:v>#N/A</c:v>
                </c:pt>
                <c:pt idx="436">
                  <c:v>#N/A</c:v>
                </c:pt>
                <c:pt idx="437">
                  <c:v>#N/A</c:v>
                </c:pt>
                <c:pt idx="438">
                  <c:v>#N/A</c:v>
                </c:pt>
                <c:pt idx="439">
                  <c:v>#N/A</c:v>
                </c:pt>
                <c:pt idx="440">
                  <c:v>7.9999999999999449</c:v>
                </c:pt>
                <c:pt idx="441">
                  <c:v>#N/A</c:v>
                </c:pt>
                <c:pt idx="442">
                  <c:v>#N/A</c:v>
                </c:pt>
                <c:pt idx="443">
                  <c:v>#N/A</c:v>
                </c:pt>
                <c:pt idx="444">
                  <c:v>#N/A</c:v>
                </c:pt>
                <c:pt idx="445">
                  <c:v>#N/A</c:v>
                </c:pt>
                <c:pt idx="446">
                  <c:v>#N/A</c:v>
                </c:pt>
                <c:pt idx="447">
                  <c:v>#N/A</c:v>
                </c:pt>
                <c:pt idx="448">
                  <c:v>#N/A</c:v>
                </c:pt>
                <c:pt idx="449">
                  <c:v>#N/A</c:v>
                </c:pt>
                <c:pt idx="450">
                  <c:v>8.9999999999999414</c:v>
                </c:pt>
                <c:pt idx="451">
                  <c:v>#N/A</c:v>
                </c:pt>
                <c:pt idx="452">
                  <c:v>#N/A</c:v>
                </c:pt>
                <c:pt idx="453">
                  <c:v>#N/A</c:v>
                </c:pt>
                <c:pt idx="454">
                  <c:v>#N/A</c:v>
                </c:pt>
                <c:pt idx="455">
                  <c:v>#N/A</c:v>
                </c:pt>
                <c:pt idx="456">
                  <c:v>#N/A</c:v>
                </c:pt>
                <c:pt idx="457">
                  <c:v>#N/A</c:v>
                </c:pt>
                <c:pt idx="458">
                  <c:v>#N/A</c:v>
                </c:pt>
                <c:pt idx="459">
                  <c:v>#N/A</c:v>
                </c:pt>
                <c:pt idx="460">
                  <c:v>9.9999999999999378</c:v>
                </c:pt>
                <c:pt idx="461">
                  <c:v>#N/A</c:v>
                </c:pt>
                <c:pt idx="462">
                  <c:v>#N/A</c:v>
                </c:pt>
                <c:pt idx="463">
                  <c:v>#N/A</c:v>
                </c:pt>
                <c:pt idx="464">
                  <c:v>#N/A</c:v>
                </c:pt>
                <c:pt idx="465">
                  <c:v>#N/A</c:v>
                </c:pt>
                <c:pt idx="466">
                  <c:v>#N/A</c:v>
                </c:pt>
                <c:pt idx="467">
                  <c:v>#N/A</c:v>
                </c:pt>
                <c:pt idx="468">
                  <c:v>#N/A</c:v>
                </c:pt>
                <c:pt idx="469">
                  <c:v>#N/A</c:v>
                </c:pt>
                <c:pt idx="470">
                  <c:v>10.999999999999934</c:v>
                </c:pt>
                <c:pt idx="471">
                  <c:v>#N/A</c:v>
                </c:pt>
                <c:pt idx="472">
                  <c:v>#N/A</c:v>
                </c:pt>
                <c:pt idx="473">
                  <c:v>#N/A</c:v>
                </c:pt>
                <c:pt idx="474">
                  <c:v>#N/A</c:v>
                </c:pt>
                <c:pt idx="475">
                  <c:v>#N/A</c:v>
                </c:pt>
                <c:pt idx="476">
                  <c:v>#N/A</c:v>
                </c:pt>
                <c:pt idx="477">
                  <c:v>#N/A</c:v>
                </c:pt>
                <c:pt idx="478">
                  <c:v>#N/A</c:v>
                </c:pt>
                <c:pt idx="479">
                  <c:v>#N/A</c:v>
                </c:pt>
                <c:pt idx="480">
                  <c:v>11.999999999999931</c:v>
                </c:pt>
                <c:pt idx="481">
                  <c:v>#N/A</c:v>
                </c:pt>
                <c:pt idx="482">
                  <c:v>#N/A</c:v>
                </c:pt>
                <c:pt idx="483">
                  <c:v>#N/A</c:v>
                </c:pt>
                <c:pt idx="484">
                  <c:v>#N/A</c:v>
                </c:pt>
                <c:pt idx="485">
                  <c:v>#N/A</c:v>
                </c:pt>
                <c:pt idx="486">
                  <c:v>#N/A</c:v>
                </c:pt>
                <c:pt idx="487">
                  <c:v>#N/A</c:v>
                </c:pt>
                <c:pt idx="488">
                  <c:v>#N/A</c:v>
                </c:pt>
                <c:pt idx="489">
                  <c:v>#N/A</c:v>
                </c:pt>
                <c:pt idx="490">
                  <c:v>12.999999999999927</c:v>
                </c:pt>
                <c:pt idx="491">
                  <c:v>#N/A</c:v>
                </c:pt>
                <c:pt idx="492">
                  <c:v>#N/A</c:v>
                </c:pt>
                <c:pt idx="493">
                  <c:v>#N/A</c:v>
                </c:pt>
                <c:pt idx="494">
                  <c:v>#N/A</c:v>
                </c:pt>
                <c:pt idx="495">
                  <c:v>#N/A</c:v>
                </c:pt>
                <c:pt idx="496">
                  <c:v>#N/A</c:v>
                </c:pt>
                <c:pt idx="497">
                  <c:v>#N/A</c:v>
                </c:pt>
                <c:pt idx="498">
                  <c:v>#N/A</c:v>
                </c:pt>
                <c:pt idx="499">
                  <c:v>#N/A</c:v>
                </c:pt>
                <c:pt idx="500">
                  <c:v>13.999999999999924</c:v>
                </c:pt>
                <c:pt idx="501">
                  <c:v>#N/A</c:v>
                </c:pt>
                <c:pt idx="502">
                  <c:v>#N/A</c:v>
                </c:pt>
                <c:pt idx="503">
                  <c:v>#N/A</c:v>
                </c:pt>
                <c:pt idx="504">
                  <c:v>#N/A</c:v>
                </c:pt>
                <c:pt idx="505">
                  <c:v>#N/A</c:v>
                </c:pt>
                <c:pt idx="506">
                  <c:v>#N/A</c:v>
                </c:pt>
                <c:pt idx="507">
                  <c:v>#N/A</c:v>
                </c:pt>
                <c:pt idx="508">
                  <c:v>#N/A</c:v>
                </c:pt>
                <c:pt idx="509">
                  <c:v>#N/A</c:v>
                </c:pt>
                <c:pt idx="510">
                  <c:v>14.99999999999992</c:v>
                </c:pt>
                <c:pt idx="511">
                  <c:v>#N/A</c:v>
                </c:pt>
                <c:pt idx="512">
                  <c:v>#N/A</c:v>
                </c:pt>
                <c:pt idx="513">
                  <c:v>#N/A</c:v>
                </c:pt>
                <c:pt idx="514">
                  <c:v>#N/A</c:v>
                </c:pt>
                <c:pt idx="515">
                  <c:v>#N/A</c:v>
                </c:pt>
                <c:pt idx="516">
                  <c:v>#N/A</c:v>
                </c:pt>
                <c:pt idx="517">
                  <c:v>#N/A</c:v>
                </c:pt>
                <c:pt idx="518">
                  <c:v>#N/A</c:v>
                </c:pt>
                <c:pt idx="519">
                  <c:v>#N/A</c:v>
                </c:pt>
                <c:pt idx="520">
                  <c:v>15.999999999999917</c:v>
                </c:pt>
                <c:pt idx="521">
                  <c:v>#N/A</c:v>
                </c:pt>
                <c:pt idx="522">
                  <c:v>#N/A</c:v>
                </c:pt>
                <c:pt idx="523">
                  <c:v>#N/A</c:v>
                </c:pt>
                <c:pt idx="524">
                  <c:v>#N/A</c:v>
                </c:pt>
                <c:pt idx="525">
                  <c:v>#N/A</c:v>
                </c:pt>
                <c:pt idx="526">
                  <c:v>#N/A</c:v>
                </c:pt>
                <c:pt idx="527">
                  <c:v>#N/A</c:v>
                </c:pt>
                <c:pt idx="528">
                  <c:v>#N/A</c:v>
                </c:pt>
                <c:pt idx="529">
                  <c:v>#N/A</c:v>
                </c:pt>
                <c:pt idx="530">
                  <c:v>16.999999999999929</c:v>
                </c:pt>
                <c:pt idx="531">
                  <c:v>#N/A</c:v>
                </c:pt>
                <c:pt idx="532">
                  <c:v>#N/A</c:v>
                </c:pt>
                <c:pt idx="533">
                  <c:v>#N/A</c:v>
                </c:pt>
                <c:pt idx="534">
                  <c:v>#N/A</c:v>
                </c:pt>
                <c:pt idx="535">
                  <c:v>#N/A</c:v>
                </c:pt>
                <c:pt idx="536">
                  <c:v>#N/A</c:v>
                </c:pt>
                <c:pt idx="537">
                  <c:v>#N/A</c:v>
                </c:pt>
                <c:pt idx="538">
                  <c:v>#N/A</c:v>
                </c:pt>
                <c:pt idx="539">
                  <c:v>#N/A</c:v>
                </c:pt>
                <c:pt idx="540">
                  <c:v>17.999999999999943</c:v>
                </c:pt>
                <c:pt idx="541">
                  <c:v>#N/A</c:v>
                </c:pt>
                <c:pt idx="542">
                  <c:v>#N/A</c:v>
                </c:pt>
                <c:pt idx="543">
                  <c:v>#N/A</c:v>
                </c:pt>
                <c:pt idx="544">
                  <c:v>#N/A</c:v>
                </c:pt>
                <c:pt idx="545">
                  <c:v>#N/A</c:v>
                </c:pt>
                <c:pt idx="546">
                  <c:v>#N/A</c:v>
                </c:pt>
                <c:pt idx="547">
                  <c:v>#N/A</c:v>
                </c:pt>
                <c:pt idx="548">
                  <c:v>#N/A</c:v>
                </c:pt>
                <c:pt idx="549">
                  <c:v>#N/A</c:v>
                </c:pt>
                <c:pt idx="550">
                  <c:v>18.999999999999957</c:v>
                </c:pt>
                <c:pt idx="551">
                  <c:v>#N/A</c:v>
                </c:pt>
                <c:pt idx="552">
                  <c:v>#N/A</c:v>
                </c:pt>
                <c:pt idx="553">
                  <c:v>#N/A</c:v>
                </c:pt>
                <c:pt idx="554">
                  <c:v>#N/A</c:v>
                </c:pt>
                <c:pt idx="555">
                  <c:v>#N/A</c:v>
                </c:pt>
                <c:pt idx="556">
                  <c:v>#N/A</c:v>
                </c:pt>
                <c:pt idx="557">
                  <c:v>#N/A</c:v>
                </c:pt>
                <c:pt idx="558">
                  <c:v>#N/A</c:v>
                </c:pt>
                <c:pt idx="559">
                  <c:v>#N/A</c:v>
                </c:pt>
                <c:pt idx="560">
                  <c:v>19.999999999999972</c:v>
                </c:pt>
                <c:pt idx="561">
                  <c:v>#N/A</c:v>
                </c:pt>
                <c:pt idx="562">
                  <c:v>#N/A</c:v>
                </c:pt>
                <c:pt idx="563">
                  <c:v>#N/A</c:v>
                </c:pt>
                <c:pt idx="564">
                  <c:v>#N/A</c:v>
                </c:pt>
                <c:pt idx="565">
                  <c:v>#N/A</c:v>
                </c:pt>
                <c:pt idx="566">
                  <c:v>#N/A</c:v>
                </c:pt>
                <c:pt idx="567">
                  <c:v>#N/A</c:v>
                </c:pt>
                <c:pt idx="568">
                  <c:v>#N/A</c:v>
                </c:pt>
                <c:pt idx="569">
                  <c:v>#N/A</c:v>
                </c:pt>
                <c:pt idx="570">
                  <c:v>20.999999999999986</c:v>
                </c:pt>
                <c:pt idx="571">
                  <c:v>#N/A</c:v>
                </c:pt>
                <c:pt idx="572">
                  <c:v>#N/A</c:v>
                </c:pt>
                <c:pt idx="573">
                  <c:v>#N/A</c:v>
                </c:pt>
                <c:pt idx="574">
                  <c:v>#N/A</c:v>
                </c:pt>
                <c:pt idx="575">
                  <c:v>#N/A</c:v>
                </c:pt>
                <c:pt idx="576">
                  <c:v>#N/A</c:v>
                </c:pt>
                <c:pt idx="577">
                  <c:v>#N/A</c:v>
                </c:pt>
                <c:pt idx="578">
                  <c:v>#N/A</c:v>
                </c:pt>
                <c:pt idx="579">
                  <c:v>#N/A</c:v>
                </c:pt>
                <c:pt idx="580">
                  <c:v>22</c:v>
                </c:pt>
                <c:pt idx="581">
                  <c:v>#N/A</c:v>
                </c:pt>
                <c:pt idx="582">
                  <c:v>#N/A</c:v>
                </c:pt>
                <c:pt idx="583">
                  <c:v>#N/A</c:v>
                </c:pt>
                <c:pt idx="584">
                  <c:v>#N/A</c:v>
                </c:pt>
                <c:pt idx="585">
                  <c:v>#N/A</c:v>
                </c:pt>
                <c:pt idx="586">
                  <c:v>#N/A</c:v>
                </c:pt>
                <c:pt idx="587">
                  <c:v>#N/A</c:v>
                </c:pt>
                <c:pt idx="588">
                  <c:v>#N/A</c:v>
                </c:pt>
                <c:pt idx="589">
                  <c:v>#N/A</c:v>
                </c:pt>
                <c:pt idx="590">
                  <c:v>23.000000000000014</c:v>
                </c:pt>
                <c:pt idx="591">
                  <c:v>#N/A</c:v>
                </c:pt>
                <c:pt idx="592">
                  <c:v>#N/A</c:v>
                </c:pt>
                <c:pt idx="593">
                  <c:v>#N/A</c:v>
                </c:pt>
                <c:pt idx="594">
                  <c:v>#N/A</c:v>
                </c:pt>
                <c:pt idx="595">
                  <c:v>#N/A</c:v>
                </c:pt>
                <c:pt idx="596">
                  <c:v>#N/A</c:v>
                </c:pt>
                <c:pt idx="597">
                  <c:v>#N/A</c:v>
                </c:pt>
                <c:pt idx="598">
                  <c:v>#N/A</c:v>
                </c:pt>
                <c:pt idx="599">
                  <c:v>#N/A</c:v>
                </c:pt>
                <c:pt idx="600">
                  <c:v>24.000000000000028</c:v>
                </c:pt>
                <c:pt idx="601">
                  <c:v>#N/A</c:v>
                </c:pt>
                <c:pt idx="602">
                  <c:v>#N/A</c:v>
                </c:pt>
                <c:pt idx="603">
                  <c:v>#N/A</c:v>
                </c:pt>
                <c:pt idx="604">
                  <c:v>#N/A</c:v>
                </c:pt>
                <c:pt idx="605">
                  <c:v>#N/A</c:v>
                </c:pt>
                <c:pt idx="606">
                  <c:v>#N/A</c:v>
                </c:pt>
                <c:pt idx="607">
                  <c:v>#N/A</c:v>
                </c:pt>
                <c:pt idx="608">
                  <c:v>#N/A</c:v>
                </c:pt>
                <c:pt idx="609">
                  <c:v>#N/A</c:v>
                </c:pt>
                <c:pt idx="610">
                  <c:v>25.000000000000043</c:v>
                </c:pt>
                <c:pt idx="611">
                  <c:v>#N/A</c:v>
                </c:pt>
                <c:pt idx="612">
                  <c:v>#N/A</c:v>
                </c:pt>
                <c:pt idx="613">
                  <c:v>#N/A</c:v>
                </c:pt>
                <c:pt idx="614">
                  <c:v>#N/A</c:v>
                </c:pt>
                <c:pt idx="615">
                  <c:v>#N/A</c:v>
                </c:pt>
                <c:pt idx="616">
                  <c:v>#N/A</c:v>
                </c:pt>
                <c:pt idx="617">
                  <c:v>#N/A</c:v>
                </c:pt>
                <c:pt idx="618">
                  <c:v>#N/A</c:v>
                </c:pt>
                <c:pt idx="619">
                  <c:v>#N/A</c:v>
                </c:pt>
                <c:pt idx="620">
                  <c:v>26.000000000000057</c:v>
                </c:pt>
                <c:pt idx="621">
                  <c:v>#N/A</c:v>
                </c:pt>
                <c:pt idx="622">
                  <c:v>#N/A</c:v>
                </c:pt>
                <c:pt idx="623">
                  <c:v>#N/A</c:v>
                </c:pt>
                <c:pt idx="624">
                  <c:v>#N/A</c:v>
                </c:pt>
                <c:pt idx="625">
                  <c:v>#N/A</c:v>
                </c:pt>
                <c:pt idx="626">
                  <c:v>#N/A</c:v>
                </c:pt>
                <c:pt idx="627">
                  <c:v>#N/A</c:v>
                </c:pt>
                <c:pt idx="628">
                  <c:v>#N/A</c:v>
                </c:pt>
                <c:pt idx="629">
                  <c:v>#N/A</c:v>
                </c:pt>
                <c:pt idx="630">
                  <c:v>27.000000000000071</c:v>
                </c:pt>
                <c:pt idx="631">
                  <c:v>#N/A</c:v>
                </c:pt>
                <c:pt idx="632">
                  <c:v>#N/A</c:v>
                </c:pt>
                <c:pt idx="633">
                  <c:v>#N/A</c:v>
                </c:pt>
                <c:pt idx="634">
                  <c:v>#N/A</c:v>
                </c:pt>
                <c:pt idx="635">
                  <c:v>#N/A</c:v>
                </c:pt>
                <c:pt idx="636">
                  <c:v>#N/A</c:v>
                </c:pt>
                <c:pt idx="637">
                  <c:v>#N/A</c:v>
                </c:pt>
                <c:pt idx="638">
                  <c:v>#N/A</c:v>
                </c:pt>
                <c:pt idx="639">
                  <c:v>#N/A</c:v>
                </c:pt>
                <c:pt idx="640">
                  <c:v>28.000000000000085</c:v>
                </c:pt>
                <c:pt idx="641">
                  <c:v>#N/A</c:v>
                </c:pt>
                <c:pt idx="642">
                  <c:v>#N/A</c:v>
                </c:pt>
                <c:pt idx="643">
                  <c:v>#N/A</c:v>
                </c:pt>
                <c:pt idx="644">
                  <c:v>#N/A</c:v>
                </c:pt>
                <c:pt idx="645">
                  <c:v>#N/A</c:v>
                </c:pt>
                <c:pt idx="646">
                  <c:v>#N/A</c:v>
                </c:pt>
                <c:pt idx="647">
                  <c:v>#N/A</c:v>
                </c:pt>
                <c:pt idx="648">
                  <c:v>#N/A</c:v>
                </c:pt>
                <c:pt idx="649">
                  <c:v>#N/A</c:v>
                </c:pt>
                <c:pt idx="650">
                  <c:v>29.000000000000099</c:v>
                </c:pt>
                <c:pt idx="651">
                  <c:v>#N/A</c:v>
                </c:pt>
                <c:pt idx="652">
                  <c:v>#N/A</c:v>
                </c:pt>
                <c:pt idx="653">
                  <c:v>#N/A</c:v>
                </c:pt>
                <c:pt idx="654">
                  <c:v>#N/A</c:v>
                </c:pt>
                <c:pt idx="655">
                  <c:v>#N/A</c:v>
                </c:pt>
                <c:pt idx="656">
                  <c:v>#N/A</c:v>
                </c:pt>
                <c:pt idx="657">
                  <c:v>#N/A</c:v>
                </c:pt>
                <c:pt idx="658">
                  <c:v>#N/A</c:v>
                </c:pt>
                <c:pt idx="659">
                  <c:v>#N/A</c:v>
                </c:pt>
                <c:pt idx="660">
                  <c:v>30.000000000000114</c:v>
                </c:pt>
                <c:pt idx="661">
                  <c:v>#N/A</c:v>
                </c:pt>
                <c:pt idx="662">
                  <c:v>#N/A</c:v>
                </c:pt>
                <c:pt idx="663">
                  <c:v>#N/A</c:v>
                </c:pt>
                <c:pt idx="664">
                  <c:v>#N/A</c:v>
                </c:pt>
                <c:pt idx="665">
                  <c:v>#N/A</c:v>
                </c:pt>
                <c:pt idx="666">
                  <c:v>#N/A</c:v>
                </c:pt>
                <c:pt idx="667">
                  <c:v>#N/A</c:v>
                </c:pt>
                <c:pt idx="668">
                  <c:v>#N/A</c:v>
                </c:pt>
                <c:pt idx="669">
                  <c:v>#N/A</c:v>
                </c:pt>
                <c:pt idx="670">
                  <c:v>31.000000000000128</c:v>
                </c:pt>
                <c:pt idx="671">
                  <c:v>#N/A</c:v>
                </c:pt>
                <c:pt idx="672">
                  <c:v>#N/A</c:v>
                </c:pt>
                <c:pt idx="673">
                  <c:v>#N/A</c:v>
                </c:pt>
                <c:pt idx="674">
                  <c:v>#N/A</c:v>
                </c:pt>
                <c:pt idx="675">
                  <c:v>#N/A</c:v>
                </c:pt>
                <c:pt idx="676">
                  <c:v>#N/A</c:v>
                </c:pt>
                <c:pt idx="677">
                  <c:v>#N/A</c:v>
                </c:pt>
                <c:pt idx="678">
                  <c:v>#N/A</c:v>
                </c:pt>
                <c:pt idx="679">
                  <c:v>#N/A</c:v>
                </c:pt>
                <c:pt idx="680">
                  <c:v>32.000000000000142</c:v>
                </c:pt>
                <c:pt idx="681">
                  <c:v>#N/A</c:v>
                </c:pt>
                <c:pt idx="682">
                  <c:v>#N/A</c:v>
                </c:pt>
                <c:pt idx="683">
                  <c:v>#N/A</c:v>
                </c:pt>
                <c:pt idx="684">
                  <c:v>#N/A</c:v>
                </c:pt>
                <c:pt idx="685">
                  <c:v>#N/A</c:v>
                </c:pt>
                <c:pt idx="686">
                  <c:v>#N/A</c:v>
                </c:pt>
                <c:pt idx="687">
                  <c:v>#N/A</c:v>
                </c:pt>
                <c:pt idx="688">
                  <c:v>#N/A</c:v>
                </c:pt>
                <c:pt idx="689">
                  <c:v>#N/A</c:v>
                </c:pt>
                <c:pt idx="690">
                  <c:v>33.000000000000156</c:v>
                </c:pt>
                <c:pt idx="691">
                  <c:v>#N/A</c:v>
                </c:pt>
                <c:pt idx="692">
                  <c:v>#N/A</c:v>
                </c:pt>
                <c:pt idx="693">
                  <c:v>#N/A</c:v>
                </c:pt>
                <c:pt idx="694">
                  <c:v>#N/A</c:v>
                </c:pt>
                <c:pt idx="695">
                  <c:v>#N/A</c:v>
                </c:pt>
                <c:pt idx="696">
                  <c:v>#N/A</c:v>
                </c:pt>
                <c:pt idx="697">
                  <c:v>#N/A</c:v>
                </c:pt>
                <c:pt idx="698">
                  <c:v>#N/A</c:v>
                </c:pt>
                <c:pt idx="699">
                  <c:v>#N/A</c:v>
                </c:pt>
                <c:pt idx="700">
                  <c:v>34.000000000000171</c:v>
                </c:pt>
                <c:pt idx="701">
                  <c:v>#N/A</c:v>
                </c:pt>
                <c:pt idx="702">
                  <c:v>#N/A</c:v>
                </c:pt>
                <c:pt idx="703">
                  <c:v>#N/A</c:v>
                </c:pt>
                <c:pt idx="704">
                  <c:v>#N/A</c:v>
                </c:pt>
                <c:pt idx="705">
                  <c:v>#N/A</c:v>
                </c:pt>
                <c:pt idx="706">
                  <c:v>#N/A</c:v>
                </c:pt>
                <c:pt idx="707">
                  <c:v>#N/A</c:v>
                </c:pt>
                <c:pt idx="708">
                  <c:v>#N/A</c:v>
                </c:pt>
                <c:pt idx="709">
                  <c:v>#N/A</c:v>
                </c:pt>
                <c:pt idx="710">
                  <c:v>35.000000000000185</c:v>
                </c:pt>
                <c:pt idx="711">
                  <c:v>#N/A</c:v>
                </c:pt>
                <c:pt idx="712">
                  <c:v>#N/A</c:v>
                </c:pt>
                <c:pt idx="713">
                  <c:v>#N/A</c:v>
                </c:pt>
                <c:pt idx="714">
                  <c:v>#N/A</c:v>
                </c:pt>
                <c:pt idx="715">
                  <c:v>#N/A</c:v>
                </c:pt>
                <c:pt idx="716">
                  <c:v>#N/A</c:v>
                </c:pt>
                <c:pt idx="717">
                  <c:v>#N/A</c:v>
                </c:pt>
                <c:pt idx="718">
                  <c:v>#N/A</c:v>
                </c:pt>
                <c:pt idx="719">
                  <c:v>#N/A</c:v>
                </c:pt>
                <c:pt idx="720">
                  <c:v>36.000000000000199</c:v>
                </c:pt>
                <c:pt idx="721">
                  <c:v>#N/A</c:v>
                </c:pt>
                <c:pt idx="722">
                  <c:v>#N/A</c:v>
                </c:pt>
                <c:pt idx="723">
                  <c:v>#N/A</c:v>
                </c:pt>
                <c:pt idx="724">
                  <c:v>#N/A</c:v>
                </c:pt>
                <c:pt idx="725">
                  <c:v>#N/A</c:v>
                </c:pt>
                <c:pt idx="726">
                  <c:v>#N/A</c:v>
                </c:pt>
                <c:pt idx="727">
                  <c:v>#N/A</c:v>
                </c:pt>
                <c:pt idx="728">
                  <c:v>#N/A</c:v>
                </c:pt>
                <c:pt idx="729">
                  <c:v>#N/A</c:v>
                </c:pt>
                <c:pt idx="730">
                  <c:v>37.000000000000213</c:v>
                </c:pt>
                <c:pt idx="731">
                  <c:v>#N/A</c:v>
                </c:pt>
                <c:pt idx="732">
                  <c:v>#N/A</c:v>
                </c:pt>
                <c:pt idx="733">
                  <c:v>#N/A</c:v>
                </c:pt>
                <c:pt idx="734">
                  <c:v>#N/A</c:v>
                </c:pt>
                <c:pt idx="735">
                  <c:v>#N/A</c:v>
                </c:pt>
                <c:pt idx="736">
                  <c:v>#N/A</c:v>
                </c:pt>
                <c:pt idx="737">
                  <c:v>#N/A</c:v>
                </c:pt>
                <c:pt idx="738">
                  <c:v>#N/A</c:v>
                </c:pt>
                <c:pt idx="739">
                  <c:v>#N/A</c:v>
                </c:pt>
                <c:pt idx="740">
                  <c:v>38.000000000000227</c:v>
                </c:pt>
                <c:pt idx="741">
                  <c:v>#N/A</c:v>
                </c:pt>
                <c:pt idx="742">
                  <c:v>#N/A</c:v>
                </c:pt>
                <c:pt idx="743">
                  <c:v>#N/A</c:v>
                </c:pt>
                <c:pt idx="744">
                  <c:v>#N/A</c:v>
                </c:pt>
                <c:pt idx="745">
                  <c:v>#N/A</c:v>
                </c:pt>
                <c:pt idx="746">
                  <c:v>#N/A</c:v>
                </c:pt>
                <c:pt idx="747">
                  <c:v>#N/A</c:v>
                </c:pt>
                <c:pt idx="748">
                  <c:v>#N/A</c:v>
                </c:pt>
                <c:pt idx="749">
                  <c:v>#N/A</c:v>
                </c:pt>
                <c:pt idx="750">
                  <c:v>39.000000000000242</c:v>
                </c:pt>
                <c:pt idx="751">
                  <c:v>#N/A</c:v>
                </c:pt>
                <c:pt idx="752">
                  <c:v>#N/A</c:v>
                </c:pt>
                <c:pt idx="753">
                  <c:v>#N/A</c:v>
                </c:pt>
                <c:pt idx="754">
                  <c:v>#N/A</c:v>
                </c:pt>
                <c:pt idx="755">
                  <c:v>#N/A</c:v>
                </c:pt>
                <c:pt idx="756">
                  <c:v>#N/A</c:v>
                </c:pt>
                <c:pt idx="757">
                  <c:v>#N/A</c:v>
                </c:pt>
                <c:pt idx="758">
                  <c:v>#N/A</c:v>
                </c:pt>
                <c:pt idx="759">
                  <c:v>#N/A</c:v>
                </c:pt>
                <c:pt idx="760">
                  <c:v>40.000000000000256</c:v>
                </c:pt>
                <c:pt idx="761">
                  <c:v>#N/A</c:v>
                </c:pt>
                <c:pt idx="762">
                  <c:v>#N/A</c:v>
                </c:pt>
                <c:pt idx="763">
                  <c:v>#N/A</c:v>
                </c:pt>
                <c:pt idx="764">
                  <c:v>#N/A</c:v>
                </c:pt>
                <c:pt idx="765">
                  <c:v>#N/A</c:v>
                </c:pt>
                <c:pt idx="766">
                  <c:v>#N/A</c:v>
                </c:pt>
                <c:pt idx="767">
                  <c:v>#N/A</c:v>
                </c:pt>
                <c:pt idx="768">
                  <c:v>#N/A</c:v>
                </c:pt>
                <c:pt idx="769">
                  <c:v>#N/A</c:v>
                </c:pt>
                <c:pt idx="770">
                  <c:v>41.00000000000027</c:v>
                </c:pt>
                <c:pt idx="771">
                  <c:v>#N/A</c:v>
                </c:pt>
                <c:pt idx="772">
                  <c:v>#N/A</c:v>
                </c:pt>
                <c:pt idx="773">
                  <c:v>#N/A</c:v>
                </c:pt>
                <c:pt idx="774">
                  <c:v>#N/A</c:v>
                </c:pt>
                <c:pt idx="775">
                  <c:v>#N/A</c:v>
                </c:pt>
                <c:pt idx="776">
                  <c:v>#N/A</c:v>
                </c:pt>
                <c:pt idx="777">
                  <c:v>#N/A</c:v>
                </c:pt>
                <c:pt idx="778">
                  <c:v>#N/A</c:v>
                </c:pt>
                <c:pt idx="779">
                  <c:v>#N/A</c:v>
                </c:pt>
                <c:pt idx="780">
                  <c:v>42.000000000000284</c:v>
                </c:pt>
                <c:pt idx="781">
                  <c:v>#N/A</c:v>
                </c:pt>
                <c:pt idx="782">
                  <c:v>#N/A</c:v>
                </c:pt>
                <c:pt idx="783">
                  <c:v>#N/A</c:v>
                </c:pt>
                <c:pt idx="784">
                  <c:v>#N/A</c:v>
                </c:pt>
                <c:pt idx="785">
                  <c:v>#N/A</c:v>
                </c:pt>
                <c:pt idx="786">
                  <c:v>#N/A</c:v>
                </c:pt>
                <c:pt idx="787">
                  <c:v>#N/A</c:v>
                </c:pt>
                <c:pt idx="788">
                  <c:v>#N/A</c:v>
                </c:pt>
                <c:pt idx="789">
                  <c:v>#N/A</c:v>
                </c:pt>
                <c:pt idx="790">
                  <c:v>43.000000000000298</c:v>
                </c:pt>
                <c:pt idx="791">
                  <c:v>#N/A</c:v>
                </c:pt>
                <c:pt idx="792">
                  <c:v>#N/A</c:v>
                </c:pt>
                <c:pt idx="793">
                  <c:v>#N/A</c:v>
                </c:pt>
                <c:pt idx="794">
                  <c:v>#N/A</c:v>
                </c:pt>
                <c:pt idx="795">
                  <c:v>#N/A</c:v>
                </c:pt>
                <c:pt idx="796">
                  <c:v>#N/A</c:v>
                </c:pt>
                <c:pt idx="797">
                  <c:v>#N/A</c:v>
                </c:pt>
                <c:pt idx="798">
                  <c:v>#N/A</c:v>
                </c:pt>
                <c:pt idx="799">
                  <c:v>#N/A</c:v>
                </c:pt>
                <c:pt idx="800">
                  <c:v>44.000000000000313</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0</c:v>
                </c:pt>
                <c:pt idx="1">
                  <c:v>0.9847482099156567</c:v>
                </c:pt>
                <c:pt idx="2">
                  <c:v>1.9708158743514637</c:v>
                </c:pt>
                <c:pt idx="3">
                  <c:v>2.961079418210022</c:v>
                </c:pt>
                <c:pt idx="4">
                  <c:v>3.9584145720889357</c:v>
                </c:pt>
                <c:pt idx="5">
                  <c:v>4.9656827944024275</c:v>
                </c:pt>
                <c:pt idx="6">
                  <c:v>5.9850171664031286</c:v>
                </c:pt>
                <c:pt idx="7">
                  <c:v>7.0171068046332365</c:v>
                </c:pt>
                <c:pt idx="8">
                  <c:v>8.0619108910433823</c:v>
                </c:pt>
                <c:pt idx="9">
                  <c:v>9.1193883832660259</c:v>
                </c:pt>
                <c:pt idx="10">
                  <c:v>10.189498016550278</c:v>
                </c:pt>
                <c:pt idx="11">
                  <c:v>11.272198305715337</c:v>
                </c:pt>
                <c:pt idx="12">
                  <c:v>12.367447547121964</c:v>
                </c:pt>
                <c:pt idx="13">
                  <c:v>13.47520382066147</c:v>
                </c:pt>
                <c:pt idx="14">
                  <c:v>14.595424991761659</c:v>
                </c:pt>
                <c:pt idx="15">
                  <c:v>15.728068713409225</c:v>
                </c:pt>
                <c:pt idx="16">
                  <c:v>16.87309242818808</c:v>
                </c:pt>
                <c:pt idx="17">
                  <c:v>18.030453370333099</c:v>
                </c:pt>
                <c:pt idx="18">
                  <c:v>19.200108567798825</c:v>
                </c:pt>
                <c:pt idx="19">
                  <c:v>20.382014844342606</c:v>
                </c:pt>
                <c:pt idx="20">
                  <c:v>21.576128821621708</c:v>
                </c:pt>
                <c:pt idx="21">
                  <c:v>22.782406921303945</c:v>
                </c:pt>
                <c:pt idx="22">
                  <c:v>24.000805367191326</c:v>
                </c:pt>
                <c:pt idx="23">
                  <c:v>25.231280187356312</c:v>
                </c:pt>
                <c:pt idx="24">
                  <c:v>26.47378721629018</c:v>
                </c:pt>
                <c:pt idx="25">
                  <c:v>27.728282097063097</c:v>
                </c:pt>
                <c:pt idx="26">
                  <c:v>28.994720283495429</c:v>
                </c:pt>
                <c:pt idx="27">
                  <c:v>30.273057042339872</c:v>
                </c:pt>
                <c:pt idx="28">
                  <c:v>31.563247455473959</c:v>
                </c:pt>
                <c:pt idx="29">
                  <c:v>32.865246422102544</c:v>
                </c:pt>
                <c:pt idx="30">
                  <c:v>34.179008660969799</c:v>
                </c:pt>
                <c:pt idx="31">
                  <c:v>35.504488712580383</c:v>
                </c:pt>
                <c:pt idx="32">
                  <c:v>36.841640941429247</c:v>
                </c:pt>
                <c:pt idx="33">
                  <c:v>38.190419538239851</c:v>
                </c:pt>
                <c:pt idx="34">
                  <c:v>39.550778522210173</c:v>
                </c:pt>
                <c:pt idx="35">
                  <c:v>40.922671743266299</c:v>
                </c:pt>
                <c:pt idx="36">
                  <c:v>42.30605288432308</c:v>
                </c:pt>
                <c:pt idx="37">
                  <c:v>43.700875463551519</c:v>
                </c:pt>
                <c:pt idx="38">
                  <c:v>45.107092836652477</c:v>
                </c:pt>
                <c:pt idx="39">
                  <c:v>46.524658199136297</c:v>
                </c:pt>
                <c:pt idx="40">
                  <c:v>47.953524588608033</c:v>
                </c:pt>
                <c:pt idx="41">
                  <c:v>49.393644887057789</c:v>
                </c:pt>
                <c:pt idx="42">
                  <c:v>50.844971823155916</c:v>
                </c:pt>
                <c:pt idx="43">
                  <c:v>52.307457974552605</c:v>
                </c:pt>
                <c:pt idx="44">
                  <c:v>53.781055770181545</c:v>
                </c:pt>
                <c:pt idx="45">
                  <c:v>55.265717492567255</c:v>
                </c:pt>
                <c:pt idx="46">
                  <c:v>56.761395280135787</c:v>
                </c:pt>
                <c:pt idx="47">
                  <c:v>58.268041129528342</c:v>
                </c:pt>
                <c:pt idx="48">
                  <c:v>59.785606897917532</c:v>
                </c:pt>
                <c:pt idx="49">
                  <c:v>61.314044305325886</c:v>
                </c:pt>
                <c:pt idx="50">
                  <c:v>62.853304936946252</c:v>
                </c:pt>
                <c:pt idx="51">
                  <c:v>64.403344122442661</c:v>
                </c:pt>
                <c:pt idx="52">
                  <c:v>65.964124817409498</c:v>
                </c:pt>
                <c:pt idx="53">
                  <c:v>67.535613727695477</c:v>
                </c:pt>
                <c:pt idx="54">
                  <c:v>69.117777431181949</c:v>
                </c:pt>
                <c:pt idx="55">
                  <c:v>70.710582379331512</c:v>
                </c:pt>
                <c:pt idx="56">
                  <c:v>72.313994898741072</c:v>
                </c:pt>
                <c:pt idx="57">
                  <c:v>73.927981192699065</c:v>
                </c:pt>
                <c:pt idx="58">
                  <c:v>75.552507342746608</c:v>
                </c:pt>
                <c:pt idx="59">
                  <c:v>77.187539310242499</c:v>
                </c:pt>
                <c:pt idx="60">
                  <c:v>78.833042937931666</c:v>
                </c:pt>
                <c:pt idx="61">
                  <c:v>80.488983951517028</c:v>
                </c:pt>
                <c:pt idx="62">
                  <c:v>82.155327961234448</c:v>
                </c:pt>
                <c:pt idx="63">
                  <c:v>83.83204046343063</c:v>
                </c:pt>
                <c:pt idx="64">
                  <c:v>85.519086842143764</c:v>
                </c:pt>
                <c:pt idx="65">
                  <c:v>87.216432370686618</c:v>
                </c:pt>
                <c:pt idx="66">
                  <c:v>88.924042213232028</c:v>
                </c:pt>
                <c:pt idx="67">
                  <c:v>90.641881426400388</c:v>
                </c:pt>
                <c:pt idx="68">
                  <c:v>92.369914960849187</c:v>
                </c:pt>
                <c:pt idx="69">
                  <c:v>94.108107662864171</c:v>
                </c:pt>
                <c:pt idx="70">
                  <c:v>95.856424275951994</c:v>
                </c:pt>
                <c:pt idx="71">
                  <c:v>97.614829442434257</c:v>
                </c:pt>
                <c:pt idx="72">
                  <c:v>99.383287705042619</c:v>
                </c:pt>
                <c:pt idx="73">
                  <c:v>101.16176350851485</c:v>
                </c:pt>
                <c:pt idx="74">
                  <c:v>102.95022120119161</c:v>
                </c:pt>
                <c:pt idx="75">
                  <c:v>104.74862503661372</c:v>
                </c:pt>
                <c:pt idx="76">
                  <c:v>106.55693917511985</c:v>
                </c:pt>
                <c:pt idx="77">
                  <c:v>108.37512768544437</c:v>
                </c:pt>
                <c:pt idx="78">
                  <c:v>110.20315454631505</c:v>
                </c:pt>
                <c:pt idx="79">
                  <c:v>112.04098364805068</c:v>
                </c:pt>
                <c:pt idx="80">
                  <c:v>113.88857879415824</c:v>
                </c:pt>
                <c:pt idx="81">
                  <c:v>115.74590370292937</c:v>
                </c:pt>
                <c:pt idx="82">
                  <c:v>117.6129220090363</c:v>
                </c:pt>
                <c:pt idx="83">
                  <c:v>119.4895972651266</c:v>
                </c:pt>
                <c:pt idx="84">
                  <c:v>121.37589294341696</c:v>
                </c:pt>
                <c:pt idx="85">
                  <c:v>123.27177243728551</c:v>
                </c:pt>
                <c:pt idx="86">
                  <c:v>125.17719906286277</c:v>
                </c:pt>
                <c:pt idx="87">
                  <c:v>127.09213606062094</c:v>
                </c:pt>
                <c:pt idx="88">
                  <c:v>129.01654659696126</c:v>
                </c:pt>
                <c:pt idx="89">
                  <c:v>130.95039376579942</c:v>
                </c:pt>
                <c:pt idx="90">
                  <c:v>132.89364059014875</c:v>
                </c:pt>
                <c:pt idx="91">
                  <c:v>134.8462500237012</c:v>
                </c:pt>
                <c:pt idx="92">
                  <c:v>136.80818495240558</c:v>
                </c:pt>
                <c:pt idx="93">
                  <c:v>138.77940819604328</c:v>
                </c:pt>
                <c:pt idx="94">
                  <c:v>140.75988250980112</c:v>
                </c:pt>
                <c:pt idx="95">
                  <c:v>142.74957058584113</c:v>
                </c:pt>
                <c:pt idx="96">
                  <c:v>144.74843505486723</c:v>
                </c:pt>
                <c:pt idx="97">
                  <c:v>146.75643848768854</c:v>
                </c:pt>
                <c:pt idx="98">
                  <c:v>148.77354339677922</c:v>
                </c:pt>
                <c:pt idx="99">
                  <c:v>150.79971223783465</c:v>
                </c:pt>
                <c:pt idx="100">
                  <c:v>152.83490741132388</c:v>
                </c:pt>
                <c:pt idx="101">
                  <c:v>154.87908945814223</c:v>
                </c:pt>
                <c:pt idx="102">
                  <c:v>156.93221525581896</c:v>
                </c:pt>
                <c:pt idx="103">
                  <c:v>158.99423982945027</c:v>
                </c:pt>
                <c:pt idx="104">
                  <c:v>161.06511816222158</c:v>
                </c:pt>
                <c:pt idx="105">
                  <c:v>163.14480519724228</c:v>
                </c:pt>
                <c:pt idx="106">
                  <c:v>165.23325583937287</c:v>
                </c:pt>
                <c:pt idx="107">
                  <c:v>167.33042495704413</c:v>
                </c:pt>
                <c:pt idx="108">
                  <c:v>169.43626738406829</c:v>
                </c:pt>
                <c:pt idx="109">
                  <c:v>171.55073792144194</c:v>
                </c:pt>
                <c:pt idx="110">
                  <c:v>173.67379133914071</c:v>
                </c:pt>
                <c:pt idx="111">
                  <c:v>175.80538237790518</c:v>
                </c:pt>
                <c:pt idx="112">
                  <c:v>177.94546575101839</c:v>
                </c:pt>
                <c:pt idx="113">
                  <c:v>180.09399614607426</c:v>
                </c:pt>
                <c:pt idx="114">
                  <c:v>182.25092822673722</c:v>
                </c:pt>
                <c:pt idx="115">
                  <c:v>184.4162166344926</c:v>
                </c:pt>
                <c:pt idx="116">
                  <c:v>186.58981599038776</c:v>
                </c:pt>
                <c:pt idx="117">
                  <c:v>188.77168089676388</c:v>
                </c:pt>
                <c:pt idx="118">
                  <c:v>190.96176593897815</c:v>
                </c:pt>
                <c:pt idx="119">
                  <c:v>193.16002568711619</c:v>
                </c:pt>
                <c:pt idx="120">
                  <c:v>195.36641469769484</c:v>
                </c:pt>
                <c:pt idx="121">
                  <c:v>197.58088751535487</c:v>
                </c:pt>
                <c:pt idx="122">
                  <c:v>199.80339867454364</c:v>
                </c:pt>
                <c:pt idx="123">
                  <c:v>202.03390270118754</c:v>
                </c:pt>
                <c:pt idx="124">
                  <c:v>204.27235411435424</c:v>
                </c:pt>
                <c:pt idx="125">
                  <c:v>206.51870742790433</c:v>
                </c:pt>
                <c:pt idx="126">
                  <c:v>208.77291715213249</c:v>
                </c:pt>
                <c:pt idx="127">
                  <c:v>211.03493779539806</c:v>
                </c:pt>
                <c:pt idx="128">
                  <c:v>213.30472386574476</c:v>
                </c:pt>
                <c:pt idx="129">
                  <c:v>215.58222987250949</c:v>
                </c:pt>
                <c:pt idx="130">
                  <c:v>217.86741032792025</c:v>
                </c:pt>
                <c:pt idx="131">
                  <c:v>220.16021974868298</c:v>
                </c:pt>
                <c:pt idx="132">
                  <c:v>222.46061265755705</c:v>
                </c:pt>
                <c:pt idx="133">
                  <c:v>224.76854358491968</c:v>
                </c:pt>
                <c:pt idx="134">
                  <c:v>227.08396707031889</c:v>
                </c:pt>
                <c:pt idx="135">
                  <c:v>229.40683766401494</c:v>
                </c:pt>
                <c:pt idx="136">
                  <c:v>231.73710992851034</c:v>
                </c:pt>
                <c:pt idx="137">
                  <c:v>234.07473844006807</c:v>
                </c:pt>
                <c:pt idx="138">
                  <c:v>236.41967779021829</c:v>
                </c:pt>
                <c:pt idx="139">
                  <c:v>238.771882587253</c:v>
                </c:pt>
                <c:pt idx="140">
                  <c:v>241.13130745770911</c:v>
                </c:pt>
                <c:pt idx="141">
                  <c:v>243.49790704783928</c:v>
                </c:pt>
                <c:pt idx="142">
                  <c:v>245.87163602507093</c:v>
                </c:pt>
                <c:pt idx="143">
                  <c:v>248.2524490794531</c:v>
                </c:pt>
                <c:pt idx="144">
                  <c:v>250.6403009250912</c:v>
                </c:pt>
                <c:pt idx="145">
                  <c:v>253.0351463015694</c:v>
                </c:pt>
                <c:pt idx="146">
                  <c:v>255.43693997536093</c:v>
                </c:pt>
                <c:pt idx="147">
                  <c:v>257.84563674122592</c:v>
                </c:pt>
                <c:pt idx="148">
                  <c:v>260.26119142359687</c:v>
                </c:pt>
                <c:pt idx="149">
                  <c:v>262.68355887795167</c:v>
                </c:pt>
                <c:pt idx="150">
                  <c:v>265.11269399217417</c:v>
                </c:pt>
                <c:pt idx="151">
                  <c:v>267.54855230833056</c:v>
                </c:pt>
                <c:pt idx="152">
                  <c:v>269.99109064371459</c:v>
                </c:pt>
                <c:pt idx="153">
                  <c:v>272.44026646955751</c:v>
                </c:pt>
                <c:pt idx="154">
                  <c:v>274.89603729040419</c:v>
                </c:pt>
                <c:pt idx="155">
                  <c:v>277.3583606453318</c:v>
                </c:pt>
                <c:pt idx="156">
                  <c:v>279.82719410915723</c:v>
                </c:pt>
                <c:pt idx="157">
                  <c:v>282.3024952936326</c:v>
                </c:pt>
                <c:pt idx="158">
                  <c:v>284.78422184862956</c:v>
                </c:pt>
                <c:pt idx="159">
                  <c:v>287.27233146331179</c:v>
                </c:pt>
                <c:pt idx="160">
                  <c:v>289.766781867296</c:v>
                </c:pt>
                <c:pt idx="161">
                  <c:v>292.26753083180125</c:v>
                </c:pt>
                <c:pt idx="162">
                  <c:v>294.77453617078652</c:v>
                </c:pt>
                <c:pt idx="163">
                  <c:v>297.28775574207685</c:v>
                </c:pt>
                <c:pt idx="164">
                  <c:v>299.80714744847745</c:v>
                </c:pt>
                <c:pt idx="165">
                  <c:v>302.33266923887635</c:v>
                </c:pt>
                <c:pt idx="166">
                  <c:v>304.86427910933503</c:v>
                </c:pt>
                <c:pt idx="167">
                  <c:v>307.40193510416759</c:v>
                </c:pt>
                <c:pt idx="168">
                  <c:v>309.9455953170081</c:v>
                </c:pt>
                <c:pt idx="169">
                  <c:v>312.49521789186599</c:v>
                </c:pt>
                <c:pt idx="170">
                  <c:v>315.05076102416967</c:v>
                </c:pt>
                <c:pt idx="171">
                  <c:v>317.61218296179874</c:v>
                </c:pt>
                <c:pt idx="172">
                  <c:v>320.17944200610384</c:v>
                </c:pt>
                <c:pt idx="173">
                  <c:v>322.75249651291517</c:v>
                </c:pt>
                <c:pt idx="174">
                  <c:v>325.33130489353891</c:v>
                </c:pt>
                <c:pt idx="175">
                  <c:v>327.91582561574205</c:v>
                </c:pt>
                <c:pt idx="176">
                  <c:v>330.50601720472525</c:v>
                </c:pt>
                <c:pt idx="177">
                  <c:v>333.10183824408404</c:v>
                </c:pt>
                <c:pt idx="178">
                  <c:v>335.7032473767581</c:v>
                </c:pt>
                <c:pt idx="179">
                  <c:v>338.31020330596903</c:v>
                </c:pt>
                <c:pt idx="180">
                  <c:v>340.92266479614597</c:v>
                </c:pt>
                <c:pt idx="181">
                  <c:v>343.54059067383969</c:v>
                </c:pt>
                <c:pt idx="182">
                  <c:v>346.16393982862502</c:v>
                </c:pt>
                <c:pt idx="183">
                  <c:v>348.79267121399135</c:v>
                </c:pt>
                <c:pt idx="184">
                  <c:v>351.42674384822141</c:v>
                </c:pt>
                <c:pt idx="185">
                  <c:v>354.06611681525857</c:v>
                </c:pt>
                <c:pt idx="186">
                  <c:v>356.7107492655623</c:v>
                </c:pt>
                <c:pt idx="187">
                  <c:v>359.36060041695191</c:v>
                </c:pt>
                <c:pt idx="188">
                  <c:v>362.01562955543881</c:v>
                </c:pt>
                <c:pt idx="189">
                  <c:v>364.67579603604702</c:v>
                </c:pt>
                <c:pt idx="190">
                  <c:v>367.3410592836222</c:v>
                </c:pt>
                <c:pt idx="191">
                  <c:v>370.01137879362904</c:v>
                </c:pt>
                <c:pt idx="192">
                  <c:v>372.68671413293714</c:v>
                </c:pt>
                <c:pt idx="193">
                  <c:v>375.36702494059534</c:v>
                </c:pt>
                <c:pt idx="194">
                  <c:v>378.05227092859468</c:v>
                </c:pt>
                <c:pt idx="195">
                  <c:v>380.74241188261971</c:v>
                </c:pt>
                <c:pt idx="196">
                  <c:v>383.43740766278864</c:v>
                </c:pt>
                <c:pt idx="197">
                  <c:v>386.1372182043819</c:v>
                </c:pt>
                <c:pt idx="198">
                  <c:v>388.8418035185594</c:v>
                </c:pt>
                <c:pt idx="199">
                  <c:v>391.55112369306664</c:v>
                </c:pt>
                <c:pt idx="200">
                  <c:v>394.26513889292926</c:v>
                </c:pt>
                <c:pt idx="201">
                  <c:v>396.98380936113665</c:v>
                </c:pt>
                <c:pt idx="202">
                  <c:v>399.7070954193141</c:v>
                </c:pt>
                <c:pt idx="203">
                  <c:v>402.43495746838403</c:v>
                </c:pt>
                <c:pt idx="204">
                  <c:v>405.16735598921593</c:v>
                </c:pt>
                <c:pt idx="205">
                  <c:v>407.90425154326527</c:v>
                </c:pt>
                <c:pt idx="206">
                  <c:v>410.64560477320157</c:v>
                </c:pt>
                <c:pt idx="207">
                  <c:v>413.3913764035251</c:v>
                </c:pt>
                <c:pt idx="208">
                  <c:v>416.14152724117315</c:v>
                </c:pt>
                <c:pt idx="209">
                  <c:v>418.89601817611492</c:v>
                </c:pt>
                <c:pt idx="210">
                  <c:v>421.65481018193594</c:v>
                </c:pt>
                <c:pt idx="211">
                  <c:v>424.41786431641145</c:v>
                </c:pt>
                <c:pt idx="212">
                  <c:v>427.18514172206926</c:v>
                </c:pt>
                <c:pt idx="213">
                  <c:v>429.95660362674175</c:v>
                </c:pt>
                <c:pt idx="214">
                  <c:v>432.73221134410733</c:v>
                </c:pt>
                <c:pt idx="215">
                  <c:v>435.5119262742212</c:v>
                </c:pt>
                <c:pt idx="216">
                  <c:v>438.29570990403579</c:v>
                </c:pt>
                <c:pt idx="217">
                  <c:v>441.08352380791047</c:v>
                </c:pt>
                <c:pt idx="218">
                  <c:v>443.87532964811106</c:v>
                </c:pt>
                <c:pt idx="219">
                  <c:v>446.67108917529885</c:v>
                </c:pt>
                <c:pt idx="220">
                  <c:v>449.47076422900932</c:v>
                </c:pt>
                <c:pt idx="221">
                  <c:v>452.27431673812072</c:v>
                </c:pt>
                <c:pt idx="222">
                  <c:v>455.08170872131222</c:v>
                </c:pt>
                <c:pt idx="223">
                  <c:v>457.8929022875123</c:v>
                </c:pt>
                <c:pt idx="224">
                  <c:v>460.70785963633659</c:v>
                </c:pt>
                <c:pt idx="225">
                  <c:v>463.52654305851615</c:v>
                </c:pt>
                <c:pt idx="226">
                  <c:v>466.34891493631551</c:v>
                </c:pt>
                <c:pt idx="227">
                  <c:v>469.17493774394092</c:v>
                </c:pt>
                <c:pt idx="228">
                  <c:v>472.00457404793877</c:v>
                </c:pt>
                <c:pt idx="229">
                  <c:v>474.83778650758421</c:v>
                </c:pt>
                <c:pt idx="230">
                  <c:v>477.67453787526011</c:v>
                </c:pt>
                <c:pt idx="231">
                  <c:v>480.51479099682638</c:v>
                </c:pt>
                <c:pt idx="232">
                  <c:v>483.35850881197962</c:v>
                </c:pt>
                <c:pt idx="233">
                  <c:v>486.20565435460338</c:v>
                </c:pt>
                <c:pt idx="234">
                  <c:v>489.05619075310892</c:v>
                </c:pt>
                <c:pt idx="235">
                  <c:v>491.91008123076654</c:v>
                </c:pt>
                <c:pt idx="236">
                  <c:v>494.76728910602776</c:v>
                </c:pt>
                <c:pt idx="237">
                  <c:v>497.62777779283806</c:v>
                </c:pt>
                <c:pt idx="238">
                  <c:v>500.49151080094055</c:v>
                </c:pt>
                <c:pt idx="239">
                  <c:v>503.35845173617042</c:v>
                </c:pt>
                <c:pt idx="240">
                  <c:v>506.22856430074057</c:v>
                </c:pt>
                <c:pt idx="241">
                  <c:v>509.10181229351804</c:v>
                </c:pt>
                <c:pt idx="242">
                  <c:v>511.97815961029153</c:v>
                </c:pt>
                <c:pt idx="243">
                  <c:v>514.85757024403028</c:v>
                </c:pt>
                <c:pt idx="244">
                  <c:v>517.74000828513385</c:v>
                </c:pt>
                <c:pt idx="245">
                  <c:v>520.62543792167378</c:v>
                </c:pt>
                <c:pt idx="246">
                  <c:v>523.51382343962575</c:v>
                </c:pt>
                <c:pt idx="247">
                  <c:v>526.40512922309415</c:v>
                </c:pt>
                <c:pt idx="248">
                  <c:v>529.29931975452723</c:v>
                </c:pt>
                <c:pt idx="249">
                  <c:v>532.1963596149244</c:v>
                </c:pt>
                <c:pt idx="250">
                  <c:v>535.09621348403539</c:v>
                </c:pt>
                <c:pt idx="251">
                  <c:v>537.99884341880193</c:v>
                </c:pt>
                <c:pt idx="252">
                  <c:v>540.90420613836181</c:v>
                </c:pt>
                <c:pt idx="253">
                  <c:v>543.81225576174711</c:v>
                </c:pt>
                <c:pt idx="254">
                  <c:v>546.72294653906238</c:v>
                </c:pt>
                <c:pt idx="255">
                  <c:v>549.63623285175743</c:v>
                </c:pt>
                <c:pt idx="256">
                  <c:v>552.55206921288629</c:v>
                </c:pt>
                <c:pt idx="257">
                  <c:v>555.47041026735417</c:v>
                </c:pt>
                <c:pt idx="258">
                  <c:v>558.39121079215079</c:v>
                </c:pt>
                <c:pt idx="259">
                  <c:v>561.31442569657179</c:v>
                </c:pt>
                <c:pt idx="260">
                  <c:v>564.2400100224271</c:v>
                </c:pt>
                <c:pt idx="261">
                  <c:v>567.16791894423716</c:v>
                </c:pt>
                <c:pt idx="262">
                  <c:v>570.09810776941697</c:v>
                </c:pt>
                <c:pt idx="263">
                  <c:v>573.03053193844767</c:v>
                </c:pt>
                <c:pt idx="264">
                  <c:v>575.96514702503623</c:v>
                </c:pt>
                <c:pt idx="265">
                  <c:v>578.90190873626341</c:v>
                </c:pt>
                <c:pt idx="266">
                  <c:v>581.84077291271979</c:v>
                </c:pt>
                <c:pt idx="267">
                  <c:v>584.78169552862994</c:v>
                </c:pt>
                <c:pt idx="268">
                  <c:v>587.72463269196521</c:v>
                </c:pt>
                <c:pt idx="269">
                  <c:v>590.66954064454535</c:v>
                </c:pt>
                <c:pt idx="270">
                  <c:v>593.61637576212831</c:v>
                </c:pt>
                <c:pt idx="271">
                  <c:v>596.56509455448929</c:v>
                </c:pt>
                <c:pt idx="272">
                  <c:v>599.51565366548846</c:v>
                </c:pt>
                <c:pt idx="273">
                  <c:v>602.46800987312781</c:v>
                </c:pt>
                <c:pt idx="274">
                  <c:v>605.42212008959723</c:v>
                </c:pt>
                <c:pt idx="275">
                  <c:v>608.37794136130992</c:v>
                </c:pt>
                <c:pt idx="276">
                  <c:v>611.33543086892735</c:v>
                </c:pt>
                <c:pt idx="277">
                  <c:v>614.29454592737306</c:v>
                </c:pt>
                <c:pt idx="278">
                  <c:v>617.25524398583707</c:v>
                </c:pt>
                <c:pt idx="279">
                  <c:v>620.21748262776964</c:v>
                </c:pt>
                <c:pt idx="280">
                  <c:v>623.18121957086464</c:v>
                </c:pt>
                <c:pt idx="281">
                  <c:v>626.1464126670337</c:v>
                </c:pt>
                <c:pt idx="282">
                  <c:v>629.1130199023695</c:v>
                </c:pt>
                <c:pt idx="283">
                  <c:v>632.08099939710041</c:v>
                </c:pt>
                <c:pt idx="284">
                  <c:v>635.05030940553468</c:v>
                </c:pt>
                <c:pt idx="285">
                  <c:v>638.02090831599526</c:v>
                </c:pt>
                <c:pt idx="286">
                  <c:v>640.99275465074584</c:v>
                </c:pt>
                <c:pt idx="287">
                  <c:v>643.96580706590669</c:v>
                </c:pt>
                <c:pt idx="288">
                  <c:v>646.94002435136235</c:v>
                </c:pt>
                <c:pt idx="289">
                  <c:v>649.91536543065934</c:v>
                </c:pt>
                <c:pt idx="290">
                  <c:v>652.89178936089547</c:v>
                </c:pt>
                <c:pt idx="291">
                  <c:v>655.86925533260069</c:v>
                </c:pt>
                <c:pt idx="292">
                  <c:v>658.84772266960829</c:v>
                </c:pt>
                <c:pt idx="293">
                  <c:v>661.82715082891832</c:v>
                </c:pt>
                <c:pt idx="294">
                  <c:v>664.80749940055239</c:v>
                </c:pt>
                <c:pt idx="295">
                  <c:v>667.78872810740006</c:v>
                </c:pt>
                <c:pt idx="296">
                  <c:v>670.77079680505688</c:v>
                </c:pt>
                <c:pt idx="297">
                  <c:v>673.75366548165459</c:v>
                </c:pt>
                <c:pt idx="298">
                  <c:v>676.73726419430136</c:v>
                </c:pt>
                <c:pt idx="299">
                  <c:v>679.72146309386619</c:v>
                </c:pt>
                <c:pt idx="300">
                  <c:v>682.70610268891232</c:v>
                </c:pt>
                <c:pt idx="301">
                  <c:v>685.69102402235717</c:v>
                </c:pt>
                <c:pt idx="302">
                  <c:v>688.67606867337076</c:v>
                </c:pt>
                <c:pt idx="303">
                  <c:v>691.66107875913838</c:v>
                </c:pt>
                <c:pt idx="304">
                  <c:v>694.64589693649054</c:v>
                </c:pt>
                <c:pt idx="305">
                  <c:v>697.63036640340101</c:v>
                </c:pt>
                <c:pt idx="306">
                  <c:v>700.61433090035405</c:v>
                </c:pt>
                <c:pt idx="307">
                  <c:v>703.59763471158431</c:v>
                </c:pt>
                <c:pt idx="308">
                  <c:v>706.5801226661888</c:v>
                </c:pt>
                <c:pt idx="309">
                  <c:v>709.5616401391145</c:v>
                </c:pt>
                <c:pt idx="310">
                  <c:v>712.54203305202202</c:v>
                </c:pt>
                <c:pt idx="311">
                  <c:v>715.52114787402741</c:v>
                </c:pt>
                <c:pt idx="312">
                  <c:v>718.49883162232436</c:v>
                </c:pt>
                <c:pt idx="313">
                  <c:v>721.47493186268719</c:v>
                </c:pt>
                <c:pt idx="314">
                  <c:v>724.44929670985789</c:v>
                </c:pt>
                <c:pt idx="315">
                  <c:v>727.42177482781722</c:v>
                </c:pt>
                <c:pt idx="316">
                  <c:v>730.39221542994323</c:v>
                </c:pt>
                <c:pt idx="317">
                  <c:v>733.36046827905727</c:v>
                </c:pt>
                <c:pt idx="318">
                  <c:v>736.32638368736093</c:v>
                </c:pt>
                <c:pt idx="319">
                  <c:v>739.28981251626362</c:v>
                </c:pt>
                <c:pt idx="320">
                  <c:v>742.25060617610438</c:v>
                </c:pt>
                <c:pt idx="321">
                  <c:v>745.20862860487659</c:v>
                </c:pt>
                <c:pt idx="322">
                  <c:v>748.1637682030489</c:v>
                </c:pt>
                <c:pt idx="323">
                  <c:v>751.11592576136957</c:v>
                </c:pt>
                <c:pt idx="324">
                  <c:v>754.06500243216237</c:v>
                </c:pt>
                <c:pt idx="325">
                  <c:v>757.01089972814884</c:v>
                </c:pt>
                <c:pt idx="326">
                  <c:v>759.95351952123269</c:v>
                </c:pt>
                <c:pt idx="327">
                  <c:v>762.89276404124644</c:v>
                </c:pt>
                <c:pt idx="328">
                  <c:v>765.82853587466104</c:v>
                </c:pt>
                <c:pt idx="329">
                  <c:v>768.7607379632592</c:v>
                </c:pt>
                <c:pt idx="330">
                  <c:v>771.68927360277394</c:v>
                </c:pt>
                <c:pt idx="331">
                  <c:v>774.61404644149138</c:v>
                </c:pt>
                <c:pt idx="332">
                  <c:v>777.53496047882038</c:v>
                </c:pt>
                <c:pt idx="333">
                  <c:v>780.4519200638282</c:v>
                </c:pt>
                <c:pt idx="334">
                  <c:v>783.36482989374372</c:v>
                </c:pt>
                <c:pt idx="335">
                  <c:v>786.2735950124287</c:v>
                </c:pt>
                <c:pt idx="336">
                  <c:v>789.17812080881743</c:v>
                </c:pt>
                <c:pt idx="337">
                  <c:v>792.07831301532588</c:v>
                </c:pt>
                <c:pt idx="338">
                  <c:v>794.9740777062309</c:v>
                </c:pt>
                <c:pt idx="339">
                  <c:v>797.86532129601994</c:v>
                </c:pt>
                <c:pt idx="340">
                  <c:v>800.75195053771176</c:v>
                </c:pt>
                <c:pt idx="341">
                  <c:v>803.63387252114944</c:v>
                </c:pt>
                <c:pt idx="342">
                  <c:v>806.51099467126573</c:v>
                </c:pt>
                <c:pt idx="343">
                  <c:v>809.38322474632128</c:v>
                </c:pt>
                <c:pt idx="344">
                  <c:v>812.25047083611719</c:v>
                </c:pt>
                <c:pt idx="345">
                  <c:v>815.11264136018133</c:v>
                </c:pt>
                <c:pt idx="346">
                  <c:v>817.96964506592963</c:v>
                </c:pt>
                <c:pt idx="347">
                  <c:v>820.82139102680355</c:v>
                </c:pt>
                <c:pt idx="348">
                  <c:v>823.66778993327443</c:v>
                </c:pt>
                <c:pt idx="349">
                  <c:v>826.50875537856575</c:v>
                </c:pt>
                <c:pt idx="350">
                  <c:v>829.34420255321231</c:v>
                </c:pt>
                <c:pt idx="351">
                  <c:v>832.17404694488971</c:v>
                </c:pt>
                <c:pt idx="352">
                  <c:v>834.9982043365037</c:v>
                </c:pt>
                <c:pt idx="353">
                  <c:v>837.81659080426164</c:v>
                </c:pt>
                <c:pt idx="354">
                  <c:v>840.62912271572691</c:v>
                </c:pt>
                <c:pt idx="355">
                  <c:v>843.43571672785697</c:v>
                </c:pt>
                <c:pt idx="356">
                  <c:v>846.23628978502529</c:v>
                </c:pt>
                <c:pt idx="357">
                  <c:v>849.0307591170274</c:v>
                </c:pt>
                <c:pt idx="358">
                  <c:v>851.81904223707159</c:v>
                </c:pt>
                <c:pt idx="359">
                  <c:v>854.60105693975493</c:v>
                </c:pt>
                <c:pt idx="360">
                  <c:v>857.37674818526625</c:v>
                </c:pt>
                <c:pt idx="361">
                  <c:v>860.14611487112461</c:v>
                </c:pt>
                <c:pt idx="362">
                  <c:v>862.90918272102988</c:v>
                </c:pt>
                <c:pt idx="363">
                  <c:v>865.66597728795637</c:v>
                </c:pt>
                <c:pt idx="364">
                  <c:v>868.41652395566973</c:v>
                </c:pt>
                <c:pt idx="365">
                  <c:v>871.16084794022731</c:v>
                </c:pt>
                <c:pt idx="366">
                  <c:v>873.8989742914614</c:v>
                </c:pt>
                <c:pt idx="367">
                  <c:v>876.63092789444613</c:v>
                </c:pt>
                <c:pt idx="368">
                  <c:v>879.35673347094837</c:v>
                </c:pt>
                <c:pt idx="369">
                  <c:v>882.0764155808622</c:v>
                </c:pt>
                <c:pt idx="370">
                  <c:v>884.78999862362798</c:v>
                </c:pt>
                <c:pt idx="371">
                  <c:v>887.49750683963543</c:v>
                </c:pt>
                <c:pt idx="372">
                  <c:v>890.19896431161158</c:v>
                </c:pt>
                <c:pt idx="373">
                  <c:v>892.89439496599334</c:v>
                </c:pt>
                <c:pt idx="374">
                  <c:v>895.58382257428514</c:v>
                </c:pt>
                <c:pt idx="375">
                  <c:v>898.26727075440203</c:v>
                </c:pt>
                <c:pt idx="376">
                  <c:v>900.94476297199753</c:v>
                </c:pt>
                <c:pt idx="377">
                  <c:v>903.61632254177778</c:v>
                </c:pt>
                <c:pt idx="378">
                  <c:v>906.28197262880099</c:v>
                </c:pt>
                <c:pt idx="379">
                  <c:v>908.94173624976304</c:v>
                </c:pt>
                <c:pt idx="380">
                  <c:v>911.59563627426905</c:v>
                </c:pt>
                <c:pt idx="381">
                  <c:v>914.24369542609168</c:v>
                </c:pt>
                <c:pt idx="382">
                  <c:v>916.88593628441527</c:v>
                </c:pt>
                <c:pt idx="383">
                  <c:v>919.52238128506735</c:v>
                </c:pt>
                <c:pt idx="384">
                  <c:v>922.15305272173634</c:v>
                </c:pt>
                <c:pt idx="385">
                  <c:v>924.77797274717693</c:v>
                </c:pt>
                <c:pt idx="386">
                  <c:v>927.397163374402</c:v>
                </c:pt>
                <c:pt idx="387">
                  <c:v>930.01064647786234</c:v>
                </c:pt>
                <c:pt idx="388">
                  <c:v>932.61844379461354</c:v>
                </c:pt>
                <c:pt idx="389">
                  <c:v>935.22057692547082</c:v>
                </c:pt>
                <c:pt idx="390">
                  <c:v>937.81706733615158</c:v>
                </c:pt>
                <c:pt idx="391">
                  <c:v>940.40793635840566</c:v>
                </c:pt>
                <c:pt idx="392">
                  <c:v>942.99320519113439</c:v>
                </c:pt>
                <c:pt idx="393">
                  <c:v>945.57289490149697</c:v>
                </c:pt>
                <c:pt idx="394">
                  <c:v>948.14702642600639</c:v>
                </c:pt>
                <c:pt idx="395">
                  <c:v>950.7156205716127</c:v>
                </c:pt>
                <c:pt idx="396">
                  <c:v>953.27869801677605</c:v>
                </c:pt>
                <c:pt idx="397">
                  <c:v>955.83627931252806</c:v>
                </c:pt>
                <c:pt idx="398">
                  <c:v>958.38838488352201</c:v>
                </c:pt>
                <c:pt idx="399">
                  <c:v>960.93503502907276</c:v>
                </c:pt>
                <c:pt idx="400">
                  <c:v>963.47624992418537</c:v>
                </c:pt>
                <c:pt idx="401">
                  <c:v>988.59101272768726</c:v>
                </c:pt>
                <c:pt idx="402">
                  <c:v>1013.175072855261</c:v>
                </c:pt>
                <c:pt idx="403">
                  <c:v>1037.2474832232151</c:v>
                </c:pt>
                <c:pt idx="404">
                  <c:v>1060.8261774100238</c:v>
                </c:pt>
                <c:pt idx="405">
                  <c:v>1083.9280563520347</c:v>
                </c:pt>
                <c:pt idx="406">
                  <c:v>1106.5690667296578</c:v>
                </c:pt>
                <c:pt idx="407">
                  <c:v>1128.7642719871212</c:v>
                </c:pt>
                <c:pt idx="408">
                  <c:v>1150.5279168057789</c:v>
                </c:pt>
                <c:pt idx="409">
                  <c:v>1171.8734857459551</c:v>
                </c:pt>
                <c:pt idx="410">
                  <c:v>1192.8137566824398</c:v>
                </c:pt>
                <c:pt idx="411">
                  <c:v>1213.3608495816145</c:v>
                </c:pt>
                <c:pt idx="412">
                  <c:v>1233.5262711017738</c:v>
                </c:pt>
                <c:pt idx="413">
                  <c:v>1253.3209554408654</c:v>
                </c:pt>
                <c:pt idx="414">
                  <c:v>1272.7553018062345</c:v>
                </c:pt>
                <c:pt idx="415">
                  <c:v>1291.8392088378616</c:v>
                </c:pt>
                <c:pt idx="416">
                  <c:v>1310.5821062790887</c:v>
                </c:pt>
                <c:pt idx="417">
                  <c:v>1328.9929841561147</c:v>
                </c:pt>
                <c:pt idx="418">
                  <c:v>1347.080419698935</c:v>
                </c:pt>
                <c:pt idx="419">
                  <c:v>1364.8526022113342</c:v>
                </c:pt>
                <c:pt idx="420">
                  <c:v>1382.3173560755197</c:v>
                </c:pt>
                <c:pt idx="421">
                  <c:v>1399.4821620576013</c:v>
                </c:pt>
                <c:pt idx="422">
                  <c:v>1416.3541770630281</c:v>
                </c:pt>
                <c:pt idx="423">
                  <c:v>1432.940252475986</c:v>
                </c:pt>
                <c:pt idx="424">
                  <c:v>1449.2469512033774</c:v>
                </c:pt>
                <c:pt idx="425">
                  <c:v>1465.2805635321401</c:v>
                </c:pt>
                <c:pt idx="426">
                  <c:v>1481.0471218981097</c:v>
                </c:pt>
                <c:pt idx="427">
                  <c:v>1496.5524146552398</c:v>
                </c:pt>
                <c:pt idx="428">
                  <c:v>1511.80199892562</c:v>
                </c:pt>
                <c:pt idx="429">
                  <c:v>1526.8012126032452</c:v>
                </c:pt>
                <c:pt idx="430">
                  <c:v>1541.5551855777974</c:v>
                </c:pt>
                <c:pt idx="431">
                  <c:v>1556.0688502387006</c:v>
                </c:pt>
                <c:pt idx="432">
                  <c:v>1570.3469513143245</c:v>
                </c:pt>
                <c:pt idx="433">
                  <c:v>1584.3940550963703</c:v>
                </c:pt>
                <c:pt idx="434">
                  <c:v>1598.2145580951164</c:v>
                </c:pt>
                <c:pt idx="435">
                  <c:v>1611.8126951672771</c:v>
                </c:pt>
                <c:pt idx="436">
                  <c:v>1625.1925471546715</c:v>
                </c:pt>
                <c:pt idx="437">
                  <c:v>1638.3580480687119</c:v>
                </c:pt>
                <c:pt idx="438">
                  <c:v>1651.3129918528041</c:v>
                </c:pt>
                <c:pt idx="439">
                  <c:v>1664.0610387521367</c:v>
                </c:pt>
                <c:pt idx="440">
                  <c:v>1676.6057213179454</c:v>
                </c:pt>
                <c:pt idx="441">
                  <c:v>1688.9504500711755</c:v>
                </c:pt>
                <c:pt idx="442">
                  <c:v>1701.0985188484963</c:v>
                </c:pt>
                <c:pt idx="443">
                  <c:v>1713.0531098518254</c:v>
                </c:pt>
                <c:pt idx="444">
                  <c:v>1724.8172984208916</c:v>
                </c:pt>
                <c:pt idx="445">
                  <c:v>1736.3940575468671</c:v>
                </c:pt>
                <c:pt idx="446">
                  <c:v>1747.7862621437439</c:v>
                </c:pt>
                <c:pt idx="447">
                  <c:v>1758.9966930928802</c:v>
                </c:pt>
                <c:pt idx="448">
                  <c:v>1770.0280410750017</c:v>
                </c:pt>
                <c:pt idx="449">
                  <c:v>1780.8829102029038</c:v>
                </c:pt>
                <c:pt idx="450">
                  <c:v>1791.5638214671321</c:v>
                </c:pt>
                <c:pt idx="451">
                  <c:v>1802.0732160060543</c:v>
                </c:pt>
                <c:pt idx="452">
                  <c:v>1812.4134582109125</c:v>
                </c:pt>
                <c:pt idx="453">
                  <c:v>1822.5868386757145</c:v>
                </c:pt>
                <c:pt idx="454">
                  <c:v>1832.5955770011324</c:v>
                </c:pt>
                <c:pt idx="455">
                  <c:v>1842.4418244609471</c:v>
                </c:pt>
                <c:pt idx="456">
                  <c:v>1852.1276665390005</c:v>
                </c:pt>
                <c:pt idx="457">
                  <c:v>1861.6551253440741</c:v>
                </c:pt>
                <c:pt idx="458">
                  <c:v>1871.0261619096252</c:v>
                </c:pt>
                <c:pt idx="459">
                  <c:v>1880.2426783848484</c:v>
                </c:pt>
                <c:pt idx="460">
                  <c:v>1889.30652012311</c:v>
                </c:pt>
                <c:pt idx="461">
                  <c:v>1898.2194776734104</c:v>
                </c:pt>
                <c:pt idx="462">
                  <c:v>1906.9832886801662</c:v>
                </c:pt>
                <c:pt idx="463">
                  <c:v>1915.5996396962662</c:v>
                </c:pt>
                <c:pt idx="464">
                  <c:v>1924.0701679140466</c:v>
                </c:pt>
                <c:pt idx="465">
                  <c:v>1932.3964628185381</c:v>
                </c:pt>
                <c:pt idx="466">
                  <c:v>1940.5800677670682</c:v>
                </c:pt>
                <c:pt idx="467">
                  <c:v>1948.6224814990537</c:v>
                </c:pt>
                <c:pt idx="468">
                  <c:v>1956.5251595795858</c:v>
                </c:pt>
                <c:pt idx="469">
                  <c:v>1964.2895157801895</c:v>
                </c:pt>
                <c:pt idx="470">
                  <c:v>1971.9169233999437</c:v>
                </c:pt>
                <c:pt idx="471">
                  <c:v>1979.4087165299552</c:v>
                </c:pt>
                <c:pt idx="472">
                  <c:v>1986.7661912640065</c:v>
                </c:pt>
                <c:pt idx="473">
                  <c:v>1993.9906068580353</c:v>
                </c:pt>
                <c:pt idx="474">
                  <c:v>2001.0831868409487</c:v>
                </c:pt>
                <c:pt idx="475">
                  <c:v>2008.0451200791335</c:v>
                </c:pt>
                <c:pt idx="476">
                  <c:v>2014.877561796894</c:v>
                </c:pt>
                <c:pt idx="477">
                  <c:v>2021.5816345549181</c:v>
                </c:pt>
                <c:pt idx="478">
                  <c:v>2028.1584291887632</c:v>
                </c:pt>
                <c:pt idx="479">
                  <c:v>2034.6090057092433</c:v>
                </c:pt>
                <c:pt idx="480">
                  <c:v>2040.9343941664927</c:v>
                </c:pt>
                <c:pt idx="481">
                  <c:v>2047.135595479393</c:v>
                </c:pt>
                <c:pt idx="482">
                  <c:v>2053.2135822319601</c:v>
                </c:pt>
                <c:pt idx="483">
                  <c:v>2059.1692994382015</c:v>
                </c:pt>
                <c:pt idx="484">
                  <c:v>2065.0036652768822</c:v>
                </c:pt>
                <c:pt idx="485">
                  <c:v>2070.7175717975615</c:v>
                </c:pt>
                <c:pt idx="486">
                  <c:v>2076.3118855991988</c:v>
                </c:pt>
                <c:pt idx="487">
                  <c:v>2081.7874484825606</c:v>
                </c:pt>
                <c:pt idx="488">
                  <c:v>2087.1450780776045</c:v>
                </c:pt>
                <c:pt idx="489">
                  <c:v>2092.3855684469631</c:v>
                </c:pt>
                <c:pt idx="490">
                  <c:v>2097.5096906665985</c:v>
                </c:pt>
                <c:pt idx="491">
                  <c:v>2102.5181933846507</c:v>
                </c:pt>
                <c:pt idx="492">
                  <c:v>2107.4118033594664</c:v>
                </c:pt>
                <c:pt idx="493">
                  <c:v>2112.1912259777473</c:v>
                </c:pt>
                <c:pt idx="494">
                  <c:v>2116.8571457537323</c:v>
                </c:pt>
                <c:pt idx="495">
                  <c:v>2121.410226810282</c:v>
                </c:pt>
                <c:pt idx="496">
                  <c:v>2125.8511133427241</c:v>
                </c:pt>
                <c:pt idx="497">
                  <c:v>2130.1804300662739</c:v>
                </c:pt>
                <c:pt idx="498">
                  <c:v>2134.3987826478397</c:v>
                </c:pt>
                <c:pt idx="499">
                  <c:v>2138.5067581229946</c:v>
                </c:pt>
                <c:pt idx="500">
                  <c:v>2142.5049252988888</c:v>
                </c:pt>
                <c:pt idx="501">
                  <c:v>2146.3938351438624</c:v>
                </c:pt>
                <c:pt idx="502">
                  <c:v>2150.1740211645179</c:v>
                </c:pt>
                <c:pt idx="503">
                  <c:v>2153.8459997710061</c:v>
                </c:pt>
                <c:pt idx="504">
                  <c:v>2157.4102706312883</c:v>
                </c:pt>
                <c:pt idx="505">
                  <c:v>2160.8673170151383</c:v>
                </c:pt>
                <c:pt idx="506">
                  <c:v>2164.2176061286723</c:v>
                </c:pt>
                <c:pt idx="507">
                  <c:v>2167.461589440205</c:v>
                </c:pt>
                <c:pt idx="508">
                  <c:v>2170.5997029982659</c:v>
                </c:pt>
                <c:pt idx="509">
                  <c:v>2173.6323677426335</c:v>
                </c:pt>
                <c:pt idx="510">
                  <c:v>2176.5599898092951</c:v>
                </c:pt>
                <c:pt idx="511">
                  <c:v>2179.3829608302826</c:v>
                </c:pt>
                <c:pt idx="512">
                  <c:v>2182.1016582293946</c:v>
                </c:pt>
                <c:pt idx="513">
                  <c:v>2184.71644551488</c:v>
                </c:pt>
                <c:pt idx="514">
                  <c:v>2187.2276725702386</c:v>
                </c:pt>
                <c:pt idx="515">
                  <c:v>2189.6356759443729</c:v>
                </c:pt>
                <c:pt idx="516">
                  <c:v>2191.9407791424287</c:v>
                </c:pt>
                <c:pt idx="517">
                  <c:v>2194.1432929187604</c:v>
                </c:pt>
                <c:pt idx="518">
                  <c:v>2196.2435155735784</c:v>
                </c:pt>
                <c:pt idx="519">
                  <c:v>2198.2417332549526</c:v>
                </c:pt>
                <c:pt idx="520">
                  <c:v>2200.1382202679761</c:v>
                </c:pt>
                <c:pt idx="521">
                  <c:v>2201.9332393930194</c:v>
                </c:pt>
                <c:pt idx="522">
                  <c:v>2203.6270422151415</c:v>
                </c:pt>
                <c:pt idx="523">
                  <c:v>2205.2198694668296</c:v>
                </c:pt>
                <c:pt idx="524">
                  <c:v>2206.7119513863536</c:v>
                </c:pt>
                <c:pt idx="525">
                  <c:v>2208.1035080940915</c:v>
                </c:pt>
                <c:pt idx="526">
                  <c:v>2209.3947499892201</c:v>
                </c:pt>
                <c:pt idx="527">
                  <c:v>2210.5858781691522</c:v>
                </c:pt>
                <c:pt idx="528">
                  <c:v>2211.6770848740157</c:v>
                </c:pt>
                <c:pt idx="529">
                  <c:v>2212.6685539583027</c:v>
                </c:pt>
                <c:pt idx="530">
                  <c:v>2213.5604613915507</c:v>
                </c:pt>
                <c:pt idx="531">
                  <c:v>2214.3529757895258</c:v>
                </c:pt>
                <c:pt idx="532">
                  <c:v>2215.0462589768704</c:v>
                </c:pt>
                <c:pt idx="533">
                  <c:v>2215.6404665815344</c:v>
                </c:pt>
                <c:pt idx="534">
                  <c:v>2216.1357486605439</c:v>
                </c:pt>
                <c:pt idx="535">
                  <c:v>2216.5322503557763</c:v>
                </c:pt>
                <c:pt idx="536">
                  <c:v>2216.8301125774638</c:v>
                </c:pt>
                <c:pt idx="537">
                  <c:v>2217.029472712145</c:v>
                </c:pt>
                <c:pt idx="538">
                  <c:v>2217.1304653508096</c:v>
                </c:pt>
                <c:pt idx="539">
                  <c:v>2217.1332230320722</c:v>
                </c:pt>
                <c:pt idx="540">
                  <c:v>2217.0378769944482</c:v>
                </c:pt>
                <c:pt idx="541">
                  <c:v>2216.8445579312311</c:v>
                </c:pt>
                <c:pt idx="542">
                  <c:v>2216.5533967411411</c:v>
                </c:pt>
                <c:pt idx="543">
                  <c:v>2216.1645252678532</c:v>
                </c:pt>
                <c:pt idx="544">
                  <c:v>2215.6780770217192</c:v>
                </c:pt>
                <c:pt idx="545">
                  <c:v>2215.0941878774706</c:v>
                </c:pt>
                <c:pt idx="546">
                  <c:v>2214.4129967423728</c:v>
                </c:pt>
                <c:pt idx="547">
                  <c:v>2213.6346461901558</c:v>
                </c:pt>
                <c:pt idx="548">
                  <c:v>2212.7592830570052</c:v>
                </c:pt>
                <c:pt idx="549">
                  <c:v>2211.7870589969002</c:v>
                </c:pt>
                <c:pt idx="550">
                  <c:v>2210.7181309945686</c:v>
                </c:pt>
                <c:pt idx="551">
                  <c:v>2209.5526618352569</c:v>
                </c:pt>
                <c:pt idx="552">
                  <c:v>2208.290820531332</c:v>
                </c:pt>
                <c:pt idx="553">
                  <c:v>2206.932782706434</c:v>
                </c:pt>
                <c:pt idx="554">
                  <c:v>2205.4787309384715</c:v>
                </c:pt>
                <c:pt idx="555">
                  <c:v>2203.9288550631786</c:v>
                </c:pt>
                <c:pt idx="556">
                  <c:v>2202.2833524402749</c:v>
                </c:pt>
                <c:pt idx="557">
                  <c:v>2200.5424281844612</c:v>
                </c:pt>
                <c:pt idx="558">
                  <c:v>2198.7062953636009</c:v>
                </c:pt>
                <c:pt idx="559">
                  <c:v>2196.7751751664564</c:v>
                </c:pt>
                <c:pt idx="560">
                  <c:v>2194.7492970423232</c:v>
                </c:pt>
                <c:pt idx="561">
                  <c:v>2192.6288988148308</c:v>
                </c:pt>
                <c:pt idx="562">
                  <c:v>2190.4142267720649</c:v>
                </c:pt>
                <c:pt idx="563">
                  <c:v>2188.1055357350438</c:v>
                </c:pt>
                <c:pt idx="564">
                  <c:v>2185.7030891064337</c:v>
                </c:pt>
                <c:pt idx="565">
                  <c:v>2183.2071589012512</c:v>
                </c:pt>
                <c:pt idx="566">
                  <c:v>2180.6180257611481</c:v>
                </c:pt>
                <c:pt idx="567">
                  <c:v>2177.9359789537421</c:v>
                </c:pt>
                <c:pt idx="568">
                  <c:v>2175.1613163583147</c:v>
                </c:pt>
                <c:pt idx="569">
                  <c:v>2172.2943444390821</c:v>
                </c:pt>
                <c:pt idx="570">
                  <c:v>2169.3353782071231</c:v>
                </c:pt>
                <c:pt idx="571">
                  <c:v>2166.2847411719417</c:v>
                </c:pt>
                <c:pt idx="572">
                  <c:v>2163.1427652835564</c:v>
                </c:pt>
                <c:pt idx="573">
                  <c:v>2159.9097908659051</c:v>
                </c:pt>
                <c:pt idx="574">
                  <c:v>2156.5861665422931</c:v>
                </c:pt>
                <c:pt idx="575">
                  <c:v>2153.1722491535315</c:v>
                </c:pt>
                <c:pt idx="576">
                  <c:v>2149.668403669355</c:v>
                </c:pt>
                <c:pt idx="577">
                  <c:v>2146.0750030936524</c:v>
                </c:pt>
                <c:pt idx="578">
                  <c:v>2142.3924283639967</c:v>
                </c:pt>
                <c:pt idx="579">
                  <c:v>2138.6210682459127</c:v>
                </c:pt>
                <c:pt idx="580">
                  <c:v>2134.7613192222884</c:v>
                </c:pt>
                <c:pt idx="581">
                  <c:v>2130.8135853782978</c:v>
                </c:pt>
                <c:pt idx="582">
                  <c:v>2126.7782782821741</c:v>
                </c:pt>
                <c:pt idx="583">
                  <c:v>2122.6558168621482</c:v>
                </c:pt>
                <c:pt idx="584">
                  <c:v>2118.4466272798381</c:v>
                </c:pt>
                <c:pt idx="585">
                  <c:v>2114.1511428003619</c:v>
                </c:pt>
                <c:pt idx="586">
                  <c:v>2109.769803659422</c:v>
                </c:pt>
                <c:pt idx="587">
                  <c:v>2105.3030569275948</c:v>
                </c:pt>
                <c:pt idx="588">
                  <c:v>2100.7513563720458</c:v>
                </c:pt>
                <c:pt idx="589">
                  <c:v>2096.1151623158785</c:v>
                </c:pt>
                <c:pt idx="590">
                  <c:v>2091.3949414953058</c:v>
                </c:pt>
                <c:pt idx="591">
                  <c:v>2086.5911669148377</c:v>
                </c:pt>
                <c:pt idx="592">
                  <c:v>2081.7043177006531</c:v>
                </c:pt>
                <c:pt idx="593">
                  <c:v>2076.7348789523248</c:v>
                </c:pt>
                <c:pt idx="594">
                  <c:v>2071.683341593061</c:v>
                </c:pt>
                <c:pt idx="595">
                  <c:v>2066.5502022186101</c:v>
                </c:pt>
                <c:pt idx="596">
                  <c:v>2061.3359629449792</c:v>
                </c:pt>
                <c:pt idx="597">
                  <c:v>2056.0411312551059</c:v>
                </c:pt>
                <c:pt idx="598">
                  <c:v>2050.6662198446188</c:v>
                </c:pt>
                <c:pt idx="599">
                  <c:v>2045.2117464668172</c:v>
                </c:pt>
                <c:pt idx="600">
                  <c:v>2039.6782337769962</c:v>
                </c:pt>
                <c:pt idx="601">
                  <c:v>2034.0662091762392</c:v>
                </c:pt>
                <c:pt idx="602">
                  <c:v>2028.3762046547956</c:v>
                </c:pt>
                <c:pt idx="603">
                  <c:v>2022.6087566351584</c:v>
                </c:pt>
                <c:pt idx="604">
                  <c:v>2016.7644058149508</c:v>
                </c:pt>
                <c:pt idx="605">
                  <c:v>2010.8436970097312</c:v>
                </c:pt>
                <c:pt idx="606">
                  <c:v>2004.8471789958194</c:v>
                </c:pt>
                <c:pt idx="607">
                  <c:v>1998.7754043532445</c:v>
                </c:pt>
                <c:pt idx="608">
                  <c:v>1992.6289293089146</c:v>
                </c:pt>
                <c:pt idx="609">
                  <c:v>1986.4083135800995</c:v>
                </c:pt>
                <c:pt idx="610">
                  <c:v>1980.1141202183233</c:v>
                </c:pt>
                <c:pt idx="611">
                  <c:v>1973.7469154537525</c:v>
                </c:pt>
                <c:pt idx="612">
                  <c:v>1967.3072685401694</c:v>
                </c:pt>
                <c:pt idx="613">
                  <c:v>1960.7957516006111</c:v>
                </c:pt>
                <c:pt idx="614">
                  <c:v>1954.2129394737599</c:v>
                </c:pt>
                <c:pt idx="615">
                  <c:v>1947.5594095611611</c:v>
                </c:pt>
                <c:pt idx="616">
                  <c:v>1940.8357416753461</c:v>
                </c:pt>
                <c:pt idx="617">
                  <c:v>1934.0425178889332</c:v>
                </c:pt>
                <c:pt idx="618">
                  <c:v>1927.1803223847789</c:v>
                </c:pt>
                <c:pt idx="619">
                  <c:v>1920.2497413072488</c:v>
                </c:pt>
                <c:pt idx="620">
                  <c:v>1913.2513626146729</c:v>
                </c:pt>
                <c:pt idx="621">
                  <c:v>1906.1857759330514</c:v>
                </c:pt>
                <c:pt idx="622">
                  <c:v>1899.0535724110719</c:v>
                </c:pt>
                <c:pt idx="623">
                  <c:v>1891.8553445764965</c:v>
                </c:pt>
                <c:pt idx="624">
                  <c:v>1884.5916861939779</c:v>
                </c:pt>
                <c:pt idx="625">
                  <c:v>1877.2631921243571</c:v>
                </c:pt>
                <c:pt idx="626">
                  <c:v>1869.8704581854963</c:v>
                </c:pt>
                <c:pt idx="627">
                  <c:v>1862.4140810146964</c:v>
                </c:pt>
                <c:pt idx="628">
                  <c:v>1854.894657932748</c:v>
                </c:pt>
                <c:pt idx="629">
                  <c:v>1847.3127868096601</c:v>
                </c:pt>
                <c:pt idx="630">
                  <c:v>1839.6690659321096</c:v>
                </c:pt>
                <c:pt idx="631">
                  <c:v>1831.964093872655</c:v>
                </c:pt>
                <c:pt idx="632">
                  <c:v>1824.198469360751</c:v>
                </c:pt>
                <c:pt idx="633">
                  <c:v>1816.3727911556005</c:v>
                </c:pt>
                <c:pt idx="634">
                  <c:v>1808.4876579208806</c:v>
                </c:pt>
                <c:pt idx="635">
                  <c:v>1800.5436681013739</c:v>
                </c:pt>
                <c:pt idx="636">
                  <c:v>1792.5414198015346</c:v>
                </c:pt>
                <c:pt idx="637">
                  <c:v>1784.4815106660196</c:v>
                </c:pt>
                <c:pt idx="638">
                  <c:v>1776.3645377622092</c:v>
                </c:pt>
                <c:pt idx="639">
                  <c:v>1768.1910974647424</c:v>
                </c:pt>
                <c:pt idx="640">
                  <c:v>1759.9617853420893</c:v>
                </c:pt>
                <c:pt idx="641">
                  <c:v>1751.6771960451813</c:v>
                </c:pt>
                <c:pt idx="642">
                  <c:v>1743.3379231981155</c:v>
                </c:pt>
                <c:pt idx="643">
                  <c:v>1734.9445592909524</c:v>
                </c:pt>
                <c:pt idx="644">
                  <c:v>1726.4976955746201</c:v>
                </c:pt>
                <c:pt idx="645">
                  <c:v>1717.9979219579384</c:v>
                </c:pt>
                <c:pt idx="646">
                  <c:v>1709.4458269067741</c:v>
                </c:pt>
                <c:pt idx="647">
                  <c:v>1700.841997345336</c:v>
                </c:pt>
                <c:pt idx="648">
                  <c:v>1692.1870185596188</c:v>
                </c:pt>
                <c:pt idx="649">
                  <c:v>1683.4814741030004</c:v>
                </c:pt>
                <c:pt idx="650">
                  <c:v>1674.7259457039988</c:v>
                </c:pt>
                <c:pt idx="651">
                  <c:v>1665.9210131761888</c:v>
                </c:pt>
                <c:pt idx="652">
                  <c:v>1657.0672543302828</c:v>
                </c:pt>
                <c:pt idx="653">
                  <c:v>1648.1652448883738</c:v>
                </c:pt>
                <c:pt idx="654">
                  <c:v>1639.2155584003383</c:v>
                </c:pt>
                <c:pt idx="655">
                  <c:v>1630.2187661623989</c:v>
                </c:pt>
                <c:pt idx="656">
                  <c:v>1621.1754371378386</c:v>
                </c:pt>
                <c:pt idx="657">
                  <c:v>1612.0861378798629</c:v>
                </c:pt>
                <c:pt idx="658">
                  <c:v>1602.9514324566037</c:v>
                </c:pt>
                <c:pt idx="659">
                  <c:v>1593.7718823782534</c:v>
                </c:pt>
                <c:pt idx="660">
                  <c:v>1584.5480465263231</c:v>
                </c:pt>
                <c:pt idx="661">
                  <c:v>1575.2804810850125</c:v>
                </c:pt>
                <c:pt idx="662">
                  <c:v>1565.969739474679</c:v>
                </c:pt>
                <c:pt idx="663">
                  <c:v>1556.6163722873953</c:v>
                </c:pt>
                <c:pt idx="664">
                  <c:v>1547.2209272245789</c:v>
                </c:pt>
                <c:pt idx="665">
                  <c:v>1537.7839490366807</c:v>
                </c:pt>
                <c:pt idx="666">
                  <c:v>1528.3059794649159</c:v>
                </c:pt>
                <c:pt idx="667">
                  <c:v>1518.7875571850195</c:v>
                </c:pt>
                <c:pt idx="668">
                  <c:v>1509.2292177530103</c:v>
                </c:pt>
                <c:pt idx="669">
                  <c:v>1499.6314935529442</c:v>
                </c:pt>
                <c:pt idx="670">
                  <c:v>1489.9949137466363</c:v>
                </c:pt>
                <c:pt idx="671">
                  <c:v>1480.3200042253338</c:v>
                </c:pt>
                <c:pt idx="672">
                  <c:v>1470.6072875633167</c:v>
                </c:pt>
                <c:pt idx="673">
                  <c:v>1460.8572829734062</c:v>
                </c:pt>
                <c:pt idx="674">
                  <c:v>1451.0705062643578</c:v>
                </c:pt>
                <c:pt idx="675">
                  <c:v>1441.2474698001176</c:v>
                </c:pt>
                <c:pt idx="676">
                  <c:v>1431.388682460916</c:v>
                </c:pt>
                <c:pt idx="677">
                  <c:v>1421.4946496061775</c:v>
                </c:pt>
                <c:pt idx="678">
                  <c:v>1411.5658730392202</c:v>
                </c:pt>
                <c:pt idx="679">
                  <c:v>1401.6028509737214</c:v>
                </c:pt>
                <c:pt idx="680">
                  <c:v>1391.6060780019238</c:v>
                </c:pt>
                <c:pt idx="681">
                  <c:v>1381.5760450645555</c:v>
                </c:pt>
                <c:pt idx="682">
                  <c:v>1371.513239422439</c:v>
                </c:pt>
                <c:pt idx="683">
                  <c:v>1361.4181446297625</c:v>
                </c:pt>
                <c:pt idx="684">
                  <c:v>1351.2912405089862</c:v>
                </c:pt>
                <c:pt idx="685">
                  <c:v>1341.1330031273567</c:v>
                </c:pt>
                <c:pt idx="686">
                  <c:v>1330.9439047750034</c:v>
                </c:pt>
                <c:pt idx="687">
                  <c:v>1320.7244139445872</c:v>
                </c:pt>
                <c:pt idx="688">
                  <c:v>1310.4749953124772</c:v>
                </c:pt>
                <c:pt idx="689">
                  <c:v>1300.196109721423</c:v>
                </c:pt>
                <c:pt idx="690">
                  <c:v>1289.8882141646998</c:v>
                </c:pt>
                <c:pt idx="691">
                  <c:v>1279.5517617716939</c:v>
                </c:pt>
                <c:pt idx="692">
                  <c:v>1269.1872017949033</c:v>
                </c:pt>
                <c:pt idx="693">
                  <c:v>1258.7949795983232</c:v>
                </c:pt>
                <c:pt idx="694">
                  <c:v>1248.3755366471901</c:v>
                </c:pt>
                <c:pt idx="695">
                  <c:v>1237.9293104990545</c:v>
                </c:pt>
                <c:pt idx="696">
                  <c:v>1227.4567347961554</c:v>
                </c:pt>
                <c:pt idx="697">
                  <c:v>1216.9582392590676</c:v>
                </c:pt>
                <c:pt idx="698">
                  <c:v>1206.434249681593</c:v>
                </c:pt>
                <c:pt idx="699">
                  <c:v>1195.88518792687</c:v>
                </c:pt>
                <c:pt idx="700">
                  <c:v>1185.3114719246703</c:v>
                </c:pt>
                <c:pt idx="701">
                  <c:v>1174.7135156698575</c:v>
                </c:pt>
                <c:pt idx="702">
                  <c:v>1164.0917292219785</c:v>
                </c:pt>
                <c:pt idx="703">
                  <c:v>1153.44651870596</c:v>
                </c:pt>
                <c:pt idx="704">
                  <c:v>1142.778286313883</c:v>
                </c:pt>
                <c:pt idx="705">
                  <c:v>1132.0874303078085</c:v>
                </c:pt>
                <c:pt idx="706">
                  <c:v>1121.374345023627</c:v>
                </c:pt>
                <c:pt idx="707">
                  <c:v>1110.6394208759036</c:v>
                </c:pt>
                <c:pt idx="708">
                  <c:v>1099.8830443636939</c:v>
                </c:pt>
                <c:pt idx="709">
                  <c:v>1089.1055980773033</c:v>
                </c:pt>
                <c:pt idx="710">
                  <c:v>1078.3074607059639</c:v>
                </c:pt>
                <c:pt idx="711">
                  <c:v>1067.4890070464021</c:v>
                </c:pt>
                <c:pt idx="712">
                  <c:v>1056.6506080122722</c:v>
                </c:pt>
                <c:pt idx="713">
                  <c:v>1045.7926306444301</c:v>
                </c:pt>
                <c:pt idx="714">
                  <c:v>1034.9154381220224</c:v>
                </c:pt>
                <c:pt idx="715">
                  <c:v>1024.0193897743645</c:v>
                </c:pt>
                <c:pt idx="716">
                  <c:v>1013.1048410935863</c:v>
                </c:pt>
                <c:pt idx="717">
                  <c:v>1002.1721437480164</c:v>
                </c:pt>
                <c:pt idx="718">
                  <c:v>991.22164559628607</c:v>
                </c:pt>
                <c:pt idx="719">
                  <c:v>980.25369070212548</c:v>
                </c:pt>
                <c:pt idx="720">
                  <c:v>969.26861934983071</c:v>
                </c:pt>
                <c:pt idx="721">
                  <c:v>958.26676806037767</c:v>
                </c:pt>
                <c:pt idx="722">
                  <c:v>947.24846960816126</c:v>
                </c:pt>
                <c:pt idx="723">
                  <c:v>936.21405303833637</c:v>
                </c:pt>
                <c:pt idx="724">
                  <c:v>925.16384368473905</c:v>
                </c:pt>
                <c:pt idx="725">
                  <c:v>914.09816318836693</c:v>
                </c:pt>
                <c:pt idx="726">
                  <c:v>903.01732951639644</c:v>
                </c:pt>
                <c:pt idx="727">
                  <c:v>891.92165698171675</c:v>
                </c:pt>
                <c:pt idx="728">
                  <c:v>880.81145626295938</c:v>
                </c:pt>
                <c:pt idx="729">
                  <c:v>869.68703442500339</c:v>
                </c:pt>
                <c:pt idx="730">
                  <c:v>858.54869493993635</c:v>
                </c:pt>
                <c:pt idx="731">
                  <c:v>847.39673770845184</c:v>
                </c:pt>
                <c:pt idx="732">
                  <c:v>836.23145908166305</c:v>
                </c:pt>
                <c:pt idx="733">
                  <c:v>825.05315188331565</c:v>
                </c:pt>
                <c:pt idx="734">
                  <c:v>813.86210543237974</c:v>
                </c:pt>
                <c:pt idx="735">
                  <c:v>802.65860556600387</c:v>
                </c:pt>
                <c:pt idx="736">
                  <c:v>791.44293466281283</c:v>
                </c:pt>
                <c:pt idx="737">
                  <c:v>780.21537166653229</c:v>
                </c:pt>
                <c:pt idx="738">
                  <c:v>768.97619210992286</c:v>
                </c:pt>
                <c:pt idx="739">
                  <c:v>757.72566813900721</c:v>
                </c:pt>
                <c:pt idx="740">
                  <c:v>746.46406853757378</c:v>
                </c:pt>
                <c:pt idx="741">
                  <c:v>735.19165875194153</c:v>
                </c:pt>
                <c:pt idx="742">
                  <c:v>723.90870091596958</c:v>
                </c:pt>
                <c:pt idx="743">
                  <c:v>712.6154538762969</c:v>
                </c:pt>
                <c:pt idx="744">
                  <c:v>701.31217321779684</c:v>
                </c:pt>
                <c:pt idx="745">
                  <c:v>689.9991112892327</c:v>
                </c:pt>
                <c:pt idx="746">
                  <c:v>678.67651722909886</c:v>
                </c:pt>
                <c:pt idx="747">
                  <c:v>667.34463699163518</c:v>
                </c:pt>
                <c:pt idx="748">
                  <c:v>656.00371337299941</c:v>
                </c:pt>
                <c:pt idx="749">
                  <c:v>644.65398603758626</c:v>
                </c:pt>
                <c:pt idx="750">
                  <c:v>633.29569154447881</c:v>
                </c:pt>
                <c:pt idx="751">
                  <c:v>621.9290633740203</c:v>
                </c:pt>
                <c:pt idx="752">
                  <c:v>610.55433195449416</c:v>
                </c:pt>
                <c:pt idx="753">
                  <c:v>599.17172468890055</c:v>
                </c:pt>
                <c:pt idx="754">
                  <c:v>587.78146598181695</c:v>
                </c:pt>
                <c:pt idx="755">
                  <c:v>576.38377726633303</c:v>
                </c:pt>
                <c:pt idx="756">
                  <c:v>564.97887703104698</c:v>
                </c:pt>
                <c:pt idx="757">
                  <c:v>553.56698084711479</c:v>
                </c:pt>
                <c:pt idx="758">
                  <c:v>542.1483013953399</c:v>
                </c:pt>
                <c:pt idx="759">
                  <c:v>530.72304849329532</c:v>
                </c:pt>
                <c:pt idx="760">
                  <c:v>519.29142912246664</c:v>
                </c:pt>
                <c:pt idx="761">
                  <c:v>507.85364745540755</c:v>
                </c:pt>
                <c:pt idx="762">
                  <c:v>496.40990488289839</c:v>
                </c:pt>
                <c:pt idx="763">
                  <c:v>484.96040004109875</c:v>
                </c:pt>
                <c:pt idx="764">
                  <c:v>473.5053288386855</c:v>
                </c:pt>
                <c:pt idx="765">
                  <c:v>462.04488448396808</c:v>
                </c:pt>
                <c:pt idx="766">
                  <c:v>450.57925751197246</c:v>
                </c:pt>
                <c:pt idx="767">
                  <c:v>439.10863581148664</c:v>
                </c:pt>
                <c:pt idx="768">
                  <c:v>427.63320465205942</c:v>
                </c:pt>
                <c:pt idx="769">
                  <c:v>416.15314671094569</c:v>
                </c:pt>
                <c:pt idx="770">
                  <c:v>404.66864209999051</c:v>
                </c:pt>
                <c:pt idx="771">
                  <c:v>393.17986839244577</c:v>
                </c:pt>
                <c:pt idx="772">
                  <c:v>381.68700064971256</c:v>
                </c:pt>
                <c:pt idx="773">
                  <c:v>370.19021144800274</c:v>
                </c:pt>
                <c:pt idx="774">
                  <c:v>358.68967090491378</c:v>
                </c:pt>
                <c:pt idx="775">
                  <c:v>347.18554670591095</c:v>
                </c:pt>
                <c:pt idx="776">
                  <c:v>335.67800413071092</c:v>
                </c:pt>
                <c:pt idx="777">
                  <c:v>324.16720607956154</c:v>
                </c:pt>
                <c:pt idx="778">
                  <c:v>312.65331309941246</c:v>
                </c:pt>
                <c:pt idx="779">
                  <c:v>301.13648340997167</c:v>
                </c:pt>
                <c:pt idx="780">
                  <c:v>289.61687292964257</c:v>
                </c:pt>
                <c:pt idx="781">
                  <c:v>278.09463530133769</c:v>
                </c:pt>
                <c:pt idx="782">
                  <c:v>266.56992191816386</c:v>
                </c:pt>
                <c:pt idx="783">
                  <c:v>255.04288194897509</c:v>
                </c:pt>
                <c:pt idx="784">
                  <c:v>243.51366236378882</c:v>
                </c:pt>
                <c:pt idx="785">
                  <c:v>231.9824079590615</c:v>
                </c:pt>
                <c:pt idx="786">
                  <c:v>220.44926138282011</c:v>
                </c:pt>
                <c:pt idx="787">
                  <c:v>208.91436315964575</c:v>
                </c:pt>
                <c:pt idx="788">
                  <c:v>197.37785171550604</c:v>
                </c:pt>
                <c:pt idx="789">
                  <c:v>185.83986340243317</c:v>
                </c:pt>
                <c:pt idx="790">
                  <c:v>174.30053252304421</c:v>
                </c:pt>
                <c:pt idx="791">
                  <c:v>162.7599913549013</c:v>
                </c:pt>
                <c:pt idx="792">
                  <c:v>151.21837017470838</c:v>
                </c:pt>
                <c:pt idx="793">
                  <c:v>139.6757972823423</c:v>
                </c:pt>
                <c:pt idx="794">
                  <c:v>128.13239902471554</c:v>
                </c:pt>
                <c:pt idx="795">
                  <c:v>116.58829981946835</c:v>
                </c:pt>
                <c:pt idx="796">
                  <c:v>105.04362217848822</c:v>
                </c:pt>
                <c:pt idx="797">
                  <c:v>93.498486731254374</c:v>
                </c:pt>
                <c:pt idx="798">
                  <c:v>81.953012248005535</c:v>
                </c:pt>
                <c:pt idx="799">
                  <c:v>70.407315662729161</c:v>
                </c:pt>
                <c:pt idx="800">
                  <c:v>58.861512095970397</c:v>
                </c:pt>
                <c:pt idx="801">
                  <c:v>47.315714877459257</c:v>
                </c:pt>
                <c:pt idx="802">
                  <c:v>35.770035568554562</c:v>
                </c:pt>
                <c:pt idx="803">
                  <c:v>24.224583984503333</c:v>
                </c:pt>
                <c:pt idx="804">
                  <c:v>12.679468216514387</c:v>
                </c:pt>
                <c:pt idx="805">
                  <c:v>1.1347946536450735</c:v>
                </c:pt>
                <c:pt idx="806">
                  <c:v>-10.409331995499883</c:v>
                </c:pt>
                <c:pt idx="807">
                  <c:v>-10.420875822373183</c:v>
                </c:pt>
                <c:pt idx="808">
                  <c:v>-10.432419648545357</c:v>
                </c:pt>
                <c:pt idx="809">
                  <c:v>-10.443963474016304</c:v>
                </c:pt>
                <c:pt idx="810">
                  <c:v>-10.455507298785923</c:v>
                </c:pt>
                <c:pt idx="811">
                  <c:v>-10.467051122854114</c:v>
                </c:pt>
                <c:pt idx="812">
                  <c:v>-10.478594946220776</c:v>
                </c:pt>
                <c:pt idx="813">
                  <c:v>-10.490138768885808</c:v>
                </c:pt>
                <c:pt idx="814">
                  <c:v>-10.501682590849112</c:v>
                </c:pt>
                <c:pt idx="815">
                  <c:v>-10.513226412110585</c:v>
                </c:pt>
                <c:pt idx="816">
                  <c:v>-10.524770232670127</c:v>
                </c:pt>
                <c:pt idx="817">
                  <c:v>-10.536314052527638</c:v>
                </c:pt>
                <c:pt idx="818">
                  <c:v>-10.547857871683018</c:v>
                </c:pt>
                <c:pt idx="819">
                  <c:v>-10.559401690136164</c:v>
                </c:pt>
                <c:pt idx="820">
                  <c:v>-10.570945507886979</c:v>
                </c:pt>
                <c:pt idx="821">
                  <c:v>-10.582489324935359</c:v>
                </c:pt>
                <c:pt idx="822">
                  <c:v>-10.594033141281207</c:v>
                </c:pt>
                <c:pt idx="823">
                  <c:v>-10.60557695692442</c:v>
                </c:pt>
                <c:pt idx="824">
                  <c:v>-10.617120771864897</c:v>
                </c:pt>
                <c:pt idx="825">
                  <c:v>-10.62866458610254</c:v>
                </c:pt>
                <c:pt idx="826">
                  <c:v>-10.640208399637245</c:v>
                </c:pt>
                <c:pt idx="827">
                  <c:v>-10.651752212468915</c:v>
                </c:pt>
                <c:pt idx="828">
                  <c:v>-10.663296024597448</c:v>
                </c:pt>
                <c:pt idx="829">
                  <c:v>-10.674839836022743</c:v>
                </c:pt>
                <c:pt idx="830">
                  <c:v>-10.6863836467447</c:v>
                </c:pt>
                <c:pt idx="831">
                  <c:v>-10.697927456763217</c:v>
                </c:pt>
                <c:pt idx="832">
                  <c:v>-10.709471266078197</c:v>
                </c:pt>
                <c:pt idx="833">
                  <c:v>-10.721015074689536</c:v>
                </c:pt>
                <c:pt idx="834">
                  <c:v>-10.732558882597136</c:v>
                </c:pt>
                <c:pt idx="835">
                  <c:v>-10.744102689800895</c:v>
                </c:pt>
                <c:pt idx="836">
                  <c:v>-10.755646496300713</c:v>
                </c:pt>
                <c:pt idx="837">
                  <c:v>-10.767190302096489</c:v>
                </c:pt>
                <c:pt idx="838">
                  <c:v>-10.778734107188123</c:v>
                </c:pt>
                <c:pt idx="839">
                  <c:v>-10.790277911575515</c:v>
                </c:pt>
                <c:pt idx="840">
                  <c:v>-10.801821715258564</c:v>
                </c:pt>
                <c:pt idx="841">
                  <c:v>-10.81336551823717</c:v>
                </c:pt>
                <c:pt idx="842">
                  <c:v>-10.824909320511232</c:v>
                </c:pt>
                <c:pt idx="843">
                  <c:v>-10.836453122080648</c:v>
                </c:pt>
                <c:pt idx="844">
                  <c:v>-10.84799692294532</c:v>
                </c:pt>
                <c:pt idx="845">
                  <c:v>-10.859540723105146</c:v>
                </c:pt>
                <c:pt idx="846">
                  <c:v>-10.871084522560027</c:v>
                </c:pt>
                <c:pt idx="847">
                  <c:v>-10.882628321309861</c:v>
                </c:pt>
                <c:pt idx="848">
                  <c:v>-10.894172119354549</c:v>
                </c:pt>
                <c:pt idx="849">
                  <c:v>-10.905715916693989</c:v>
                </c:pt>
                <c:pt idx="850">
                  <c:v>-10.917259713328081</c:v>
                </c:pt>
                <c:pt idx="851">
                  <c:v>-10.928803509256724</c:v>
                </c:pt>
                <c:pt idx="852">
                  <c:v>-10.940347304479818</c:v>
                </c:pt>
                <c:pt idx="853">
                  <c:v>-10.951891098997264</c:v>
                </c:pt>
                <c:pt idx="854">
                  <c:v>-10.963434892808959</c:v>
                </c:pt>
                <c:pt idx="855">
                  <c:v>-10.974978685914804</c:v>
                </c:pt>
                <c:pt idx="856">
                  <c:v>-10.986522478314699</c:v>
                </c:pt>
                <c:pt idx="857">
                  <c:v>-10.998066270008541</c:v>
                </c:pt>
                <c:pt idx="858">
                  <c:v>-11.009610060996232</c:v>
                </c:pt>
                <c:pt idx="859">
                  <c:v>-11.021153851277672</c:v>
                </c:pt>
                <c:pt idx="860">
                  <c:v>-11.032697640852758</c:v>
                </c:pt>
                <c:pt idx="861">
                  <c:v>-11.044241429721392</c:v>
                </c:pt>
                <c:pt idx="862">
                  <c:v>-11.055785217883471</c:v>
                </c:pt>
                <c:pt idx="863">
                  <c:v>-11.067329005338898</c:v>
                </c:pt>
                <c:pt idx="864">
                  <c:v>-11.078872792087569</c:v>
                </c:pt>
                <c:pt idx="865">
                  <c:v>-11.090416578129386</c:v>
                </c:pt>
                <c:pt idx="866">
                  <c:v>-11.101960363464247</c:v>
                </c:pt>
                <c:pt idx="867">
                  <c:v>-11.113504148092053</c:v>
                </c:pt>
                <c:pt idx="868">
                  <c:v>-11.125047932012702</c:v>
                </c:pt>
                <c:pt idx="869">
                  <c:v>-11.136591715226094</c:v>
                </c:pt>
                <c:pt idx="870">
                  <c:v>-11.148135497732129</c:v>
                </c:pt>
                <c:pt idx="871">
                  <c:v>-11.159679279530707</c:v>
                </c:pt>
                <c:pt idx="872">
                  <c:v>-11.171223060621728</c:v>
                </c:pt>
                <c:pt idx="873">
                  <c:v>-11.182766841005089</c:v>
                </c:pt>
                <c:pt idx="874">
                  <c:v>-11.194310620680691</c:v>
                </c:pt>
                <c:pt idx="875">
                  <c:v>-11.205854399648434</c:v>
                </c:pt>
                <c:pt idx="876">
                  <c:v>-11.217398177908217</c:v>
                </c:pt>
                <c:pt idx="877">
                  <c:v>-11.228941955459941</c:v>
                </c:pt>
                <c:pt idx="878">
                  <c:v>-11.240485732303505</c:v>
                </c:pt>
                <c:pt idx="879">
                  <c:v>-11.252029508438806</c:v>
                </c:pt>
                <c:pt idx="880">
                  <c:v>-11.263573283865746</c:v>
                </c:pt>
                <c:pt idx="881">
                  <c:v>-11.275117058584224</c:v>
                </c:pt>
                <c:pt idx="882">
                  <c:v>-11.286660832594139</c:v>
                </c:pt>
                <c:pt idx="883">
                  <c:v>-11.298204605895391</c:v>
                </c:pt>
                <c:pt idx="884">
                  <c:v>-11.30974837848788</c:v>
                </c:pt>
                <c:pt idx="885">
                  <c:v>-11.321292150371507</c:v>
                </c:pt>
                <c:pt idx="886">
                  <c:v>-11.332835921546168</c:v>
                </c:pt>
                <c:pt idx="887">
                  <c:v>-11.344379692011765</c:v>
                </c:pt>
                <c:pt idx="888">
                  <c:v>-11.355923461768198</c:v>
                </c:pt>
                <c:pt idx="889">
                  <c:v>-11.367467230815365</c:v>
                </c:pt>
                <c:pt idx="890">
                  <c:v>-11.379010999153166</c:v>
                </c:pt>
                <c:pt idx="891">
                  <c:v>-11.390554766781502</c:v>
                </c:pt>
                <c:pt idx="892">
                  <c:v>-11.40209853370027</c:v>
                </c:pt>
                <c:pt idx="893">
                  <c:v>-11.413642299909371</c:v>
                </c:pt>
                <c:pt idx="894">
                  <c:v>-11.425186065408706</c:v>
                </c:pt>
                <c:pt idx="895">
                  <c:v>-11.436729830198173</c:v>
                </c:pt>
                <c:pt idx="896">
                  <c:v>-11.448273594277671</c:v>
                </c:pt>
                <c:pt idx="897">
                  <c:v>-11.459817357647101</c:v>
                </c:pt>
                <c:pt idx="898">
                  <c:v>-11.471361120306362</c:v>
                </c:pt>
                <c:pt idx="899">
                  <c:v>-11.482904882255353</c:v>
                </c:pt>
                <c:pt idx="900">
                  <c:v>-11.494448643493975</c:v>
                </c:pt>
                <c:pt idx="901">
                  <c:v>-11.505992404022127</c:v>
                </c:pt>
                <c:pt idx="902">
                  <c:v>-11.517536163839708</c:v>
                </c:pt>
                <c:pt idx="903">
                  <c:v>-11.529079922946618</c:v>
                </c:pt>
                <c:pt idx="904">
                  <c:v>-11.540623681342757</c:v>
                </c:pt>
                <c:pt idx="905">
                  <c:v>-11.552167439028024</c:v>
                </c:pt>
                <c:pt idx="906">
                  <c:v>-11.563711196002318</c:v>
                </c:pt>
                <c:pt idx="907">
                  <c:v>-11.57525495226554</c:v>
                </c:pt>
                <c:pt idx="908">
                  <c:v>-11.586798707817589</c:v>
                </c:pt>
                <c:pt idx="909">
                  <c:v>-11.598342462658366</c:v>
                </c:pt>
                <c:pt idx="910">
                  <c:v>-11.609886216787768</c:v>
                </c:pt>
                <c:pt idx="911">
                  <c:v>-11.621429970205696</c:v>
                </c:pt>
                <c:pt idx="912">
                  <c:v>-11.63297372291205</c:v>
                </c:pt>
                <c:pt idx="913">
                  <c:v>-11.64451747490673</c:v>
                </c:pt>
                <c:pt idx="914">
                  <c:v>-11.656061226189633</c:v>
                </c:pt>
                <c:pt idx="915">
                  <c:v>-11.667604976760662</c:v>
                </c:pt>
                <c:pt idx="916">
                  <c:v>-11.679148726619715</c:v>
                </c:pt>
                <c:pt idx="917">
                  <c:v>-11.69069247576669</c:v>
                </c:pt>
                <c:pt idx="918">
                  <c:v>-11.70223622420149</c:v>
                </c:pt>
                <c:pt idx="919">
                  <c:v>-11.713779971924012</c:v>
                </c:pt>
                <c:pt idx="920">
                  <c:v>-11.725323718934156</c:v>
                </c:pt>
                <c:pt idx="921">
                  <c:v>-11.736867465231823</c:v>
                </c:pt>
                <c:pt idx="922">
                  <c:v>-11.748411210816911</c:v>
                </c:pt>
                <c:pt idx="923">
                  <c:v>-11.759954955689322</c:v>
                </c:pt>
                <c:pt idx="924">
                  <c:v>-11.771498699848953</c:v>
                </c:pt>
                <c:pt idx="925">
                  <c:v>-11.783042443295706</c:v>
                </c:pt>
                <c:pt idx="926">
                  <c:v>-11.794586186029479</c:v>
                </c:pt>
                <c:pt idx="927">
                  <c:v>-11.806129928050172</c:v>
                </c:pt>
                <c:pt idx="928">
                  <c:v>-11.817673669357685</c:v>
                </c:pt>
                <c:pt idx="929">
                  <c:v>-11.829217409951916</c:v>
                </c:pt>
                <c:pt idx="930">
                  <c:v>-11.840761149832767</c:v>
                </c:pt>
                <c:pt idx="931">
                  <c:v>-11.852304889000136</c:v>
                </c:pt>
                <c:pt idx="932">
                  <c:v>-11.863848627453924</c:v>
                </c:pt>
                <c:pt idx="933">
                  <c:v>-11.875392365194029</c:v>
                </c:pt>
                <c:pt idx="934">
                  <c:v>-11.886936102220353</c:v>
                </c:pt>
                <c:pt idx="935">
                  <c:v>-11.898479838532793</c:v>
                </c:pt>
                <c:pt idx="936">
                  <c:v>-11.910023574131252</c:v>
                </c:pt>
                <c:pt idx="937">
                  <c:v>-11.921567309015625</c:v>
                </c:pt>
                <c:pt idx="938">
                  <c:v>-11.933111043185816</c:v>
                </c:pt>
                <c:pt idx="939">
                  <c:v>-11.944654776641721</c:v>
                </c:pt>
                <c:pt idx="940">
                  <c:v>-11.956198509383244</c:v>
                </c:pt>
                <c:pt idx="941">
                  <c:v>-11.967742241410281</c:v>
                </c:pt>
                <c:pt idx="942">
                  <c:v>-11.979285972722733</c:v>
                </c:pt>
                <c:pt idx="943">
                  <c:v>-11.9908297033205</c:v>
                </c:pt>
                <c:pt idx="944">
                  <c:v>-12.002373433203481</c:v>
                </c:pt>
                <c:pt idx="945">
                  <c:v>-12.013917162371575</c:v>
                </c:pt>
                <c:pt idx="946">
                  <c:v>-12.025460890824684</c:v>
                </c:pt>
                <c:pt idx="947">
                  <c:v>-12.037004618562706</c:v>
                </c:pt>
                <c:pt idx="948">
                  <c:v>-12.048548345585541</c:v>
                </c:pt>
                <c:pt idx="949">
                  <c:v>-12.060092071893088</c:v>
                </c:pt>
                <c:pt idx="950">
                  <c:v>-12.071635797485248</c:v>
                </c:pt>
                <c:pt idx="951">
                  <c:v>-12.08317952236192</c:v>
                </c:pt>
                <c:pt idx="952">
                  <c:v>-12.094723246523003</c:v>
                </c:pt>
                <c:pt idx="953">
                  <c:v>-12.106266969968397</c:v>
                </c:pt>
                <c:pt idx="954">
                  <c:v>-12.117810692698002</c:v>
                </c:pt>
                <c:pt idx="955">
                  <c:v>-12.129354414711718</c:v>
                </c:pt>
                <c:pt idx="956">
                  <c:v>-12.140898136009445</c:v>
                </c:pt>
                <c:pt idx="957">
                  <c:v>-12.152441856591082</c:v>
                </c:pt>
                <c:pt idx="958">
                  <c:v>-12.163985576456529</c:v>
                </c:pt>
                <c:pt idx="959">
                  <c:v>-12.175529295605685</c:v>
                </c:pt>
                <c:pt idx="960">
                  <c:v>-12.18707301403845</c:v>
                </c:pt>
                <c:pt idx="961">
                  <c:v>-12.198616731754726</c:v>
                </c:pt>
                <c:pt idx="962">
                  <c:v>-12.210160448754408</c:v>
                </c:pt>
                <c:pt idx="963">
                  <c:v>-12.2217041650374</c:v>
                </c:pt>
                <c:pt idx="964">
                  <c:v>-12.233247880603599</c:v>
                </c:pt>
                <c:pt idx="965">
                  <c:v>-12.244791595452906</c:v>
                </c:pt>
                <c:pt idx="966">
                  <c:v>-12.25633530958522</c:v>
                </c:pt>
                <c:pt idx="967">
                  <c:v>-12.267879023000441</c:v>
                </c:pt>
                <c:pt idx="968">
                  <c:v>-12.27942273569847</c:v>
                </c:pt>
                <c:pt idx="969">
                  <c:v>-12.290966447679205</c:v>
                </c:pt>
                <c:pt idx="970">
                  <c:v>-12.302510158942546</c:v>
                </c:pt>
                <c:pt idx="971">
                  <c:v>-12.314053869488394</c:v>
                </c:pt>
                <c:pt idx="972">
                  <c:v>-12.325597579316646</c:v>
                </c:pt>
                <c:pt idx="973">
                  <c:v>-12.337141288427205</c:v>
                </c:pt>
                <c:pt idx="974">
                  <c:v>-12.348684996819969</c:v>
                </c:pt>
                <c:pt idx="975">
                  <c:v>-12.360228704494839</c:v>
                </c:pt>
                <c:pt idx="976">
                  <c:v>-12.371772411451712</c:v>
                </c:pt>
                <c:pt idx="977">
                  <c:v>-12.383316117690489</c:v>
                </c:pt>
                <c:pt idx="978">
                  <c:v>-12.394859823211071</c:v>
                </c:pt>
                <c:pt idx="979">
                  <c:v>-12.406403528013357</c:v>
                </c:pt>
                <c:pt idx="980">
                  <c:v>-12.417947232097246</c:v>
                </c:pt>
                <c:pt idx="981">
                  <c:v>-12.429490935462638</c:v>
                </c:pt>
                <c:pt idx="982">
                  <c:v>-12.441034638109434</c:v>
                </c:pt>
                <c:pt idx="983">
                  <c:v>-12.452578340037531</c:v>
                </c:pt>
                <c:pt idx="984">
                  <c:v>-12.464122041246831</c:v>
                </c:pt>
                <c:pt idx="985">
                  <c:v>-12.475665741737235</c:v>
                </c:pt>
                <c:pt idx="986">
                  <c:v>-12.487209441508639</c:v>
                </c:pt>
                <c:pt idx="987">
                  <c:v>-12.498753140560945</c:v>
                </c:pt>
                <c:pt idx="988">
                  <c:v>-12.510296838894053</c:v>
                </c:pt>
                <c:pt idx="989">
                  <c:v>-12.521840536507861</c:v>
                </c:pt>
                <c:pt idx="990">
                  <c:v>-12.533384233402272</c:v>
                </c:pt>
                <c:pt idx="991">
                  <c:v>-12.544927929577181</c:v>
                </c:pt>
                <c:pt idx="992">
                  <c:v>-12.556471625032492</c:v>
                </c:pt>
                <c:pt idx="993">
                  <c:v>-12.568015319768103</c:v>
                </c:pt>
                <c:pt idx="994">
                  <c:v>-12.579559013783912</c:v>
                </c:pt>
                <c:pt idx="995">
                  <c:v>-12.591102707079823</c:v>
                </c:pt>
                <c:pt idx="996">
                  <c:v>-12.602646399655733</c:v>
                </c:pt>
                <c:pt idx="997">
                  <c:v>-12.614190091511542</c:v>
                </c:pt>
                <c:pt idx="998">
                  <c:v>-12.625733782647149</c:v>
                </c:pt>
                <c:pt idx="999">
                  <c:v>-12.637277473062456</c:v>
                </c:pt>
                <c:pt idx="1000">
                  <c:v>-12.648821162757361</c:v>
                </c:pt>
              </c:numCache>
            </c:numRef>
          </c:yVal>
          <c:smooth val="1"/>
          <c:extLst>
            <c:ext xmlns:c16="http://schemas.microsoft.com/office/drawing/2014/chart" uri="{C3380CC4-5D6E-409C-BE32-E72D297353CC}">
              <c16:uniqueId val="{00000001-4C7F-469F-ADED-1B0B28F452E1}"/>
            </c:ext>
          </c:extLst>
        </c:ser>
        <c:ser>
          <c:idx val="1"/>
          <c:order val="2"/>
          <c:tx>
            <c:strRef>
              <c:f>Trajecto!$B$108</c:f>
              <c:strCache>
                <c:ptCount val="1"/>
                <c:pt idx="0">
                  <c:v>Descente balistique</c:v>
                </c:pt>
              </c:strCache>
            </c:strRef>
          </c:tx>
          <c:spPr>
            <a:ln w="12700">
              <a:solidFill>
                <a:srgbClr val="808080"/>
              </a:solidFill>
              <a:prstDash val="sysDash"/>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34.800000000000182</c:v>
                </c:pt>
                <c:pt idx="709">
                  <c:v>34.900000000000183</c:v>
                </c:pt>
                <c:pt idx="710">
                  <c:v>35.000000000000185</c:v>
                </c:pt>
                <c:pt idx="711">
                  <c:v>35.100000000000186</c:v>
                </c:pt>
                <c:pt idx="712">
                  <c:v>35.200000000000188</c:v>
                </c:pt>
                <c:pt idx="713">
                  <c:v>35.300000000000189</c:v>
                </c:pt>
                <c:pt idx="714">
                  <c:v>35.40000000000019</c:v>
                </c:pt>
                <c:pt idx="715">
                  <c:v>35.500000000000192</c:v>
                </c:pt>
                <c:pt idx="716">
                  <c:v>35.600000000000193</c:v>
                </c:pt>
                <c:pt idx="717">
                  <c:v>35.700000000000195</c:v>
                </c:pt>
                <c:pt idx="718">
                  <c:v>35.800000000000196</c:v>
                </c:pt>
                <c:pt idx="719">
                  <c:v>35.900000000000198</c:v>
                </c:pt>
                <c:pt idx="720">
                  <c:v>36.000000000000199</c:v>
                </c:pt>
                <c:pt idx="721">
                  <c:v>36.1000000000002</c:v>
                </c:pt>
                <c:pt idx="722">
                  <c:v>36.200000000000202</c:v>
                </c:pt>
                <c:pt idx="723">
                  <c:v>36.300000000000203</c:v>
                </c:pt>
                <c:pt idx="724">
                  <c:v>36.400000000000205</c:v>
                </c:pt>
                <c:pt idx="725">
                  <c:v>36.500000000000206</c:v>
                </c:pt>
                <c:pt idx="726">
                  <c:v>36.600000000000207</c:v>
                </c:pt>
                <c:pt idx="727">
                  <c:v>36.700000000000209</c:v>
                </c:pt>
                <c:pt idx="728">
                  <c:v>36.80000000000021</c:v>
                </c:pt>
                <c:pt idx="729">
                  <c:v>36.900000000000212</c:v>
                </c:pt>
                <c:pt idx="730">
                  <c:v>37.000000000000213</c:v>
                </c:pt>
                <c:pt idx="731">
                  <c:v>37.100000000000215</c:v>
                </c:pt>
                <c:pt idx="732">
                  <c:v>37.200000000000216</c:v>
                </c:pt>
                <c:pt idx="733">
                  <c:v>37.300000000000217</c:v>
                </c:pt>
                <c:pt idx="734">
                  <c:v>37.400000000000219</c:v>
                </c:pt>
                <c:pt idx="735">
                  <c:v>37.50000000000022</c:v>
                </c:pt>
                <c:pt idx="736">
                  <c:v>37.600000000000222</c:v>
                </c:pt>
                <c:pt idx="737">
                  <c:v>37.700000000000223</c:v>
                </c:pt>
                <c:pt idx="738">
                  <c:v>37.800000000000225</c:v>
                </c:pt>
                <c:pt idx="739">
                  <c:v>37.900000000000226</c:v>
                </c:pt>
                <c:pt idx="740">
                  <c:v>38.000000000000227</c:v>
                </c:pt>
                <c:pt idx="741">
                  <c:v>38.100000000000229</c:v>
                </c:pt>
                <c:pt idx="742">
                  <c:v>38.20000000000023</c:v>
                </c:pt>
                <c:pt idx="743">
                  <c:v>38.300000000000232</c:v>
                </c:pt>
                <c:pt idx="744">
                  <c:v>38.400000000000233</c:v>
                </c:pt>
                <c:pt idx="745">
                  <c:v>38.500000000000234</c:v>
                </c:pt>
                <c:pt idx="746">
                  <c:v>38.600000000000236</c:v>
                </c:pt>
                <c:pt idx="747">
                  <c:v>38.700000000000237</c:v>
                </c:pt>
                <c:pt idx="748">
                  <c:v>38.800000000000239</c:v>
                </c:pt>
                <c:pt idx="749">
                  <c:v>38.90000000000024</c:v>
                </c:pt>
                <c:pt idx="750">
                  <c:v>39.000000000000242</c:v>
                </c:pt>
                <c:pt idx="751">
                  <c:v>39.100000000000243</c:v>
                </c:pt>
                <c:pt idx="752">
                  <c:v>39.200000000000244</c:v>
                </c:pt>
                <c:pt idx="753">
                  <c:v>39.300000000000246</c:v>
                </c:pt>
                <c:pt idx="754">
                  <c:v>39.400000000000247</c:v>
                </c:pt>
                <c:pt idx="755">
                  <c:v>39.500000000000249</c:v>
                </c:pt>
                <c:pt idx="756">
                  <c:v>39.60000000000025</c:v>
                </c:pt>
                <c:pt idx="757">
                  <c:v>39.700000000000252</c:v>
                </c:pt>
                <c:pt idx="758">
                  <c:v>39.800000000000253</c:v>
                </c:pt>
                <c:pt idx="759">
                  <c:v>39.900000000000254</c:v>
                </c:pt>
                <c:pt idx="760">
                  <c:v>40.000000000000256</c:v>
                </c:pt>
                <c:pt idx="761">
                  <c:v>40.100000000000257</c:v>
                </c:pt>
                <c:pt idx="762">
                  <c:v>40.200000000000259</c:v>
                </c:pt>
                <c:pt idx="763">
                  <c:v>40.30000000000026</c:v>
                </c:pt>
                <c:pt idx="764">
                  <c:v>40.400000000000261</c:v>
                </c:pt>
                <c:pt idx="765">
                  <c:v>40.500000000000263</c:v>
                </c:pt>
                <c:pt idx="766">
                  <c:v>40.600000000000264</c:v>
                </c:pt>
                <c:pt idx="767">
                  <c:v>40.700000000000266</c:v>
                </c:pt>
                <c:pt idx="768">
                  <c:v>40.800000000000267</c:v>
                </c:pt>
                <c:pt idx="769">
                  <c:v>40.900000000000269</c:v>
                </c:pt>
                <c:pt idx="770">
                  <c:v>41.00000000000027</c:v>
                </c:pt>
                <c:pt idx="771">
                  <c:v>41.100000000000271</c:v>
                </c:pt>
                <c:pt idx="772">
                  <c:v>41.200000000000273</c:v>
                </c:pt>
                <c:pt idx="773">
                  <c:v>41.300000000000274</c:v>
                </c:pt>
                <c:pt idx="774">
                  <c:v>41.400000000000276</c:v>
                </c:pt>
                <c:pt idx="775">
                  <c:v>41.500000000000277</c:v>
                </c:pt>
                <c:pt idx="776">
                  <c:v>41.600000000000279</c:v>
                </c:pt>
                <c:pt idx="777">
                  <c:v>41.70000000000028</c:v>
                </c:pt>
                <c:pt idx="778">
                  <c:v>41.800000000000281</c:v>
                </c:pt>
                <c:pt idx="779">
                  <c:v>41.900000000000283</c:v>
                </c:pt>
                <c:pt idx="780">
                  <c:v>42.000000000000284</c:v>
                </c:pt>
                <c:pt idx="781">
                  <c:v>42.100000000000286</c:v>
                </c:pt>
                <c:pt idx="782">
                  <c:v>42.200000000000287</c:v>
                </c:pt>
                <c:pt idx="783">
                  <c:v>42.300000000000288</c:v>
                </c:pt>
                <c:pt idx="784">
                  <c:v>42.40000000000029</c:v>
                </c:pt>
                <c:pt idx="785">
                  <c:v>42.500000000000291</c:v>
                </c:pt>
                <c:pt idx="786">
                  <c:v>42.600000000000293</c:v>
                </c:pt>
                <c:pt idx="787">
                  <c:v>42.700000000000294</c:v>
                </c:pt>
                <c:pt idx="788">
                  <c:v>42.800000000000296</c:v>
                </c:pt>
                <c:pt idx="789">
                  <c:v>42.900000000000297</c:v>
                </c:pt>
                <c:pt idx="790">
                  <c:v>43.000000000000298</c:v>
                </c:pt>
                <c:pt idx="791">
                  <c:v>43.1000000000003</c:v>
                </c:pt>
                <c:pt idx="792">
                  <c:v>43.200000000000301</c:v>
                </c:pt>
                <c:pt idx="793">
                  <c:v>43.300000000000303</c:v>
                </c:pt>
                <c:pt idx="794">
                  <c:v>43.400000000000304</c:v>
                </c:pt>
                <c:pt idx="795">
                  <c:v>43.500000000000306</c:v>
                </c:pt>
                <c:pt idx="796">
                  <c:v>43.600000000000307</c:v>
                </c:pt>
                <c:pt idx="797">
                  <c:v>43.700000000000308</c:v>
                </c:pt>
                <c:pt idx="798">
                  <c:v>43.80000000000031</c:v>
                </c:pt>
                <c:pt idx="799">
                  <c:v>43.900000000000311</c:v>
                </c:pt>
                <c:pt idx="800">
                  <c:v>44.000000000000313</c:v>
                </c:pt>
                <c:pt idx="801">
                  <c:v>44.100000000000314</c:v>
                </c:pt>
                <c:pt idx="802">
                  <c:v>44.200000000000315</c:v>
                </c:pt>
                <c:pt idx="803">
                  <c:v>44.300000000000317</c:v>
                </c:pt>
                <c:pt idx="804">
                  <c:v>44.400000000000318</c:v>
                </c:pt>
                <c:pt idx="805">
                  <c:v>44.50000000000032</c:v>
                </c:pt>
                <c:pt idx="806">
                  <c:v>44.600000000000321</c:v>
                </c:pt>
                <c:pt idx="807">
                  <c:v>44.600100000000324</c:v>
                </c:pt>
                <c:pt idx="808">
                  <c:v>44.600200000000328</c:v>
                </c:pt>
                <c:pt idx="809">
                  <c:v>44.600300000000331</c:v>
                </c:pt>
                <c:pt idx="810">
                  <c:v>44.600400000000334</c:v>
                </c:pt>
                <c:pt idx="811">
                  <c:v>44.600500000000338</c:v>
                </c:pt>
                <c:pt idx="812">
                  <c:v>44.600600000000341</c:v>
                </c:pt>
                <c:pt idx="813">
                  <c:v>44.600700000000344</c:v>
                </c:pt>
                <c:pt idx="814">
                  <c:v>44.600800000000348</c:v>
                </c:pt>
                <c:pt idx="815">
                  <c:v>44.600900000000351</c:v>
                </c:pt>
                <c:pt idx="816">
                  <c:v>44.601000000000354</c:v>
                </c:pt>
                <c:pt idx="817">
                  <c:v>44.601100000000358</c:v>
                </c:pt>
                <c:pt idx="818">
                  <c:v>44.601200000000361</c:v>
                </c:pt>
                <c:pt idx="819">
                  <c:v>44.601300000000364</c:v>
                </c:pt>
                <c:pt idx="820">
                  <c:v>44.601400000000368</c:v>
                </c:pt>
                <c:pt idx="821">
                  <c:v>44.601500000000371</c:v>
                </c:pt>
                <c:pt idx="822">
                  <c:v>44.601600000000374</c:v>
                </c:pt>
                <c:pt idx="823">
                  <c:v>44.601700000000378</c:v>
                </c:pt>
                <c:pt idx="824">
                  <c:v>44.601800000000381</c:v>
                </c:pt>
                <c:pt idx="825">
                  <c:v>44.601900000000384</c:v>
                </c:pt>
                <c:pt idx="826">
                  <c:v>44.602000000000388</c:v>
                </c:pt>
                <c:pt idx="827">
                  <c:v>44.602100000000391</c:v>
                </c:pt>
                <c:pt idx="828">
                  <c:v>44.602200000000394</c:v>
                </c:pt>
                <c:pt idx="829">
                  <c:v>44.602300000000398</c:v>
                </c:pt>
                <c:pt idx="830">
                  <c:v>44.602400000000401</c:v>
                </c:pt>
                <c:pt idx="831">
                  <c:v>44.602500000000404</c:v>
                </c:pt>
                <c:pt idx="832">
                  <c:v>44.602600000000407</c:v>
                </c:pt>
                <c:pt idx="833">
                  <c:v>44.602700000000411</c:v>
                </c:pt>
                <c:pt idx="834">
                  <c:v>44.602800000000414</c:v>
                </c:pt>
                <c:pt idx="835">
                  <c:v>44.602900000000417</c:v>
                </c:pt>
                <c:pt idx="836">
                  <c:v>44.603000000000421</c:v>
                </c:pt>
                <c:pt idx="837">
                  <c:v>44.603100000000424</c:v>
                </c:pt>
                <c:pt idx="838">
                  <c:v>44.603200000000427</c:v>
                </c:pt>
                <c:pt idx="839">
                  <c:v>44.603300000000431</c:v>
                </c:pt>
                <c:pt idx="840">
                  <c:v>44.603400000000434</c:v>
                </c:pt>
                <c:pt idx="841">
                  <c:v>44.603500000000437</c:v>
                </c:pt>
                <c:pt idx="842">
                  <c:v>44.603600000000441</c:v>
                </c:pt>
                <c:pt idx="843">
                  <c:v>44.603700000000444</c:v>
                </c:pt>
                <c:pt idx="844">
                  <c:v>44.603800000000447</c:v>
                </c:pt>
                <c:pt idx="845">
                  <c:v>44.603900000000451</c:v>
                </c:pt>
                <c:pt idx="846">
                  <c:v>44.604000000000454</c:v>
                </c:pt>
                <c:pt idx="847">
                  <c:v>44.604100000000457</c:v>
                </c:pt>
                <c:pt idx="848">
                  <c:v>44.604200000000461</c:v>
                </c:pt>
                <c:pt idx="849">
                  <c:v>44.604300000000464</c:v>
                </c:pt>
                <c:pt idx="850">
                  <c:v>44.604400000000467</c:v>
                </c:pt>
                <c:pt idx="851">
                  <c:v>44.604500000000471</c:v>
                </c:pt>
                <c:pt idx="852">
                  <c:v>44.604600000000474</c:v>
                </c:pt>
                <c:pt idx="853">
                  <c:v>44.604700000000477</c:v>
                </c:pt>
                <c:pt idx="854">
                  <c:v>44.604800000000481</c:v>
                </c:pt>
                <c:pt idx="855">
                  <c:v>44.604900000000484</c:v>
                </c:pt>
                <c:pt idx="856">
                  <c:v>44.605000000000487</c:v>
                </c:pt>
                <c:pt idx="857">
                  <c:v>44.60510000000049</c:v>
                </c:pt>
                <c:pt idx="858">
                  <c:v>44.605200000000494</c:v>
                </c:pt>
                <c:pt idx="859">
                  <c:v>44.605300000000497</c:v>
                </c:pt>
                <c:pt idx="860">
                  <c:v>44.6054000000005</c:v>
                </c:pt>
                <c:pt idx="861">
                  <c:v>44.605500000000504</c:v>
                </c:pt>
                <c:pt idx="862">
                  <c:v>44.605600000000507</c:v>
                </c:pt>
                <c:pt idx="863">
                  <c:v>44.60570000000051</c:v>
                </c:pt>
                <c:pt idx="864">
                  <c:v>44.605800000000514</c:v>
                </c:pt>
                <c:pt idx="865">
                  <c:v>44.605900000000517</c:v>
                </c:pt>
                <c:pt idx="866">
                  <c:v>44.60600000000052</c:v>
                </c:pt>
                <c:pt idx="867">
                  <c:v>44.606100000000524</c:v>
                </c:pt>
                <c:pt idx="868">
                  <c:v>44.606200000000527</c:v>
                </c:pt>
                <c:pt idx="869">
                  <c:v>44.60630000000053</c:v>
                </c:pt>
                <c:pt idx="870">
                  <c:v>44.606400000000534</c:v>
                </c:pt>
                <c:pt idx="871">
                  <c:v>44.606500000000537</c:v>
                </c:pt>
                <c:pt idx="872">
                  <c:v>44.60660000000054</c:v>
                </c:pt>
                <c:pt idx="873">
                  <c:v>44.606700000000544</c:v>
                </c:pt>
                <c:pt idx="874">
                  <c:v>44.606800000000547</c:v>
                </c:pt>
                <c:pt idx="875">
                  <c:v>44.60690000000055</c:v>
                </c:pt>
                <c:pt idx="876">
                  <c:v>44.607000000000554</c:v>
                </c:pt>
                <c:pt idx="877">
                  <c:v>44.607100000000557</c:v>
                </c:pt>
                <c:pt idx="878">
                  <c:v>44.60720000000056</c:v>
                </c:pt>
                <c:pt idx="879">
                  <c:v>44.607300000000564</c:v>
                </c:pt>
                <c:pt idx="880">
                  <c:v>44.607400000000567</c:v>
                </c:pt>
                <c:pt idx="881">
                  <c:v>44.60750000000057</c:v>
                </c:pt>
                <c:pt idx="882">
                  <c:v>44.607600000000573</c:v>
                </c:pt>
                <c:pt idx="883">
                  <c:v>44.607700000000577</c:v>
                </c:pt>
                <c:pt idx="884">
                  <c:v>44.60780000000058</c:v>
                </c:pt>
                <c:pt idx="885">
                  <c:v>44.607900000000583</c:v>
                </c:pt>
                <c:pt idx="886">
                  <c:v>44.608000000000587</c:v>
                </c:pt>
                <c:pt idx="887">
                  <c:v>44.60810000000059</c:v>
                </c:pt>
                <c:pt idx="888">
                  <c:v>44.608200000000593</c:v>
                </c:pt>
                <c:pt idx="889">
                  <c:v>44.608300000000597</c:v>
                </c:pt>
                <c:pt idx="890">
                  <c:v>44.6084000000006</c:v>
                </c:pt>
                <c:pt idx="891">
                  <c:v>44.608500000000603</c:v>
                </c:pt>
                <c:pt idx="892">
                  <c:v>44.608600000000607</c:v>
                </c:pt>
                <c:pt idx="893">
                  <c:v>44.60870000000061</c:v>
                </c:pt>
                <c:pt idx="894">
                  <c:v>44.608800000000613</c:v>
                </c:pt>
                <c:pt idx="895">
                  <c:v>44.608900000000617</c:v>
                </c:pt>
                <c:pt idx="896">
                  <c:v>44.60900000000062</c:v>
                </c:pt>
                <c:pt idx="897">
                  <c:v>44.609100000000623</c:v>
                </c:pt>
                <c:pt idx="898">
                  <c:v>44.609200000000627</c:v>
                </c:pt>
                <c:pt idx="899">
                  <c:v>44.60930000000063</c:v>
                </c:pt>
                <c:pt idx="900">
                  <c:v>44.609400000000633</c:v>
                </c:pt>
                <c:pt idx="901">
                  <c:v>44.609500000000637</c:v>
                </c:pt>
                <c:pt idx="902">
                  <c:v>44.60960000000064</c:v>
                </c:pt>
                <c:pt idx="903">
                  <c:v>44.609700000000643</c:v>
                </c:pt>
                <c:pt idx="904">
                  <c:v>44.609800000000646</c:v>
                </c:pt>
                <c:pt idx="905">
                  <c:v>44.60990000000065</c:v>
                </c:pt>
                <c:pt idx="906">
                  <c:v>44.610000000000653</c:v>
                </c:pt>
                <c:pt idx="907">
                  <c:v>44.610100000000656</c:v>
                </c:pt>
                <c:pt idx="908">
                  <c:v>44.61020000000066</c:v>
                </c:pt>
                <c:pt idx="909">
                  <c:v>44.610300000000663</c:v>
                </c:pt>
                <c:pt idx="910">
                  <c:v>44.610400000000666</c:v>
                </c:pt>
                <c:pt idx="911">
                  <c:v>44.61050000000067</c:v>
                </c:pt>
                <c:pt idx="912">
                  <c:v>44.610600000000673</c:v>
                </c:pt>
                <c:pt idx="913">
                  <c:v>44.610700000000676</c:v>
                </c:pt>
                <c:pt idx="914">
                  <c:v>44.61080000000068</c:v>
                </c:pt>
                <c:pt idx="915">
                  <c:v>44.610900000000683</c:v>
                </c:pt>
                <c:pt idx="916">
                  <c:v>44.611000000000686</c:v>
                </c:pt>
                <c:pt idx="917">
                  <c:v>44.61110000000069</c:v>
                </c:pt>
                <c:pt idx="918">
                  <c:v>44.611200000000693</c:v>
                </c:pt>
                <c:pt idx="919">
                  <c:v>44.611300000000696</c:v>
                </c:pt>
                <c:pt idx="920">
                  <c:v>44.6114000000007</c:v>
                </c:pt>
                <c:pt idx="921">
                  <c:v>44.611500000000703</c:v>
                </c:pt>
                <c:pt idx="922">
                  <c:v>44.611600000000706</c:v>
                </c:pt>
                <c:pt idx="923">
                  <c:v>44.61170000000071</c:v>
                </c:pt>
                <c:pt idx="924">
                  <c:v>44.611800000000713</c:v>
                </c:pt>
                <c:pt idx="925">
                  <c:v>44.611900000000716</c:v>
                </c:pt>
                <c:pt idx="926">
                  <c:v>44.61200000000072</c:v>
                </c:pt>
                <c:pt idx="927">
                  <c:v>44.612100000000723</c:v>
                </c:pt>
                <c:pt idx="928">
                  <c:v>44.612200000000726</c:v>
                </c:pt>
                <c:pt idx="929">
                  <c:v>44.612300000000729</c:v>
                </c:pt>
                <c:pt idx="930">
                  <c:v>44.612400000000733</c:v>
                </c:pt>
                <c:pt idx="931">
                  <c:v>44.612500000000736</c:v>
                </c:pt>
                <c:pt idx="932">
                  <c:v>44.612600000000739</c:v>
                </c:pt>
                <c:pt idx="933">
                  <c:v>44.612700000000743</c:v>
                </c:pt>
                <c:pt idx="934">
                  <c:v>44.612800000000746</c:v>
                </c:pt>
                <c:pt idx="935">
                  <c:v>44.612900000000749</c:v>
                </c:pt>
                <c:pt idx="936">
                  <c:v>44.613000000000753</c:v>
                </c:pt>
                <c:pt idx="937">
                  <c:v>44.613100000000756</c:v>
                </c:pt>
                <c:pt idx="938">
                  <c:v>44.613200000000759</c:v>
                </c:pt>
                <c:pt idx="939">
                  <c:v>44.613300000000763</c:v>
                </c:pt>
                <c:pt idx="940">
                  <c:v>44.613400000000766</c:v>
                </c:pt>
                <c:pt idx="941">
                  <c:v>44.613500000000769</c:v>
                </c:pt>
                <c:pt idx="942">
                  <c:v>44.613600000000773</c:v>
                </c:pt>
                <c:pt idx="943">
                  <c:v>44.613700000000776</c:v>
                </c:pt>
                <c:pt idx="944">
                  <c:v>44.613800000000779</c:v>
                </c:pt>
                <c:pt idx="945">
                  <c:v>44.613900000000783</c:v>
                </c:pt>
                <c:pt idx="946">
                  <c:v>44.614000000000786</c:v>
                </c:pt>
                <c:pt idx="947">
                  <c:v>44.614100000000789</c:v>
                </c:pt>
                <c:pt idx="948">
                  <c:v>44.614200000000793</c:v>
                </c:pt>
                <c:pt idx="949">
                  <c:v>44.614300000000796</c:v>
                </c:pt>
                <c:pt idx="950">
                  <c:v>44.614400000000799</c:v>
                </c:pt>
                <c:pt idx="951">
                  <c:v>44.614500000000803</c:v>
                </c:pt>
                <c:pt idx="952">
                  <c:v>44.614600000000806</c:v>
                </c:pt>
                <c:pt idx="953">
                  <c:v>44.614700000000809</c:v>
                </c:pt>
                <c:pt idx="954">
                  <c:v>44.614800000000812</c:v>
                </c:pt>
                <c:pt idx="955">
                  <c:v>44.614900000000816</c:v>
                </c:pt>
                <c:pt idx="956">
                  <c:v>44.615000000000819</c:v>
                </c:pt>
                <c:pt idx="957">
                  <c:v>44.615100000000822</c:v>
                </c:pt>
                <c:pt idx="958">
                  <c:v>44.615200000000826</c:v>
                </c:pt>
                <c:pt idx="959">
                  <c:v>44.615300000000829</c:v>
                </c:pt>
                <c:pt idx="960">
                  <c:v>44.615400000000832</c:v>
                </c:pt>
                <c:pt idx="961">
                  <c:v>44.615500000000836</c:v>
                </c:pt>
                <c:pt idx="962">
                  <c:v>44.615600000000839</c:v>
                </c:pt>
                <c:pt idx="963">
                  <c:v>44.615700000000842</c:v>
                </c:pt>
                <c:pt idx="964">
                  <c:v>44.615800000000846</c:v>
                </c:pt>
                <c:pt idx="965">
                  <c:v>44.615900000000849</c:v>
                </c:pt>
                <c:pt idx="966">
                  <c:v>44.616000000000852</c:v>
                </c:pt>
                <c:pt idx="967">
                  <c:v>44.616100000000856</c:v>
                </c:pt>
                <c:pt idx="968">
                  <c:v>44.616200000000859</c:v>
                </c:pt>
                <c:pt idx="969">
                  <c:v>44.616300000000862</c:v>
                </c:pt>
                <c:pt idx="970">
                  <c:v>44.616400000000866</c:v>
                </c:pt>
                <c:pt idx="971">
                  <c:v>44.616500000000869</c:v>
                </c:pt>
                <c:pt idx="972">
                  <c:v>44.616600000000872</c:v>
                </c:pt>
                <c:pt idx="973">
                  <c:v>44.616700000000876</c:v>
                </c:pt>
                <c:pt idx="974">
                  <c:v>44.616800000000879</c:v>
                </c:pt>
                <c:pt idx="975">
                  <c:v>44.616900000000882</c:v>
                </c:pt>
                <c:pt idx="976">
                  <c:v>44.617000000000886</c:v>
                </c:pt>
                <c:pt idx="977">
                  <c:v>44.617100000000889</c:v>
                </c:pt>
                <c:pt idx="978">
                  <c:v>44.617200000000892</c:v>
                </c:pt>
                <c:pt idx="979">
                  <c:v>44.617300000000895</c:v>
                </c:pt>
                <c:pt idx="980">
                  <c:v>44.617400000000899</c:v>
                </c:pt>
                <c:pt idx="981">
                  <c:v>44.617500000000902</c:v>
                </c:pt>
                <c:pt idx="982">
                  <c:v>44.617600000000905</c:v>
                </c:pt>
                <c:pt idx="983">
                  <c:v>44.617700000000909</c:v>
                </c:pt>
                <c:pt idx="984">
                  <c:v>44.617800000000912</c:v>
                </c:pt>
                <c:pt idx="985">
                  <c:v>44.617900000000915</c:v>
                </c:pt>
                <c:pt idx="986">
                  <c:v>44.618000000000919</c:v>
                </c:pt>
                <c:pt idx="987">
                  <c:v>44.618100000000922</c:v>
                </c:pt>
                <c:pt idx="988">
                  <c:v>44.618200000000925</c:v>
                </c:pt>
                <c:pt idx="989">
                  <c:v>44.618300000000929</c:v>
                </c:pt>
                <c:pt idx="990">
                  <c:v>44.618400000000932</c:v>
                </c:pt>
                <c:pt idx="991">
                  <c:v>44.618500000000935</c:v>
                </c:pt>
                <c:pt idx="992">
                  <c:v>44.618600000000939</c:v>
                </c:pt>
                <c:pt idx="993">
                  <c:v>44.618700000000942</c:v>
                </c:pt>
                <c:pt idx="994">
                  <c:v>44.618800000000945</c:v>
                </c:pt>
                <c:pt idx="995">
                  <c:v>44.618900000000949</c:v>
                </c:pt>
                <c:pt idx="996">
                  <c:v>44.619000000000952</c:v>
                </c:pt>
                <c:pt idx="997">
                  <c:v>44.619100000000955</c:v>
                </c:pt>
                <c:pt idx="998">
                  <c:v>44.619200000000959</c:v>
                </c:pt>
                <c:pt idx="999">
                  <c:v>44.619300000000962</c:v>
                </c:pt>
                <c:pt idx="1000">
                  <c:v>44.619400000000965</c:v>
                </c:pt>
              </c:numCache>
            </c:numRef>
          </c:xVal>
          <c:yVal>
            <c:numRef>
              <c:f>Calculs!$K$4:$K$1004</c:f>
              <c:numCache>
                <c:formatCode>0.00</c:formatCode>
                <c:ptCount val="1001"/>
                <c:pt idx="0">
                  <c:v>0</c:v>
                </c:pt>
                <c:pt idx="1">
                  <c:v>0.9847482099156567</c:v>
                </c:pt>
                <c:pt idx="2">
                  <c:v>1.9708158743514637</c:v>
                </c:pt>
                <c:pt idx="3">
                  <c:v>2.961079418210022</c:v>
                </c:pt>
                <c:pt idx="4">
                  <c:v>3.9584145720889357</c:v>
                </c:pt>
                <c:pt idx="5">
                  <c:v>4.9656827944024275</c:v>
                </c:pt>
                <c:pt idx="6">
                  <c:v>5.9850171664031286</c:v>
                </c:pt>
                <c:pt idx="7">
                  <c:v>7.0171068046332365</c:v>
                </c:pt>
                <c:pt idx="8">
                  <c:v>8.0619108910433823</c:v>
                </c:pt>
                <c:pt idx="9">
                  <c:v>9.1193883832660259</c:v>
                </c:pt>
                <c:pt idx="10">
                  <c:v>10.189498016550278</c:v>
                </c:pt>
                <c:pt idx="11">
                  <c:v>11.272198305715337</c:v>
                </c:pt>
                <c:pt idx="12">
                  <c:v>12.367447547121964</c:v>
                </c:pt>
                <c:pt idx="13">
                  <c:v>13.47520382066147</c:v>
                </c:pt>
                <c:pt idx="14">
                  <c:v>14.595424991761659</c:v>
                </c:pt>
                <c:pt idx="15">
                  <c:v>15.728068713409225</c:v>
                </c:pt>
                <c:pt idx="16">
                  <c:v>16.87309242818808</c:v>
                </c:pt>
                <c:pt idx="17">
                  <c:v>18.030453370333099</c:v>
                </c:pt>
                <c:pt idx="18">
                  <c:v>19.200108567798825</c:v>
                </c:pt>
                <c:pt idx="19">
                  <c:v>20.382014844342606</c:v>
                </c:pt>
                <c:pt idx="20">
                  <c:v>21.576128821621708</c:v>
                </c:pt>
                <c:pt idx="21">
                  <c:v>22.782406921303945</c:v>
                </c:pt>
                <c:pt idx="22">
                  <c:v>24.000805367191326</c:v>
                </c:pt>
                <c:pt idx="23">
                  <c:v>25.231280187356312</c:v>
                </c:pt>
                <c:pt idx="24">
                  <c:v>26.47378721629018</c:v>
                </c:pt>
                <c:pt idx="25">
                  <c:v>27.728282097063097</c:v>
                </c:pt>
                <c:pt idx="26">
                  <c:v>28.994720283495429</c:v>
                </c:pt>
                <c:pt idx="27">
                  <c:v>30.273057042339872</c:v>
                </c:pt>
                <c:pt idx="28">
                  <c:v>31.563247455473959</c:v>
                </c:pt>
                <c:pt idx="29">
                  <c:v>32.865246422102544</c:v>
                </c:pt>
                <c:pt idx="30">
                  <c:v>34.179008660969799</c:v>
                </c:pt>
                <c:pt idx="31">
                  <c:v>35.504488712580383</c:v>
                </c:pt>
                <c:pt idx="32">
                  <c:v>36.841640941429247</c:v>
                </c:pt>
                <c:pt idx="33">
                  <c:v>38.190419538239851</c:v>
                </c:pt>
                <c:pt idx="34">
                  <c:v>39.550778522210173</c:v>
                </c:pt>
                <c:pt idx="35">
                  <c:v>40.922671743266299</c:v>
                </c:pt>
                <c:pt idx="36">
                  <c:v>42.30605288432308</c:v>
                </c:pt>
                <c:pt idx="37">
                  <c:v>43.700875463551519</c:v>
                </c:pt>
                <c:pt idx="38">
                  <c:v>45.107092836652477</c:v>
                </c:pt>
                <c:pt idx="39">
                  <c:v>46.524658199136297</c:v>
                </c:pt>
                <c:pt idx="40">
                  <c:v>47.953524588608033</c:v>
                </c:pt>
                <c:pt idx="41">
                  <c:v>49.393644887057789</c:v>
                </c:pt>
                <c:pt idx="42">
                  <c:v>50.844971823155916</c:v>
                </c:pt>
                <c:pt idx="43">
                  <c:v>52.307457974552605</c:v>
                </c:pt>
                <c:pt idx="44">
                  <c:v>53.781055770181545</c:v>
                </c:pt>
                <c:pt idx="45">
                  <c:v>55.265717492567255</c:v>
                </c:pt>
                <c:pt idx="46">
                  <c:v>56.761395280135787</c:v>
                </c:pt>
                <c:pt idx="47">
                  <c:v>58.268041129528342</c:v>
                </c:pt>
                <c:pt idx="48">
                  <c:v>59.785606897917532</c:v>
                </c:pt>
                <c:pt idx="49">
                  <c:v>61.314044305325886</c:v>
                </c:pt>
                <c:pt idx="50">
                  <c:v>62.853304936946252</c:v>
                </c:pt>
                <c:pt idx="51">
                  <c:v>64.403344122442661</c:v>
                </c:pt>
                <c:pt idx="52">
                  <c:v>65.964124817409498</c:v>
                </c:pt>
                <c:pt idx="53">
                  <c:v>67.535613727695477</c:v>
                </c:pt>
                <c:pt idx="54">
                  <c:v>69.117777431181949</c:v>
                </c:pt>
                <c:pt idx="55">
                  <c:v>70.710582379331512</c:v>
                </c:pt>
                <c:pt idx="56">
                  <c:v>72.313994898741072</c:v>
                </c:pt>
                <c:pt idx="57">
                  <c:v>73.927981192699065</c:v>
                </c:pt>
                <c:pt idx="58">
                  <c:v>75.552507342746608</c:v>
                </c:pt>
                <c:pt idx="59">
                  <c:v>77.187539310242499</c:v>
                </c:pt>
                <c:pt idx="60">
                  <c:v>78.833042937931666</c:v>
                </c:pt>
                <c:pt idx="61">
                  <c:v>80.488983951517028</c:v>
                </c:pt>
                <c:pt idx="62">
                  <c:v>82.155327961234448</c:v>
                </c:pt>
                <c:pt idx="63">
                  <c:v>83.83204046343063</c:v>
                </c:pt>
                <c:pt idx="64">
                  <c:v>85.519086842143764</c:v>
                </c:pt>
                <c:pt idx="65">
                  <c:v>87.216432370686618</c:v>
                </c:pt>
                <c:pt idx="66">
                  <c:v>88.924042213232028</c:v>
                </c:pt>
                <c:pt idx="67">
                  <c:v>90.641881426400388</c:v>
                </c:pt>
                <c:pt idx="68">
                  <c:v>92.369914960849187</c:v>
                </c:pt>
                <c:pt idx="69">
                  <c:v>94.108107662864171</c:v>
                </c:pt>
                <c:pt idx="70">
                  <c:v>95.856424275951994</c:v>
                </c:pt>
                <c:pt idx="71">
                  <c:v>97.614829442434257</c:v>
                </c:pt>
                <c:pt idx="72">
                  <c:v>99.383287705042619</c:v>
                </c:pt>
                <c:pt idx="73">
                  <c:v>101.16176350851485</c:v>
                </c:pt>
                <c:pt idx="74">
                  <c:v>102.95022120119161</c:v>
                </c:pt>
                <c:pt idx="75">
                  <c:v>104.74862503661372</c:v>
                </c:pt>
                <c:pt idx="76">
                  <c:v>106.55693917511985</c:v>
                </c:pt>
                <c:pt idx="77">
                  <c:v>108.37512768544437</c:v>
                </c:pt>
                <c:pt idx="78">
                  <c:v>110.20315454631505</c:v>
                </c:pt>
                <c:pt idx="79">
                  <c:v>112.04098364805068</c:v>
                </c:pt>
                <c:pt idx="80">
                  <c:v>113.88857879415824</c:v>
                </c:pt>
                <c:pt idx="81">
                  <c:v>115.74590370292937</c:v>
                </c:pt>
                <c:pt idx="82">
                  <c:v>117.6129220090363</c:v>
                </c:pt>
                <c:pt idx="83">
                  <c:v>119.4895972651266</c:v>
                </c:pt>
                <c:pt idx="84">
                  <c:v>121.37589294341696</c:v>
                </c:pt>
                <c:pt idx="85">
                  <c:v>123.27177243728551</c:v>
                </c:pt>
                <c:pt idx="86">
                  <c:v>125.17719906286277</c:v>
                </c:pt>
                <c:pt idx="87">
                  <c:v>127.09213606062094</c:v>
                </c:pt>
                <c:pt idx="88">
                  <c:v>129.01654659696126</c:v>
                </c:pt>
                <c:pt idx="89">
                  <c:v>130.95039376579942</c:v>
                </c:pt>
                <c:pt idx="90">
                  <c:v>132.89364059014875</c:v>
                </c:pt>
                <c:pt idx="91">
                  <c:v>134.8462500237012</c:v>
                </c:pt>
                <c:pt idx="92">
                  <c:v>136.80818495240558</c:v>
                </c:pt>
                <c:pt idx="93">
                  <c:v>138.77940819604328</c:v>
                </c:pt>
                <c:pt idx="94">
                  <c:v>140.75988250980112</c:v>
                </c:pt>
                <c:pt idx="95">
                  <c:v>142.74957058584113</c:v>
                </c:pt>
                <c:pt idx="96">
                  <c:v>144.74843505486723</c:v>
                </c:pt>
                <c:pt idx="97">
                  <c:v>146.75643848768854</c:v>
                </c:pt>
                <c:pt idx="98">
                  <c:v>148.77354339677922</c:v>
                </c:pt>
                <c:pt idx="99">
                  <c:v>150.79971223783465</c:v>
                </c:pt>
                <c:pt idx="100">
                  <c:v>152.83490741132388</c:v>
                </c:pt>
                <c:pt idx="101">
                  <c:v>154.87908945814223</c:v>
                </c:pt>
                <c:pt idx="102">
                  <c:v>156.93221525581896</c:v>
                </c:pt>
                <c:pt idx="103">
                  <c:v>158.99423982945027</c:v>
                </c:pt>
                <c:pt idx="104">
                  <c:v>161.06511816222158</c:v>
                </c:pt>
                <c:pt idx="105">
                  <c:v>163.14480519724228</c:v>
                </c:pt>
                <c:pt idx="106">
                  <c:v>165.23325583937287</c:v>
                </c:pt>
                <c:pt idx="107">
                  <c:v>167.33042495704413</c:v>
                </c:pt>
                <c:pt idx="108">
                  <c:v>169.43626738406829</c:v>
                </c:pt>
                <c:pt idx="109">
                  <c:v>171.55073792144194</c:v>
                </c:pt>
                <c:pt idx="110">
                  <c:v>173.67379133914071</c:v>
                </c:pt>
                <c:pt idx="111">
                  <c:v>175.80538237790518</c:v>
                </c:pt>
                <c:pt idx="112">
                  <c:v>177.94546575101839</c:v>
                </c:pt>
                <c:pt idx="113">
                  <c:v>180.09399614607426</c:v>
                </c:pt>
                <c:pt idx="114">
                  <c:v>182.25092822673722</c:v>
                </c:pt>
                <c:pt idx="115">
                  <c:v>184.4162166344926</c:v>
                </c:pt>
                <c:pt idx="116">
                  <c:v>186.58981599038776</c:v>
                </c:pt>
                <c:pt idx="117">
                  <c:v>188.77168089676388</c:v>
                </c:pt>
                <c:pt idx="118">
                  <c:v>190.96176593897815</c:v>
                </c:pt>
                <c:pt idx="119">
                  <c:v>193.16002568711619</c:v>
                </c:pt>
                <c:pt idx="120">
                  <c:v>195.36641469769484</c:v>
                </c:pt>
                <c:pt idx="121">
                  <c:v>197.58088751535487</c:v>
                </c:pt>
                <c:pt idx="122">
                  <c:v>199.80339867454364</c:v>
                </c:pt>
                <c:pt idx="123">
                  <c:v>202.03390270118754</c:v>
                </c:pt>
                <c:pt idx="124">
                  <c:v>204.27235411435424</c:v>
                </c:pt>
                <c:pt idx="125">
                  <c:v>206.51870742790433</c:v>
                </c:pt>
                <c:pt idx="126">
                  <c:v>208.77291715213249</c:v>
                </c:pt>
                <c:pt idx="127">
                  <c:v>211.03493779539806</c:v>
                </c:pt>
                <c:pt idx="128">
                  <c:v>213.30472386574476</c:v>
                </c:pt>
                <c:pt idx="129">
                  <c:v>215.58222987250949</c:v>
                </c:pt>
                <c:pt idx="130">
                  <c:v>217.86741032792025</c:v>
                </c:pt>
                <c:pt idx="131">
                  <c:v>220.16021974868298</c:v>
                </c:pt>
                <c:pt idx="132">
                  <c:v>222.46061265755705</c:v>
                </c:pt>
                <c:pt idx="133">
                  <c:v>224.76854358491968</c:v>
                </c:pt>
                <c:pt idx="134">
                  <c:v>227.08396707031889</c:v>
                </c:pt>
                <c:pt idx="135">
                  <c:v>229.40683766401494</c:v>
                </c:pt>
                <c:pt idx="136">
                  <c:v>231.73710992851034</c:v>
                </c:pt>
                <c:pt idx="137">
                  <c:v>234.07473844006807</c:v>
                </c:pt>
                <c:pt idx="138">
                  <c:v>236.41967779021829</c:v>
                </c:pt>
                <c:pt idx="139">
                  <c:v>238.771882587253</c:v>
                </c:pt>
                <c:pt idx="140">
                  <c:v>241.13130745770911</c:v>
                </c:pt>
                <c:pt idx="141">
                  <c:v>243.49790704783928</c:v>
                </c:pt>
                <c:pt idx="142">
                  <c:v>245.87163602507093</c:v>
                </c:pt>
                <c:pt idx="143">
                  <c:v>248.2524490794531</c:v>
                </c:pt>
                <c:pt idx="144">
                  <c:v>250.6403009250912</c:v>
                </c:pt>
                <c:pt idx="145">
                  <c:v>253.0351463015694</c:v>
                </c:pt>
                <c:pt idx="146">
                  <c:v>255.43693997536093</c:v>
                </c:pt>
                <c:pt idx="147">
                  <c:v>257.84563674122592</c:v>
                </c:pt>
                <c:pt idx="148">
                  <c:v>260.26119142359687</c:v>
                </c:pt>
                <c:pt idx="149">
                  <c:v>262.68355887795167</c:v>
                </c:pt>
                <c:pt idx="150">
                  <c:v>265.11269399217417</c:v>
                </c:pt>
                <c:pt idx="151">
                  <c:v>267.54855230833056</c:v>
                </c:pt>
                <c:pt idx="152">
                  <c:v>269.99109064371459</c:v>
                </c:pt>
                <c:pt idx="153">
                  <c:v>272.44026646955751</c:v>
                </c:pt>
                <c:pt idx="154">
                  <c:v>274.89603729040419</c:v>
                </c:pt>
                <c:pt idx="155">
                  <c:v>277.3583606453318</c:v>
                </c:pt>
                <c:pt idx="156">
                  <c:v>279.82719410915723</c:v>
                </c:pt>
                <c:pt idx="157">
                  <c:v>282.3024952936326</c:v>
                </c:pt>
                <c:pt idx="158">
                  <c:v>284.78422184862956</c:v>
                </c:pt>
                <c:pt idx="159">
                  <c:v>287.27233146331179</c:v>
                </c:pt>
                <c:pt idx="160">
                  <c:v>289.766781867296</c:v>
                </c:pt>
                <c:pt idx="161">
                  <c:v>292.26753083180125</c:v>
                </c:pt>
                <c:pt idx="162">
                  <c:v>294.77453617078652</c:v>
                </c:pt>
                <c:pt idx="163">
                  <c:v>297.28775574207685</c:v>
                </c:pt>
                <c:pt idx="164">
                  <c:v>299.80714744847745</c:v>
                </c:pt>
                <c:pt idx="165">
                  <c:v>302.33266923887635</c:v>
                </c:pt>
                <c:pt idx="166">
                  <c:v>304.86427910933503</c:v>
                </c:pt>
                <c:pt idx="167">
                  <c:v>307.40193510416759</c:v>
                </c:pt>
                <c:pt idx="168">
                  <c:v>309.9455953170081</c:v>
                </c:pt>
                <c:pt idx="169">
                  <c:v>312.49521789186599</c:v>
                </c:pt>
                <c:pt idx="170">
                  <c:v>315.05076102416967</c:v>
                </c:pt>
                <c:pt idx="171">
                  <c:v>317.61218296179874</c:v>
                </c:pt>
                <c:pt idx="172">
                  <c:v>320.17944200610384</c:v>
                </c:pt>
                <c:pt idx="173">
                  <c:v>322.75249651291517</c:v>
                </c:pt>
                <c:pt idx="174">
                  <c:v>325.33130489353891</c:v>
                </c:pt>
                <c:pt idx="175">
                  <c:v>327.91582561574205</c:v>
                </c:pt>
                <c:pt idx="176">
                  <c:v>330.50601720472525</c:v>
                </c:pt>
                <c:pt idx="177">
                  <c:v>333.10183824408404</c:v>
                </c:pt>
                <c:pt idx="178">
                  <c:v>335.7032473767581</c:v>
                </c:pt>
                <c:pt idx="179">
                  <c:v>338.31020330596903</c:v>
                </c:pt>
                <c:pt idx="180">
                  <c:v>340.92266479614597</c:v>
                </c:pt>
                <c:pt idx="181">
                  <c:v>343.54059067383969</c:v>
                </c:pt>
                <c:pt idx="182">
                  <c:v>346.16393982862502</c:v>
                </c:pt>
                <c:pt idx="183">
                  <c:v>348.79267121399135</c:v>
                </c:pt>
                <c:pt idx="184">
                  <c:v>351.42674384822141</c:v>
                </c:pt>
                <c:pt idx="185">
                  <c:v>354.06611681525857</c:v>
                </c:pt>
                <c:pt idx="186">
                  <c:v>356.7107492655623</c:v>
                </c:pt>
                <c:pt idx="187">
                  <c:v>359.36060041695191</c:v>
                </c:pt>
                <c:pt idx="188">
                  <c:v>362.01562955543881</c:v>
                </c:pt>
                <c:pt idx="189">
                  <c:v>364.67579603604702</c:v>
                </c:pt>
                <c:pt idx="190">
                  <c:v>367.3410592836222</c:v>
                </c:pt>
                <c:pt idx="191">
                  <c:v>370.01137879362904</c:v>
                </c:pt>
                <c:pt idx="192">
                  <c:v>372.68671413293714</c:v>
                </c:pt>
                <c:pt idx="193">
                  <c:v>375.36702494059534</c:v>
                </c:pt>
                <c:pt idx="194">
                  <c:v>378.05227092859468</c:v>
                </c:pt>
                <c:pt idx="195">
                  <c:v>380.74241188261971</c:v>
                </c:pt>
                <c:pt idx="196">
                  <c:v>383.43740766278864</c:v>
                </c:pt>
                <c:pt idx="197">
                  <c:v>386.1372182043819</c:v>
                </c:pt>
                <c:pt idx="198">
                  <c:v>388.8418035185594</c:v>
                </c:pt>
                <c:pt idx="199">
                  <c:v>391.55112369306664</c:v>
                </c:pt>
                <c:pt idx="200">
                  <c:v>394.26513889292926</c:v>
                </c:pt>
                <c:pt idx="201">
                  <c:v>396.98380936113665</c:v>
                </c:pt>
                <c:pt idx="202">
                  <c:v>399.7070954193141</c:v>
                </c:pt>
                <c:pt idx="203">
                  <c:v>402.43495746838403</c:v>
                </c:pt>
                <c:pt idx="204">
                  <c:v>405.16735598921593</c:v>
                </c:pt>
                <c:pt idx="205">
                  <c:v>407.90425154326527</c:v>
                </c:pt>
                <c:pt idx="206">
                  <c:v>410.64560477320157</c:v>
                </c:pt>
                <c:pt idx="207">
                  <c:v>413.3913764035251</c:v>
                </c:pt>
                <c:pt idx="208">
                  <c:v>416.14152724117315</c:v>
                </c:pt>
                <c:pt idx="209">
                  <c:v>418.89601817611492</c:v>
                </c:pt>
                <c:pt idx="210">
                  <c:v>421.65481018193594</c:v>
                </c:pt>
                <c:pt idx="211">
                  <c:v>424.41786431641145</c:v>
                </c:pt>
                <c:pt idx="212">
                  <c:v>427.18514172206926</c:v>
                </c:pt>
                <c:pt idx="213">
                  <c:v>429.95660362674175</c:v>
                </c:pt>
                <c:pt idx="214">
                  <c:v>432.73221134410733</c:v>
                </c:pt>
                <c:pt idx="215">
                  <c:v>435.5119262742212</c:v>
                </c:pt>
                <c:pt idx="216">
                  <c:v>438.29570990403579</c:v>
                </c:pt>
                <c:pt idx="217">
                  <c:v>441.08352380791047</c:v>
                </c:pt>
                <c:pt idx="218">
                  <c:v>443.87532964811106</c:v>
                </c:pt>
                <c:pt idx="219">
                  <c:v>446.67108917529885</c:v>
                </c:pt>
                <c:pt idx="220">
                  <c:v>449.47076422900932</c:v>
                </c:pt>
                <c:pt idx="221">
                  <c:v>452.27431673812072</c:v>
                </c:pt>
                <c:pt idx="222">
                  <c:v>455.08170872131222</c:v>
                </c:pt>
                <c:pt idx="223">
                  <c:v>457.8929022875123</c:v>
                </c:pt>
                <c:pt idx="224">
                  <c:v>460.70785963633659</c:v>
                </c:pt>
                <c:pt idx="225">
                  <c:v>463.52654305851615</c:v>
                </c:pt>
                <c:pt idx="226">
                  <c:v>466.34891493631551</c:v>
                </c:pt>
                <c:pt idx="227">
                  <c:v>469.17493774394092</c:v>
                </c:pt>
                <c:pt idx="228">
                  <c:v>472.00457404793877</c:v>
                </c:pt>
                <c:pt idx="229">
                  <c:v>474.83778650758421</c:v>
                </c:pt>
                <c:pt idx="230">
                  <c:v>477.67453787526011</c:v>
                </c:pt>
                <c:pt idx="231">
                  <c:v>480.51479099682638</c:v>
                </c:pt>
                <c:pt idx="232">
                  <c:v>483.35850881197962</c:v>
                </c:pt>
                <c:pt idx="233">
                  <c:v>486.20565435460338</c:v>
                </c:pt>
                <c:pt idx="234">
                  <c:v>489.05619075310892</c:v>
                </c:pt>
                <c:pt idx="235">
                  <c:v>491.91008123076654</c:v>
                </c:pt>
                <c:pt idx="236">
                  <c:v>494.76728910602776</c:v>
                </c:pt>
                <c:pt idx="237">
                  <c:v>497.62777779283806</c:v>
                </c:pt>
                <c:pt idx="238">
                  <c:v>500.49151080094055</c:v>
                </c:pt>
                <c:pt idx="239">
                  <c:v>503.35845173617042</c:v>
                </c:pt>
                <c:pt idx="240">
                  <c:v>506.22856430074057</c:v>
                </c:pt>
                <c:pt idx="241">
                  <c:v>509.10181229351804</c:v>
                </c:pt>
                <c:pt idx="242">
                  <c:v>511.97815961029153</c:v>
                </c:pt>
                <c:pt idx="243">
                  <c:v>514.85757024403028</c:v>
                </c:pt>
                <c:pt idx="244">
                  <c:v>517.74000828513385</c:v>
                </c:pt>
                <c:pt idx="245">
                  <c:v>520.62543792167378</c:v>
                </c:pt>
                <c:pt idx="246">
                  <c:v>523.51382343962575</c:v>
                </c:pt>
                <c:pt idx="247">
                  <c:v>526.40512922309415</c:v>
                </c:pt>
                <c:pt idx="248">
                  <c:v>529.29931975452723</c:v>
                </c:pt>
                <c:pt idx="249">
                  <c:v>532.1963596149244</c:v>
                </c:pt>
                <c:pt idx="250">
                  <c:v>535.09621348403539</c:v>
                </c:pt>
                <c:pt idx="251">
                  <c:v>537.99884341880193</c:v>
                </c:pt>
                <c:pt idx="252">
                  <c:v>540.90420613836181</c:v>
                </c:pt>
                <c:pt idx="253">
                  <c:v>543.81225576174711</c:v>
                </c:pt>
                <c:pt idx="254">
                  <c:v>546.72294653906238</c:v>
                </c:pt>
                <c:pt idx="255">
                  <c:v>549.63623285175743</c:v>
                </c:pt>
                <c:pt idx="256">
                  <c:v>552.55206921288629</c:v>
                </c:pt>
                <c:pt idx="257">
                  <c:v>555.47041026735417</c:v>
                </c:pt>
                <c:pt idx="258">
                  <c:v>558.39121079215079</c:v>
                </c:pt>
                <c:pt idx="259">
                  <c:v>561.31442569657179</c:v>
                </c:pt>
                <c:pt idx="260">
                  <c:v>564.2400100224271</c:v>
                </c:pt>
                <c:pt idx="261">
                  <c:v>567.16791894423716</c:v>
                </c:pt>
                <c:pt idx="262">
                  <c:v>570.09810776941697</c:v>
                </c:pt>
                <c:pt idx="263">
                  <c:v>573.03053193844767</c:v>
                </c:pt>
                <c:pt idx="264">
                  <c:v>575.96514702503623</c:v>
                </c:pt>
                <c:pt idx="265">
                  <c:v>578.90190873626341</c:v>
                </c:pt>
                <c:pt idx="266">
                  <c:v>581.84077291271979</c:v>
                </c:pt>
                <c:pt idx="267">
                  <c:v>584.78169552862994</c:v>
                </c:pt>
                <c:pt idx="268">
                  <c:v>587.72463269196521</c:v>
                </c:pt>
                <c:pt idx="269">
                  <c:v>590.66954064454535</c:v>
                </c:pt>
                <c:pt idx="270">
                  <c:v>593.61637576212831</c:v>
                </c:pt>
                <c:pt idx="271">
                  <c:v>596.56509455448929</c:v>
                </c:pt>
                <c:pt idx="272">
                  <c:v>599.51565366548846</c:v>
                </c:pt>
                <c:pt idx="273">
                  <c:v>602.46800987312781</c:v>
                </c:pt>
                <c:pt idx="274">
                  <c:v>605.42212008959723</c:v>
                </c:pt>
                <c:pt idx="275">
                  <c:v>608.37794136130992</c:v>
                </c:pt>
                <c:pt idx="276">
                  <c:v>611.33543086892735</c:v>
                </c:pt>
                <c:pt idx="277">
                  <c:v>614.29454592737306</c:v>
                </c:pt>
                <c:pt idx="278">
                  <c:v>617.25524398583707</c:v>
                </c:pt>
                <c:pt idx="279">
                  <c:v>620.21748262776964</c:v>
                </c:pt>
                <c:pt idx="280">
                  <c:v>623.18121957086464</c:v>
                </c:pt>
                <c:pt idx="281">
                  <c:v>626.1464126670337</c:v>
                </c:pt>
                <c:pt idx="282">
                  <c:v>629.1130199023695</c:v>
                </c:pt>
                <c:pt idx="283">
                  <c:v>632.08099939710041</c:v>
                </c:pt>
                <c:pt idx="284">
                  <c:v>635.05030940553468</c:v>
                </c:pt>
                <c:pt idx="285">
                  <c:v>638.02090831599526</c:v>
                </c:pt>
                <c:pt idx="286">
                  <c:v>640.99275465074584</c:v>
                </c:pt>
                <c:pt idx="287">
                  <c:v>643.96580706590669</c:v>
                </c:pt>
                <c:pt idx="288">
                  <c:v>646.94002435136235</c:v>
                </c:pt>
                <c:pt idx="289">
                  <c:v>649.91536543065934</c:v>
                </c:pt>
                <c:pt idx="290">
                  <c:v>652.89178936089547</c:v>
                </c:pt>
                <c:pt idx="291">
                  <c:v>655.86925533260069</c:v>
                </c:pt>
                <c:pt idx="292">
                  <c:v>658.84772266960829</c:v>
                </c:pt>
                <c:pt idx="293">
                  <c:v>661.82715082891832</c:v>
                </c:pt>
                <c:pt idx="294">
                  <c:v>664.80749940055239</c:v>
                </c:pt>
                <c:pt idx="295">
                  <c:v>667.78872810740006</c:v>
                </c:pt>
                <c:pt idx="296">
                  <c:v>670.77079680505688</c:v>
                </c:pt>
                <c:pt idx="297">
                  <c:v>673.75366548165459</c:v>
                </c:pt>
                <c:pt idx="298">
                  <c:v>676.73726419430136</c:v>
                </c:pt>
                <c:pt idx="299">
                  <c:v>679.72146309386619</c:v>
                </c:pt>
                <c:pt idx="300">
                  <c:v>682.70610268891232</c:v>
                </c:pt>
                <c:pt idx="301">
                  <c:v>685.69102402235717</c:v>
                </c:pt>
                <c:pt idx="302">
                  <c:v>688.67606867337076</c:v>
                </c:pt>
                <c:pt idx="303">
                  <c:v>691.66107875913838</c:v>
                </c:pt>
                <c:pt idx="304">
                  <c:v>694.64589693649054</c:v>
                </c:pt>
                <c:pt idx="305">
                  <c:v>697.63036640340101</c:v>
                </c:pt>
                <c:pt idx="306">
                  <c:v>700.61433090035405</c:v>
                </c:pt>
                <c:pt idx="307">
                  <c:v>703.59763471158431</c:v>
                </c:pt>
                <c:pt idx="308">
                  <c:v>706.5801226661888</c:v>
                </c:pt>
                <c:pt idx="309">
                  <c:v>709.5616401391145</c:v>
                </c:pt>
                <c:pt idx="310">
                  <c:v>712.54203305202202</c:v>
                </c:pt>
                <c:pt idx="311">
                  <c:v>715.52114787402741</c:v>
                </c:pt>
                <c:pt idx="312">
                  <c:v>718.49883162232436</c:v>
                </c:pt>
                <c:pt idx="313">
                  <c:v>721.47493186268719</c:v>
                </c:pt>
                <c:pt idx="314">
                  <c:v>724.44929670985789</c:v>
                </c:pt>
                <c:pt idx="315">
                  <c:v>727.42177482781722</c:v>
                </c:pt>
                <c:pt idx="316">
                  <c:v>730.39221542994323</c:v>
                </c:pt>
                <c:pt idx="317">
                  <c:v>733.36046827905727</c:v>
                </c:pt>
                <c:pt idx="318">
                  <c:v>736.32638368736093</c:v>
                </c:pt>
                <c:pt idx="319">
                  <c:v>739.28981251626362</c:v>
                </c:pt>
                <c:pt idx="320">
                  <c:v>742.25060617610438</c:v>
                </c:pt>
                <c:pt idx="321">
                  <c:v>745.20862860487659</c:v>
                </c:pt>
                <c:pt idx="322">
                  <c:v>748.1637682030489</c:v>
                </c:pt>
                <c:pt idx="323">
                  <c:v>751.11592576136957</c:v>
                </c:pt>
                <c:pt idx="324">
                  <c:v>754.06500243216237</c:v>
                </c:pt>
                <c:pt idx="325">
                  <c:v>757.01089972814884</c:v>
                </c:pt>
                <c:pt idx="326">
                  <c:v>759.95351952123269</c:v>
                </c:pt>
                <c:pt idx="327">
                  <c:v>762.89276404124644</c:v>
                </c:pt>
                <c:pt idx="328">
                  <c:v>765.82853587466104</c:v>
                </c:pt>
                <c:pt idx="329">
                  <c:v>768.7607379632592</c:v>
                </c:pt>
                <c:pt idx="330">
                  <c:v>771.68927360277394</c:v>
                </c:pt>
                <c:pt idx="331">
                  <c:v>774.61404644149138</c:v>
                </c:pt>
                <c:pt idx="332">
                  <c:v>777.53496047882038</c:v>
                </c:pt>
                <c:pt idx="333">
                  <c:v>780.4519200638282</c:v>
                </c:pt>
                <c:pt idx="334">
                  <c:v>783.36482989374372</c:v>
                </c:pt>
                <c:pt idx="335">
                  <c:v>786.2735950124287</c:v>
                </c:pt>
                <c:pt idx="336">
                  <c:v>789.17812080881743</c:v>
                </c:pt>
                <c:pt idx="337">
                  <c:v>792.07831301532588</c:v>
                </c:pt>
                <c:pt idx="338">
                  <c:v>794.9740777062309</c:v>
                </c:pt>
                <c:pt idx="339">
                  <c:v>797.86532129601994</c:v>
                </c:pt>
                <c:pt idx="340">
                  <c:v>800.75195053771176</c:v>
                </c:pt>
                <c:pt idx="341">
                  <c:v>803.63387252114944</c:v>
                </c:pt>
                <c:pt idx="342">
                  <c:v>806.51099467126573</c:v>
                </c:pt>
                <c:pt idx="343">
                  <c:v>809.38322474632128</c:v>
                </c:pt>
                <c:pt idx="344">
                  <c:v>812.25047083611719</c:v>
                </c:pt>
                <c:pt idx="345">
                  <c:v>815.11264136018133</c:v>
                </c:pt>
                <c:pt idx="346">
                  <c:v>817.96964506592963</c:v>
                </c:pt>
                <c:pt idx="347">
                  <c:v>820.82139102680355</c:v>
                </c:pt>
                <c:pt idx="348">
                  <c:v>823.66778993327443</c:v>
                </c:pt>
                <c:pt idx="349">
                  <c:v>826.50875537856575</c:v>
                </c:pt>
                <c:pt idx="350">
                  <c:v>829.34420255321231</c:v>
                </c:pt>
                <c:pt idx="351">
                  <c:v>832.17404694488971</c:v>
                </c:pt>
                <c:pt idx="352">
                  <c:v>834.9982043365037</c:v>
                </c:pt>
                <c:pt idx="353">
                  <c:v>837.81659080426164</c:v>
                </c:pt>
                <c:pt idx="354">
                  <c:v>840.62912271572691</c:v>
                </c:pt>
                <c:pt idx="355">
                  <c:v>843.43571672785697</c:v>
                </c:pt>
                <c:pt idx="356">
                  <c:v>846.23628978502529</c:v>
                </c:pt>
                <c:pt idx="357">
                  <c:v>849.0307591170274</c:v>
                </c:pt>
                <c:pt idx="358">
                  <c:v>851.81904223707159</c:v>
                </c:pt>
                <c:pt idx="359">
                  <c:v>854.60105693975493</c:v>
                </c:pt>
                <c:pt idx="360">
                  <c:v>857.37674818526625</c:v>
                </c:pt>
                <c:pt idx="361">
                  <c:v>860.14611487112461</c:v>
                </c:pt>
                <c:pt idx="362">
                  <c:v>862.90918272102988</c:v>
                </c:pt>
                <c:pt idx="363">
                  <c:v>865.66597728795637</c:v>
                </c:pt>
                <c:pt idx="364">
                  <c:v>868.41652395566973</c:v>
                </c:pt>
                <c:pt idx="365">
                  <c:v>871.16084794022731</c:v>
                </c:pt>
                <c:pt idx="366">
                  <c:v>873.8989742914614</c:v>
                </c:pt>
                <c:pt idx="367">
                  <c:v>876.63092789444613</c:v>
                </c:pt>
                <c:pt idx="368">
                  <c:v>879.35673347094837</c:v>
                </c:pt>
                <c:pt idx="369">
                  <c:v>882.0764155808622</c:v>
                </c:pt>
                <c:pt idx="370">
                  <c:v>884.78999862362798</c:v>
                </c:pt>
                <c:pt idx="371">
                  <c:v>887.49750683963543</c:v>
                </c:pt>
                <c:pt idx="372">
                  <c:v>890.19896431161158</c:v>
                </c:pt>
                <c:pt idx="373">
                  <c:v>892.89439496599334</c:v>
                </c:pt>
                <c:pt idx="374">
                  <c:v>895.58382257428514</c:v>
                </c:pt>
                <c:pt idx="375">
                  <c:v>898.26727075440203</c:v>
                </c:pt>
                <c:pt idx="376">
                  <c:v>900.94476297199753</c:v>
                </c:pt>
                <c:pt idx="377">
                  <c:v>903.61632254177778</c:v>
                </c:pt>
                <c:pt idx="378">
                  <c:v>906.28197262880099</c:v>
                </c:pt>
                <c:pt idx="379">
                  <c:v>908.94173624976304</c:v>
                </c:pt>
                <c:pt idx="380">
                  <c:v>911.59563627426905</c:v>
                </c:pt>
                <c:pt idx="381">
                  <c:v>914.24369542609168</c:v>
                </c:pt>
                <c:pt idx="382">
                  <c:v>916.88593628441527</c:v>
                </c:pt>
                <c:pt idx="383">
                  <c:v>919.52238128506735</c:v>
                </c:pt>
                <c:pt idx="384">
                  <c:v>922.15305272173634</c:v>
                </c:pt>
                <c:pt idx="385">
                  <c:v>924.77797274717693</c:v>
                </c:pt>
                <c:pt idx="386">
                  <c:v>927.397163374402</c:v>
                </c:pt>
                <c:pt idx="387">
                  <c:v>930.01064647786234</c:v>
                </c:pt>
                <c:pt idx="388">
                  <c:v>932.61844379461354</c:v>
                </c:pt>
                <c:pt idx="389">
                  <c:v>935.22057692547082</c:v>
                </c:pt>
                <c:pt idx="390">
                  <c:v>937.81706733615158</c:v>
                </c:pt>
                <c:pt idx="391">
                  <c:v>940.40793635840566</c:v>
                </c:pt>
                <c:pt idx="392">
                  <c:v>942.99320519113439</c:v>
                </c:pt>
                <c:pt idx="393">
                  <c:v>945.57289490149697</c:v>
                </c:pt>
                <c:pt idx="394">
                  <c:v>948.14702642600639</c:v>
                </c:pt>
                <c:pt idx="395">
                  <c:v>950.7156205716127</c:v>
                </c:pt>
                <c:pt idx="396">
                  <c:v>953.27869801677605</c:v>
                </c:pt>
                <c:pt idx="397">
                  <c:v>955.83627931252806</c:v>
                </c:pt>
                <c:pt idx="398">
                  <c:v>958.38838488352201</c:v>
                </c:pt>
                <c:pt idx="399">
                  <c:v>960.93503502907276</c:v>
                </c:pt>
                <c:pt idx="400">
                  <c:v>963.47624992418537</c:v>
                </c:pt>
                <c:pt idx="401">
                  <c:v>988.59101272768726</c:v>
                </c:pt>
                <c:pt idx="402">
                  <c:v>1013.175072855261</c:v>
                </c:pt>
                <c:pt idx="403">
                  <c:v>1037.2474832232151</c:v>
                </c:pt>
                <c:pt idx="404">
                  <c:v>1060.8261774100238</c:v>
                </c:pt>
                <c:pt idx="405">
                  <c:v>1083.9280563520347</c:v>
                </c:pt>
                <c:pt idx="406">
                  <c:v>1106.5690667296578</c:v>
                </c:pt>
                <c:pt idx="407">
                  <c:v>1128.7642719871212</c:v>
                </c:pt>
                <c:pt idx="408">
                  <c:v>1150.5279168057789</c:v>
                </c:pt>
                <c:pt idx="409">
                  <c:v>1171.8734857459551</c:v>
                </c:pt>
                <c:pt idx="410">
                  <c:v>1192.8137566824398</c:v>
                </c:pt>
                <c:pt idx="411">
                  <c:v>1213.3608495816145</c:v>
                </c:pt>
                <c:pt idx="412">
                  <c:v>1233.5262711017738</c:v>
                </c:pt>
                <c:pt idx="413">
                  <c:v>1253.3209554408654</c:v>
                </c:pt>
                <c:pt idx="414">
                  <c:v>1272.7553018062345</c:v>
                </c:pt>
                <c:pt idx="415">
                  <c:v>1291.8392088378616</c:v>
                </c:pt>
                <c:pt idx="416">
                  <c:v>1310.5821062790887</c:v>
                </c:pt>
                <c:pt idx="417">
                  <c:v>1328.9929841561147</c:v>
                </c:pt>
                <c:pt idx="418">
                  <c:v>1347.080419698935</c:v>
                </c:pt>
                <c:pt idx="419">
                  <c:v>1364.8526022113342</c:v>
                </c:pt>
                <c:pt idx="420">
                  <c:v>1382.3173560755197</c:v>
                </c:pt>
                <c:pt idx="421">
                  <c:v>1399.4821620576013</c:v>
                </c:pt>
                <c:pt idx="422">
                  <c:v>1416.3541770630281</c:v>
                </c:pt>
                <c:pt idx="423">
                  <c:v>1432.940252475986</c:v>
                </c:pt>
                <c:pt idx="424">
                  <c:v>1449.2469512033774</c:v>
                </c:pt>
                <c:pt idx="425">
                  <c:v>1465.2805635321401</c:v>
                </c:pt>
                <c:pt idx="426">
                  <c:v>1481.0471218981097</c:v>
                </c:pt>
                <c:pt idx="427">
                  <c:v>1496.5524146552398</c:v>
                </c:pt>
                <c:pt idx="428">
                  <c:v>1511.80199892562</c:v>
                </c:pt>
                <c:pt idx="429">
                  <c:v>1526.8012126032452</c:v>
                </c:pt>
                <c:pt idx="430">
                  <c:v>1541.5551855777974</c:v>
                </c:pt>
                <c:pt idx="431">
                  <c:v>1556.0688502387006</c:v>
                </c:pt>
                <c:pt idx="432">
                  <c:v>1570.3469513143245</c:v>
                </c:pt>
                <c:pt idx="433">
                  <c:v>1584.3940550963703</c:v>
                </c:pt>
                <c:pt idx="434">
                  <c:v>1598.2145580951164</c:v>
                </c:pt>
                <c:pt idx="435">
                  <c:v>1611.8126951672771</c:v>
                </c:pt>
                <c:pt idx="436">
                  <c:v>1625.1925471546715</c:v>
                </c:pt>
                <c:pt idx="437">
                  <c:v>1638.3580480687119</c:v>
                </c:pt>
                <c:pt idx="438">
                  <c:v>1651.3129918528041</c:v>
                </c:pt>
                <c:pt idx="439">
                  <c:v>1664.0610387521367</c:v>
                </c:pt>
                <c:pt idx="440">
                  <c:v>1676.6057213179454</c:v>
                </c:pt>
                <c:pt idx="441">
                  <c:v>1688.9504500711755</c:v>
                </c:pt>
                <c:pt idx="442">
                  <c:v>1701.0985188484963</c:v>
                </c:pt>
                <c:pt idx="443">
                  <c:v>1713.0531098518254</c:v>
                </c:pt>
                <c:pt idx="444">
                  <c:v>1724.8172984208916</c:v>
                </c:pt>
                <c:pt idx="445">
                  <c:v>1736.3940575468671</c:v>
                </c:pt>
                <c:pt idx="446">
                  <c:v>1747.7862621437439</c:v>
                </c:pt>
                <c:pt idx="447">
                  <c:v>1758.9966930928802</c:v>
                </c:pt>
                <c:pt idx="448">
                  <c:v>1770.0280410750017</c:v>
                </c:pt>
                <c:pt idx="449">
                  <c:v>1780.8829102029038</c:v>
                </c:pt>
                <c:pt idx="450">
                  <c:v>1791.5638214671321</c:v>
                </c:pt>
                <c:pt idx="451">
                  <c:v>1802.0732160060543</c:v>
                </c:pt>
                <c:pt idx="452">
                  <c:v>1812.4134582109125</c:v>
                </c:pt>
                <c:pt idx="453">
                  <c:v>1822.5868386757145</c:v>
                </c:pt>
                <c:pt idx="454">
                  <c:v>1832.5955770011324</c:v>
                </c:pt>
                <c:pt idx="455">
                  <c:v>1842.4418244609471</c:v>
                </c:pt>
                <c:pt idx="456">
                  <c:v>1852.1276665390005</c:v>
                </c:pt>
                <c:pt idx="457">
                  <c:v>1861.6551253440741</c:v>
                </c:pt>
                <c:pt idx="458">
                  <c:v>1871.0261619096252</c:v>
                </c:pt>
                <c:pt idx="459">
                  <c:v>1880.2426783848484</c:v>
                </c:pt>
                <c:pt idx="460">
                  <c:v>1889.30652012311</c:v>
                </c:pt>
                <c:pt idx="461">
                  <c:v>1898.2194776734104</c:v>
                </c:pt>
                <c:pt idx="462">
                  <c:v>1906.9832886801662</c:v>
                </c:pt>
                <c:pt idx="463">
                  <c:v>1915.5996396962662</c:v>
                </c:pt>
                <c:pt idx="464">
                  <c:v>1924.0701679140466</c:v>
                </c:pt>
                <c:pt idx="465">
                  <c:v>1932.3964628185381</c:v>
                </c:pt>
                <c:pt idx="466">
                  <c:v>1940.5800677670682</c:v>
                </c:pt>
                <c:pt idx="467">
                  <c:v>1948.6224814990537</c:v>
                </c:pt>
                <c:pt idx="468">
                  <c:v>1956.5251595795858</c:v>
                </c:pt>
                <c:pt idx="469">
                  <c:v>1964.2895157801895</c:v>
                </c:pt>
                <c:pt idx="470">
                  <c:v>1971.9169233999437</c:v>
                </c:pt>
                <c:pt idx="471">
                  <c:v>1979.4087165299552</c:v>
                </c:pt>
                <c:pt idx="472">
                  <c:v>1986.7661912640065</c:v>
                </c:pt>
                <c:pt idx="473">
                  <c:v>1993.9906068580353</c:v>
                </c:pt>
                <c:pt idx="474">
                  <c:v>2001.0831868409487</c:v>
                </c:pt>
                <c:pt idx="475">
                  <c:v>2008.0451200791335</c:v>
                </c:pt>
                <c:pt idx="476">
                  <c:v>2014.877561796894</c:v>
                </c:pt>
                <c:pt idx="477">
                  <c:v>2021.5816345549181</c:v>
                </c:pt>
                <c:pt idx="478">
                  <c:v>2028.1584291887632</c:v>
                </c:pt>
                <c:pt idx="479">
                  <c:v>2034.6090057092433</c:v>
                </c:pt>
                <c:pt idx="480">
                  <c:v>2040.9343941664927</c:v>
                </c:pt>
                <c:pt idx="481">
                  <c:v>2047.135595479393</c:v>
                </c:pt>
                <c:pt idx="482">
                  <c:v>2053.2135822319601</c:v>
                </c:pt>
                <c:pt idx="483">
                  <c:v>2059.1692994382015</c:v>
                </c:pt>
                <c:pt idx="484">
                  <c:v>2065.0036652768822</c:v>
                </c:pt>
                <c:pt idx="485">
                  <c:v>2070.7175717975615</c:v>
                </c:pt>
                <c:pt idx="486">
                  <c:v>2076.3118855991988</c:v>
                </c:pt>
                <c:pt idx="487">
                  <c:v>2081.7874484825606</c:v>
                </c:pt>
                <c:pt idx="488">
                  <c:v>2087.1450780776045</c:v>
                </c:pt>
                <c:pt idx="489">
                  <c:v>2092.3855684469631</c:v>
                </c:pt>
                <c:pt idx="490">
                  <c:v>2097.5096906665985</c:v>
                </c:pt>
                <c:pt idx="491">
                  <c:v>2102.5181933846507</c:v>
                </c:pt>
                <c:pt idx="492">
                  <c:v>2107.4118033594664</c:v>
                </c:pt>
                <c:pt idx="493">
                  <c:v>2112.1912259777473</c:v>
                </c:pt>
                <c:pt idx="494">
                  <c:v>2116.8571457537323</c:v>
                </c:pt>
                <c:pt idx="495">
                  <c:v>2121.410226810282</c:v>
                </c:pt>
                <c:pt idx="496">
                  <c:v>2125.8511133427241</c:v>
                </c:pt>
                <c:pt idx="497">
                  <c:v>2130.1804300662739</c:v>
                </c:pt>
                <c:pt idx="498">
                  <c:v>2134.3987826478397</c:v>
                </c:pt>
                <c:pt idx="499">
                  <c:v>2138.5067581229946</c:v>
                </c:pt>
                <c:pt idx="500">
                  <c:v>2142.5049252988888</c:v>
                </c:pt>
                <c:pt idx="501">
                  <c:v>2146.3938351438624</c:v>
                </c:pt>
                <c:pt idx="502">
                  <c:v>2150.1740211645179</c:v>
                </c:pt>
                <c:pt idx="503">
                  <c:v>2153.8459997710061</c:v>
                </c:pt>
                <c:pt idx="504">
                  <c:v>2157.4102706312883</c:v>
                </c:pt>
                <c:pt idx="505">
                  <c:v>2160.8673170151383</c:v>
                </c:pt>
                <c:pt idx="506">
                  <c:v>2164.2176061286723</c:v>
                </c:pt>
                <c:pt idx="507">
                  <c:v>2167.461589440205</c:v>
                </c:pt>
                <c:pt idx="508">
                  <c:v>2170.5997029982659</c:v>
                </c:pt>
                <c:pt idx="509">
                  <c:v>2173.6323677426335</c:v>
                </c:pt>
                <c:pt idx="510">
                  <c:v>2176.5599898092951</c:v>
                </c:pt>
                <c:pt idx="511">
                  <c:v>2179.3829608302826</c:v>
                </c:pt>
                <c:pt idx="512">
                  <c:v>2182.1016582293946</c:v>
                </c:pt>
                <c:pt idx="513">
                  <c:v>2184.71644551488</c:v>
                </c:pt>
                <c:pt idx="514">
                  <c:v>2187.2276725702386</c:v>
                </c:pt>
                <c:pt idx="515">
                  <c:v>2189.6356759443729</c:v>
                </c:pt>
                <c:pt idx="516">
                  <c:v>2191.9407791424287</c:v>
                </c:pt>
                <c:pt idx="517">
                  <c:v>2194.1432929187604</c:v>
                </c:pt>
                <c:pt idx="518">
                  <c:v>2196.2435155735784</c:v>
                </c:pt>
                <c:pt idx="519">
                  <c:v>2198.2417332549526</c:v>
                </c:pt>
                <c:pt idx="520">
                  <c:v>2200.1382202679761</c:v>
                </c:pt>
                <c:pt idx="521">
                  <c:v>2201.9332393930194</c:v>
                </c:pt>
                <c:pt idx="522">
                  <c:v>2203.6270422151415</c:v>
                </c:pt>
                <c:pt idx="523">
                  <c:v>2205.2198694668296</c:v>
                </c:pt>
                <c:pt idx="524">
                  <c:v>2206.7119513863536</c:v>
                </c:pt>
                <c:pt idx="525">
                  <c:v>2208.1035080940915</c:v>
                </c:pt>
                <c:pt idx="526">
                  <c:v>2209.3947499892201</c:v>
                </c:pt>
                <c:pt idx="527">
                  <c:v>2210.5858781691522</c:v>
                </c:pt>
                <c:pt idx="528">
                  <c:v>2211.6770848740157</c:v>
                </c:pt>
                <c:pt idx="529">
                  <c:v>2212.6685539583027</c:v>
                </c:pt>
                <c:pt idx="530">
                  <c:v>2213.5604613915507</c:v>
                </c:pt>
                <c:pt idx="531">
                  <c:v>2214.3529757895258</c:v>
                </c:pt>
                <c:pt idx="532">
                  <c:v>2215.0462589768704</c:v>
                </c:pt>
                <c:pt idx="533">
                  <c:v>2215.6404665815344</c:v>
                </c:pt>
                <c:pt idx="534">
                  <c:v>2216.1357486605439</c:v>
                </c:pt>
                <c:pt idx="535">
                  <c:v>2216.5322503557763</c:v>
                </c:pt>
                <c:pt idx="536">
                  <c:v>2216.8301125774638</c:v>
                </c:pt>
                <c:pt idx="537">
                  <c:v>2217.029472712145</c:v>
                </c:pt>
                <c:pt idx="538">
                  <c:v>2217.1304653508096</c:v>
                </c:pt>
                <c:pt idx="539">
                  <c:v>2217.1332230320722</c:v>
                </c:pt>
                <c:pt idx="540">
                  <c:v>2217.0378769944482</c:v>
                </c:pt>
                <c:pt idx="541">
                  <c:v>2216.8445579312311</c:v>
                </c:pt>
                <c:pt idx="542">
                  <c:v>2216.5533967411411</c:v>
                </c:pt>
                <c:pt idx="543">
                  <c:v>2216.1645252678532</c:v>
                </c:pt>
                <c:pt idx="544">
                  <c:v>2215.6780770217192</c:v>
                </c:pt>
                <c:pt idx="545">
                  <c:v>2215.0941878774706</c:v>
                </c:pt>
                <c:pt idx="546">
                  <c:v>2214.4129967423728</c:v>
                </c:pt>
                <c:pt idx="547">
                  <c:v>2213.6346461901558</c:v>
                </c:pt>
                <c:pt idx="548">
                  <c:v>2212.7592830570052</c:v>
                </c:pt>
                <c:pt idx="549">
                  <c:v>2211.7870589969002</c:v>
                </c:pt>
                <c:pt idx="550">
                  <c:v>2210.7181309945686</c:v>
                </c:pt>
                <c:pt idx="551">
                  <c:v>2209.5526618352569</c:v>
                </c:pt>
                <c:pt idx="552">
                  <c:v>2208.290820531332</c:v>
                </c:pt>
                <c:pt idx="553">
                  <c:v>2206.932782706434</c:v>
                </c:pt>
                <c:pt idx="554">
                  <c:v>2205.4787309384715</c:v>
                </c:pt>
                <c:pt idx="555">
                  <c:v>2203.9288550631786</c:v>
                </c:pt>
                <c:pt idx="556">
                  <c:v>2202.2833524402749</c:v>
                </c:pt>
                <c:pt idx="557">
                  <c:v>2200.5424281844612</c:v>
                </c:pt>
                <c:pt idx="558">
                  <c:v>2198.7062953636009</c:v>
                </c:pt>
                <c:pt idx="559">
                  <c:v>2196.7751751664564</c:v>
                </c:pt>
                <c:pt idx="560">
                  <c:v>2194.7492970423232</c:v>
                </c:pt>
                <c:pt idx="561">
                  <c:v>2192.6288988148308</c:v>
                </c:pt>
                <c:pt idx="562">
                  <c:v>2190.4142267720649</c:v>
                </c:pt>
                <c:pt idx="563">
                  <c:v>2188.1055357350438</c:v>
                </c:pt>
                <c:pt idx="564">
                  <c:v>2185.7030891064337</c:v>
                </c:pt>
                <c:pt idx="565">
                  <c:v>2183.2071589012512</c:v>
                </c:pt>
                <c:pt idx="566">
                  <c:v>2180.6180257611481</c:v>
                </c:pt>
                <c:pt idx="567">
                  <c:v>2177.9359789537421</c:v>
                </c:pt>
                <c:pt idx="568">
                  <c:v>2175.1613163583147</c:v>
                </c:pt>
                <c:pt idx="569">
                  <c:v>2172.2943444390821</c:v>
                </c:pt>
                <c:pt idx="570">
                  <c:v>2169.3353782071231</c:v>
                </c:pt>
                <c:pt idx="571">
                  <c:v>2166.2847411719417</c:v>
                </c:pt>
                <c:pt idx="572">
                  <c:v>2163.1427652835564</c:v>
                </c:pt>
                <c:pt idx="573">
                  <c:v>2159.9097908659051</c:v>
                </c:pt>
                <c:pt idx="574">
                  <c:v>2156.5861665422931</c:v>
                </c:pt>
                <c:pt idx="575">
                  <c:v>2153.1722491535315</c:v>
                </c:pt>
                <c:pt idx="576">
                  <c:v>2149.668403669355</c:v>
                </c:pt>
                <c:pt idx="577">
                  <c:v>2146.0750030936524</c:v>
                </c:pt>
                <c:pt idx="578">
                  <c:v>2142.3924283639967</c:v>
                </c:pt>
                <c:pt idx="579">
                  <c:v>2138.6210682459127</c:v>
                </c:pt>
                <c:pt idx="580">
                  <c:v>2134.7613192222884</c:v>
                </c:pt>
                <c:pt idx="581">
                  <c:v>2130.8135853782978</c:v>
                </c:pt>
                <c:pt idx="582">
                  <c:v>2126.7782782821741</c:v>
                </c:pt>
                <c:pt idx="583">
                  <c:v>2122.6558168621482</c:v>
                </c:pt>
                <c:pt idx="584">
                  <c:v>2118.4466272798381</c:v>
                </c:pt>
                <c:pt idx="585">
                  <c:v>2114.1511428003619</c:v>
                </c:pt>
                <c:pt idx="586">
                  <c:v>2109.769803659422</c:v>
                </c:pt>
                <c:pt idx="587">
                  <c:v>2105.3030569275948</c:v>
                </c:pt>
                <c:pt idx="588">
                  <c:v>2100.7513563720458</c:v>
                </c:pt>
                <c:pt idx="589">
                  <c:v>2096.1151623158785</c:v>
                </c:pt>
                <c:pt idx="590">
                  <c:v>2091.3949414953058</c:v>
                </c:pt>
                <c:pt idx="591">
                  <c:v>2086.5911669148377</c:v>
                </c:pt>
                <c:pt idx="592">
                  <c:v>2081.7043177006531</c:v>
                </c:pt>
                <c:pt idx="593">
                  <c:v>2076.7348789523248</c:v>
                </c:pt>
                <c:pt idx="594">
                  <c:v>2071.683341593061</c:v>
                </c:pt>
                <c:pt idx="595">
                  <c:v>2066.5502022186101</c:v>
                </c:pt>
                <c:pt idx="596">
                  <c:v>2061.3359629449792</c:v>
                </c:pt>
                <c:pt idx="597">
                  <c:v>2056.0411312551059</c:v>
                </c:pt>
                <c:pt idx="598">
                  <c:v>2050.6662198446188</c:v>
                </c:pt>
                <c:pt idx="599">
                  <c:v>2045.2117464668172</c:v>
                </c:pt>
                <c:pt idx="600">
                  <c:v>2039.6782337769962</c:v>
                </c:pt>
                <c:pt idx="601">
                  <c:v>2034.0662091762392</c:v>
                </c:pt>
                <c:pt idx="602">
                  <c:v>2028.3762046547956</c:v>
                </c:pt>
                <c:pt idx="603">
                  <c:v>2022.6087566351584</c:v>
                </c:pt>
                <c:pt idx="604">
                  <c:v>2016.7644058149508</c:v>
                </c:pt>
                <c:pt idx="605">
                  <c:v>2010.8436970097312</c:v>
                </c:pt>
                <c:pt idx="606">
                  <c:v>2004.8471789958194</c:v>
                </c:pt>
                <c:pt idx="607">
                  <c:v>1998.7754043532445</c:v>
                </c:pt>
                <c:pt idx="608">
                  <c:v>1992.6289293089146</c:v>
                </c:pt>
                <c:pt idx="609">
                  <c:v>1986.4083135800995</c:v>
                </c:pt>
                <c:pt idx="610">
                  <c:v>1980.1141202183233</c:v>
                </c:pt>
                <c:pt idx="611">
                  <c:v>1973.7469154537525</c:v>
                </c:pt>
                <c:pt idx="612">
                  <c:v>1967.3072685401694</c:v>
                </c:pt>
                <c:pt idx="613">
                  <c:v>1960.7957516006111</c:v>
                </c:pt>
                <c:pt idx="614">
                  <c:v>1954.2129394737599</c:v>
                </c:pt>
                <c:pt idx="615">
                  <c:v>1947.5594095611611</c:v>
                </c:pt>
                <c:pt idx="616">
                  <c:v>1940.8357416753461</c:v>
                </c:pt>
                <c:pt idx="617">
                  <c:v>1934.0425178889332</c:v>
                </c:pt>
                <c:pt idx="618">
                  <c:v>1927.1803223847789</c:v>
                </c:pt>
                <c:pt idx="619">
                  <c:v>1920.2497413072488</c:v>
                </c:pt>
                <c:pt idx="620">
                  <c:v>1913.2513626146729</c:v>
                </c:pt>
                <c:pt idx="621">
                  <c:v>1906.1857759330514</c:v>
                </c:pt>
                <c:pt idx="622">
                  <c:v>1899.0535724110719</c:v>
                </c:pt>
                <c:pt idx="623">
                  <c:v>1891.8553445764965</c:v>
                </c:pt>
                <c:pt idx="624">
                  <c:v>1884.5916861939779</c:v>
                </c:pt>
                <c:pt idx="625">
                  <c:v>1877.2631921243571</c:v>
                </c:pt>
                <c:pt idx="626">
                  <c:v>1869.8704581854963</c:v>
                </c:pt>
                <c:pt idx="627">
                  <c:v>1862.4140810146964</c:v>
                </c:pt>
                <c:pt idx="628">
                  <c:v>1854.894657932748</c:v>
                </c:pt>
                <c:pt idx="629">
                  <c:v>1847.3127868096601</c:v>
                </c:pt>
                <c:pt idx="630">
                  <c:v>1839.6690659321096</c:v>
                </c:pt>
                <c:pt idx="631">
                  <c:v>1831.964093872655</c:v>
                </c:pt>
                <c:pt idx="632">
                  <c:v>1824.198469360751</c:v>
                </c:pt>
                <c:pt idx="633">
                  <c:v>1816.3727911556005</c:v>
                </c:pt>
                <c:pt idx="634">
                  <c:v>1808.4876579208806</c:v>
                </c:pt>
                <c:pt idx="635">
                  <c:v>1800.5436681013739</c:v>
                </c:pt>
                <c:pt idx="636">
                  <c:v>1792.5414198015346</c:v>
                </c:pt>
                <c:pt idx="637">
                  <c:v>1784.4815106660196</c:v>
                </c:pt>
                <c:pt idx="638">
                  <c:v>1776.3645377622092</c:v>
                </c:pt>
                <c:pt idx="639">
                  <c:v>1768.1910974647424</c:v>
                </c:pt>
                <c:pt idx="640">
                  <c:v>1759.9617853420893</c:v>
                </c:pt>
                <c:pt idx="641">
                  <c:v>1751.6771960451813</c:v>
                </c:pt>
                <c:pt idx="642">
                  <c:v>1743.3379231981155</c:v>
                </c:pt>
                <c:pt idx="643">
                  <c:v>1734.9445592909524</c:v>
                </c:pt>
                <c:pt idx="644">
                  <c:v>1726.4976955746201</c:v>
                </c:pt>
                <c:pt idx="645">
                  <c:v>1717.9979219579384</c:v>
                </c:pt>
                <c:pt idx="646">
                  <c:v>1709.4458269067741</c:v>
                </c:pt>
                <c:pt idx="647">
                  <c:v>1700.841997345336</c:v>
                </c:pt>
                <c:pt idx="648">
                  <c:v>1692.1870185596188</c:v>
                </c:pt>
                <c:pt idx="649">
                  <c:v>1683.4814741030004</c:v>
                </c:pt>
                <c:pt idx="650">
                  <c:v>1674.7259457039988</c:v>
                </c:pt>
                <c:pt idx="651">
                  <c:v>1665.9210131761888</c:v>
                </c:pt>
                <c:pt idx="652">
                  <c:v>1657.0672543302828</c:v>
                </c:pt>
                <c:pt idx="653">
                  <c:v>1648.1652448883738</c:v>
                </c:pt>
                <c:pt idx="654">
                  <c:v>1639.2155584003383</c:v>
                </c:pt>
                <c:pt idx="655">
                  <c:v>1630.2187661623989</c:v>
                </c:pt>
                <c:pt idx="656">
                  <c:v>1621.1754371378386</c:v>
                </c:pt>
                <c:pt idx="657">
                  <c:v>1612.0861378798629</c:v>
                </c:pt>
                <c:pt idx="658">
                  <c:v>1602.9514324566037</c:v>
                </c:pt>
                <c:pt idx="659">
                  <c:v>1593.7718823782534</c:v>
                </c:pt>
                <c:pt idx="660">
                  <c:v>1584.5480465263231</c:v>
                </c:pt>
                <c:pt idx="661">
                  <c:v>1575.2804810850125</c:v>
                </c:pt>
                <c:pt idx="662">
                  <c:v>1565.969739474679</c:v>
                </c:pt>
                <c:pt idx="663">
                  <c:v>1556.6163722873953</c:v>
                </c:pt>
                <c:pt idx="664">
                  <c:v>1547.2209272245789</c:v>
                </c:pt>
                <c:pt idx="665">
                  <c:v>1537.7839490366807</c:v>
                </c:pt>
                <c:pt idx="666">
                  <c:v>1528.3059794649159</c:v>
                </c:pt>
                <c:pt idx="667">
                  <c:v>1518.7875571850195</c:v>
                </c:pt>
                <c:pt idx="668">
                  <c:v>1509.2292177530103</c:v>
                </c:pt>
                <c:pt idx="669">
                  <c:v>1499.6314935529442</c:v>
                </c:pt>
                <c:pt idx="670">
                  <c:v>1489.9949137466363</c:v>
                </c:pt>
                <c:pt idx="671">
                  <c:v>1480.3200042253338</c:v>
                </c:pt>
                <c:pt idx="672">
                  <c:v>1470.6072875633167</c:v>
                </c:pt>
                <c:pt idx="673">
                  <c:v>1460.8572829734062</c:v>
                </c:pt>
                <c:pt idx="674">
                  <c:v>1451.0705062643578</c:v>
                </c:pt>
                <c:pt idx="675">
                  <c:v>1441.2474698001176</c:v>
                </c:pt>
                <c:pt idx="676">
                  <c:v>1431.388682460916</c:v>
                </c:pt>
                <c:pt idx="677">
                  <c:v>1421.4946496061775</c:v>
                </c:pt>
                <c:pt idx="678">
                  <c:v>1411.5658730392202</c:v>
                </c:pt>
                <c:pt idx="679">
                  <c:v>1401.6028509737214</c:v>
                </c:pt>
                <c:pt idx="680">
                  <c:v>1391.6060780019238</c:v>
                </c:pt>
                <c:pt idx="681">
                  <c:v>1381.5760450645555</c:v>
                </c:pt>
                <c:pt idx="682">
                  <c:v>1371.513239422439</c:v>
                </c:pt>
                <c:pt idx="683">
                  <c:v>1361.4181446297625</c:v>
                </c:pt>
                <c:pt idx="684">
                  <c:v>1351.2912405089862</c:v>
                </c:pt>
                <c:pt idx="685">
                  <c:v>1341.1330031273567</c:v>
                </c:pt>
                <c:pt idx="686">
                  <c:v>1330.9439047750034</c:v>
                </c:pt>
                <c:pt idx="687">
                  <c:v>1320.7244139445872</c:v>
                </c:pt>
                <c:pt idx="688">
                  <c:v>1310.4749953124772</c:v>
                </c:pt>
                <c:pt idx="689">
                  <c:v>1300.196109721423</c:v>
                </c:pt>
                <c:pt idx="690">
                  <c:v>1289.8882141646998</c:v>
                </c:pt>
                <c:pt idx="691">
                  <c:v>1279.5517617716939</c:v>
                </c:pt>
                <c:pt idx="692">
                  <c:v>1269.1872017949033</c:v>
                </c:pt>
                <c:pt idx="693">
                  <c:v>1258.7949795983232</c:v>
                </c:pt>
                <c:pt idx="694">
                  <c:v>1248.3755366471901</c:v>
                </c:pt>
                <c:pt idx="695">
                  <c:v>1237.9293104990545</c:v>
                </c:pt>
                <c:pt idx="696">
                  <c:v>1227.4567347961554</c:v>
                </c:pt>
                <c:pt idx="697">
                  <c:v>1216.9582392590676</c:v>
                </c:pt>
                <c:pt idx="698">
                  <c:v>1206.434249681593</c:v>
                </c:pt>
                <c:pt idx="699">
                  <c:v>1195.88518792687</c:v>
                </c:pt>
                <c:pt idx="700">
                  <c:v>1185.3114719246703</c:v>
                </c:pt>
                <c:pt idx="701">
                  <c:v>1174.7135156698575</c:v>
                </c:pt>
                <c:pt idx="702">
                  <c:v>1164.0917292219785</c:v>
                </c:pt>
                <c:pt idx="703">
                  <c:v>1153.44651870596</c:v>
                </c:pt>
                <c:pt idx="704">
                  <c:v>1142.778286313883</c:v>
                </c:pt>
                <c:pt idx="705">
                  <c:v>1132.0874303078085</c:v>
                </c:pt>
                <c:pt idx="706">
                  <c:v>1121.374345023627</c:v>
                </c:pt>
                <c:pt idx="707">
                  <c:v>1110.6394208759036</c:v>
                </c:pt>
                <c:pt idx="708">
                  <c:v>1099.8830443636939</c:v>
                </c:pt>
                <c:pt idx="709">
                  <c:v>1089.1055980773033</c:v>
                </c:pt>
                <c:pt idx="710">
                  <c:v>1078.3074607059639</c:v>
                </c:pt>
                <c:pt idx="711">
                  <c:v>1067.4890070464021</c:v>
                </c:pt>
                <c:pt idx="712">
                  <c:v>1056.6506080122722</c:v>
                </c:pt>
                <c:pt idx="713">
                  <c:v>1045.7926306444301</c:v>
                </c:pt>
                <c:pt idx="714">
                  <c:v>1034.9154381220224</c:v>
                </c:pt>
                <c:pt idx="715">
                  <c:v>1024.0193897743645</c:v>
                </c:pt>
                <c:pt idx="716">
                  <c:v>1013.1048410935863</c:v>
                </c:pt>
                <c:pt idx="717">
                  <c:v>1002.1721437480164</c:v>
                </c:pt>
                <c:pt idx="718">
                  <c:v>991.22164559628607</c:v>
                </c:pt>
                <c:pt idx="719">
                  <c:v>980.25369070212548</c:v>
                </c:pt>
                <c:pt idx="720">
                  <c:v>969.26861934983071</c:v>
                </c:pt>
                <c:pt idx="721">
                  <c:v>958.26676806037767</c:v>
                </c:pt>
                <c:pt idx="722">
                  <c:v>947.24846960816126</c:v>
                </c:pt>
                <c:pt idx="723">
                  <c:v>936.21405303833637</c:v>
                </c:pt>
                <c:pt idx="724">
                  <c:v>925.16384368473905</c:v>
                </c:pt>
                <c:pt idx="725">
                  <c:v>914.09816318836693</c:v>
                </c:pt>
                <c:pt idx="726">
                  <c:v>903.01732951639644</c:v>
                </c:pt>
                <c:pt idx="727">
                  <c:v>891.92165698171675</c:v>
                </c:pt>
                <c:pt idx="728">
                  <c:v>880.81145626295938</c:v>
                </c:pt>
                <c:pt idx="729">
                  <c:v>869.68703442500339</c:v>
                </c:pt>
                <c:pt idx="730">
                  <c:v>858.54869493993635</c:v>
                </c:pt>
                <c:pt idx="731">
                  <c:v>847.39673770845184</c:v>
                </c:pt>
                <c:pt idx="732">
                  <c:v>836.23145908166305</c:v>
                </c:pt>
                <c:pt idx="733">
                  <c:v>825.05315188331565</c:v>
                </c:pt>
                <c:pt idx="734">
                  <c:v>813.86210543237974</c:v>
                </c:pt>
                <c:pt idx="735">
                  <c:v>802.65860556600387</c:v>
                </c:pt>
                <c:pt idx="736">
                  <c:v>791.44293466281283</c:v>
                </c:pt>
                <c:pt idx="737">
                  <c:v>780.21537166653229</c:v>
                </c:pt>
                <c:pt idx="738">
                  <c:v>768.97619210992286</c:v>
                </c:pt>
                <c:pt idx="739">
                  <c:v>757.72566813900721</c:v>
                </c:pt>
                <c:pt idx="740">
                  <c:v>746.46406853757378</c:v>
                </c:pt>
                <c:pt idx="741">
                  <c:v>735.19165875194153</c:v>
                </c:pt>
                <c:pt idx="742">
                  <c:v>723.90870091596958</c:v>
                </c:pt>
                <c:pt idx="743">
                  <c:v>712.6154538762969</c:v>
                </c:pt>
                <c:pt idx="744">
                  <c:v>701.31217321779684</c:v>
                </c:pt>
                <c:pt idx="745">
                  <c:v>689.9991112892327</c:v>
                </c:pt>
                <c:pt idx="746">
                  <c:v>678.67651722909886</c:v>
                </c:pt>
                <c:pt idx="747">
                  <c:v>667.34463699163518</c:v>
                </c:pt>
                <c:pt idx="748">
                  <c:v>656.00371337299941</c:v>
                </c:pt>
                <c:pt idx="749">
                  <c:v>644.65398603758626</c:v>
                </c:pt>
                <c:pt idx="750">
                  <c:v>633.29569154447881</c:v>
                </c:pt>
                <c:pt idx="751">
                  <c:v>621.9290633740203</c:v>
                </c:pt>
                <c:pt idx="752">
                  <c:v>610.55433195449416</c:v>
                </c:pt>
                <c:pt idx="753">
                  <c:v>599.17172468890055</c:v>
                </c:pt>
                <c:pt idx="754">
                  <c:v>587.78146598181695</c:v>
                </c:pt>
                <c:pt idx="755">
                  <c:v>576.38377726633303</c:v>
                </c:pt>
                <c:pt idx="756">
                  <c:v>564.97887703104698</c:v>
                </c:pt>
                <c:pt idx="757">
                  <c:v>553.56698084711479</c:v>
                </c:pt>
                <c:pt idx="758">
                  <c:v>542.1483013953399</c:v>
                </c:pt>
                <c:pt idx="759">
                  <c:v>530.72304849329532</c:v>
                </c:pt>
                <c:pt idx="760">
                  <c:v>519.29142912246664</c:v>
                </c:pt>
                <c:pt idx="761">
                  <c:v>507.85364745540755</c:v>
                </c:pt>
                <c:pt idx="762">
                  <c:v>496.40990488289839</c:v>
                </c:pt>
                <c:pt idx="763">
                  <c:v>484.96040004109875</c:v>
                </c:pt>
                <c:pt idx="764">
                  <c:v>473.5053288386855</c:v>
                </c:pt>
                <c:pt idx="765">
                  <c:v>462.04488448396808</c:v>
                </c:pt>
                <c:pt idx="766">
                  <c:v>450.57925751197246</c:v>
                </c:pt>
                <c:pt idx="767">
                  <c:v>439.10863581148664</c:v>
                </c:pt>
                <c:pt idx="768">
                  <c:v>427.63320465205942</c:v>
                </c:pt>
                <c:pt idx="769">
                  <c:v>416.15314671094569</c:v>
                </c:pt>
                <c:pt idx="770">
                  <c:v>404.66864209999051</c:v>
                </c:pt>
                <c:pt idx="771">
                  <c:v>393.17986839244577</c:v>
                </c:pt>
                <c:pt idx="772">
                  <c:v>381.68700064971256</c:v>
                </c:pt>
                <c:pt idx="773">
                  <c:v>370.19021144800274</c:v>
                </c:pt>
                <c:pt idx="774">
                  <c:v>358.68967090491378</c:v>
                </c:pt>
                <c:pt idx="775">
                  <c:v>347.18554670591095</c:v>
                </c:pt>
                <c:pt idx="776">
                  <c:v>335.67800413071092</c:v>
                </c:pt>
                <c:pt idx="777">
                  <c:v>324.16720607956154</c:v>
                </c:pt>
                <c:pt idx="778">
                  <c:v>312.65331309941246</c:v>
                </c:pt>
                <c:pt idx="779">
                  <c:v>301.13648340997167</c:v>
                </c:pt>
                <c:pt idx="780">
                  <c:v>289.61687292964257</c:v>
                </c:pt>
                <c:pt idx="781">
                  <c:v>278.09463530133769</c:v>
                </c:pt>
                <c:pt idx="782">
                  <c:v>266.56992191816386</c:v>
                </c:pt>
                <c:pt idx="783">
                  <c:v>255.04288194897509</c:v>
                </c:pt>
                <c:pt idx="784">
                  <c:v>243.51366236378882</c:v>
                </c:pt>
                <c:pt idx="785">
                  <c:v>231.9824079590615</c:v>
                </c:pt>
                <c:pt idx="786">
                  <c:v>220.44926138282011</c:v>
                </c:pt>
                <c:pt idx="787">
                  <c:v>208.91436315964575</c:v>
                </c:pt>
                <c:pt idx="788">
                  <c:v>197.37785171550604</c:v>
                </c:pt>
                <c:pt idx="789">
                  <c:v>185.83986340243317</c:v>
                </c:pt>
                <c:pt idx="790">
                  <c:v>174.30053252304421</c:v>
                </c:pt>
                <c:pt idx="791">
                  <c:v>162.7599913549013</c:v>
                </c:pt>
                <c:pt idx="792">
                  <c:v>151.21837017470838</c:v>
                </c:pt>
                <c:pt idx="793">
                  <c:v>139.6757972823423</c:v>
                </c:pt>
                <c:pt idx="794">
                  <c:v>128.13239902471554</c:v>
                </c:pt>
                <c:pt idx="795">
                  <c:v>116.58829981946835</c:v>
                </c:pt>
                <c:pt idx="796">
                  <c:v>105.04362217848822</c:v>
                </c:pt>
                <c:pt idx="797">
                  <c:v>93.498486731254374</c:v>
                </c:pt>
                <c:pt idx="798">
                  <c:v>81.953012248005535</c:v>
                </c:pt>
                <c:pt idx="799">
                  <c:v>70.407315662729161</c:v>
                </c:pt>
                <c:pt idx="800">
                  <c:v>58.861512095970397</c:v>
                </c:pt>
                <c:pt idx="801">
                  <c:v>47.315714877459257</c:v>
                </c:pt>
                <c:pt idx="802">
                  <c:v>35.770035568554562</c:v>
                </c:pt>
                <c:pt idx="803">
                  <c:v>24.224583984503333</c:v>
                </c:pt>
                <c:pt idx="804">
                  <c:v>12.679468216514387</c:v>
                </c:pt>
                <c:pt idx="805">
                  <c:v>1.1347946536450735</c:v>
                </c:pt>
                <c:pt idx="806">
                  <c:v>-10.409331995499883</c:v>
                </c:pt>
                <c:pt idx="807">
                  <c:v>-10.420875822373183</c:v>
                </c:pt>
                <c:pt idx="808">
                  <c:v>-10.432419648545357</c:v>
                </c:pt>
                <c:pt idx="809">
                  <c:v>-10.443963474016304</c:v>
                </c:pt>
                <c:pt idx="810">
                  <c:v>-10.455507298785923</c:v>
                </c:pt>
                <c:pt idx="811">
                  <c:v>-10.467051122854114</c:v>
                </c:pt>
                <c:pt idx="812">
                  <c:v>-10.478594946220776</c:v>
                </c:pt>
                <c:pt idx="813">
                  <c:v>-10.490138768885808</c:v>
                </c:pt>
                <c:pt idx="814">
                  <c:v>-10.501682590849112</c:v>
                </c:pt>
                <c:pt idx="815">
                  <c:v>-10.513226412110585</c:v>
                </c:pt>
                <c:pt idx="816">
                  <c:v>-10.524770232670127</c:v>
                </c:pt>
                <c:pt idx="817">
                  <c:v>-10.536314052527638</c:v>
                </c:pt>
                <c:pt idx="818">
                  <c:v>-10.547857871683018</c:v>
                </c:pt>
                <c:pt idx="819">
                  <c:v>-10.559401690136164</c:v>
                </c:pt>
                <c:pt idx="820">
                  <c:v>-10.570945507886979</c:v>
                </c:pt>
                <c:pt idx="821">
                  <c:v>-10.582489324935359</c:v>
                </c:pt>
                <c:pt idx="822">
                  <c:v>-10.594033141281207</c:v>
                </c:pt>
                <c:pt idx="823">
                  <c:v>-10.60557695692442</c:v>
                </c:pt>
                <c:pt idx="824">
                  <c:v>-10.617120771864897</c:v>
                </c:pt>
                <c:pt idx="825">
                  <c:v>-10.62866458610254</c:v>
                </c:pt>
                <c:pt idx="826">
                  <c:v>-10.640208399637245</c:v>
                </c:pt>
                <c:pt idx="827">
                  <c:v>-10.651752212468915</c:v>
                </c:pt>
                <c:pt idx="828">
                  <c:v>-10.663296024597448</c:v>
                </c:pt>
                <c:pt idx="829">
                  <c:v>-10.674839836022743</c:v>
                </c:pt>
                <c:pt idx="830">
                  <c:v>-10.6863836467447</c:v>
                </c:pt>
                <c:pt idx="831">
                  <c:v>-10.697927456763217</c:v>
                </c:pt>
                <c:pt idx="832">
                  <c:v>-10.709471266078197</c:v>
                </c:pt>
                <c:pt idx="833">
                  <c:v>-10.721015074689536</c:v>
                </c:pt>
                <c:pt idx="834">
                  <c:v>-10.732558882597136</c:v>
                </c:pt>
                <c:pt idx="835">
                  <c:v>-10.744102689800895</c:v>
                </c:pt>
                <c:pt idx="836">
                  <c:v>-10.755646496300713</c:v>
                </c:pt>
                <c:pt idx="837">
                  <c:v>-10.767190302096489</c:v>
                </c:pt>
                <c:pt idx="838">
                  <c:v>-10.778734107188123</c:v>
                </c:pt>
                <c:pt idx="839">
                  <c:v>-10.790277911575515</c:v>
                </c:pt>
                <c:pt idx="840">
                  <c:v>-10.801821715258564</c:v>
                </c:pt>
                <c:pt idx="841">
                  <c:v>-10.81336551823717</c:v>
                </c:pt>
                <c:pt idx="842">
                  <c:v>-10.824909320511232</c:v>
                </c:pt>
                <c:pt idx="843">
                  <c:v>-10.836453122080648</c:v>
                </c:pt>
                <c:pt idx="844">
                  <c:v>-10.84799692294532</c:v>
                </c:pt>
                <c:pt idx="845">
                  <c:v>-10.859540723105146</c:v>
                </c:pt>
                <c:pt idx="846">
                  <c:v>-10.871084522560027</c:v>
                </c:pt>
                <c:pt idx="847">
                  <c:v>-10.882628321309861</c:v>
                </c:pt>
                <c:pt idx="848">
                  <c:v>-10.894172119354549</c:v>
                </c:pt>
                <c:pt idx="849">
                  <c:v>-10.905715916693989</c:v>
                </c:pt>
                <c:pt idx="850">
                  <c:v>-10.917259713328081</c:v>
                </c:pt>
                <c:pt idx="851">
                  <c:v>-10.928803509256724</c:v>
                </c:pt>
                <c:pt idx="852">
                  <c:v>-10.940347304479818</c:v>
                </c:pt>
                <c:pt idx="853">
                  <c:v>-10.951891098997264</c:v>
                </c:pt>
                <c:pt idx="854">
                  <c:v>-10.963434892808959</c:v>
                </c:pt>
                <c:pt idx="855">
                  <c:v>-10.974978685914804</c:v>
                </c:pt>
                <c:pt idx="856">
                  <c:v>-10.986522478314699</c:v>
                </c:pt>
                <c:pt idx="857">
                  <c:v>-10.998066270008541</c:v>
                </c:pt>
                <c:pt idx="858">
                  <c:v>-11.009610060996232</c:v>
                </c:pt>
                <c:pt idx="859">
                  <c:v>-11.021153851277672</c:v>
                </c:pt>
                <c:pt idx="860">
                  <c:v>-11.032697640852758</c:v>
                </c:pt>
                <c:pt idx="861">
                  <c:v>-11.044241429721392</c:v>
                </c:pt>
                <c:pt idx="862">
                  <c:v>-11.055785217883471</c:v>
                </c:pt>
                <c:pt idx="863">
                  <c:v>-11.067329005338898</c:v>
                </c:pt>
                <c:pt idx="864">
                  <c:v>-11.078872792087569</c:v>
                </c:pt>
                <c:pt idx="865">
                  <c:v>-11.090416578129386</c:v>
                </c:pt>
                <c:pt idx="866">
                  <c:v>-11.101960363464247</c:v>
                </c:pt>
                <c:pt idx="867">
                  <c:v>-11.113504148092053</c:v>
                </c:pt>
                <c:pt idx="868">
                  <c:v>-11.125047932012702</c:v>
                </c:pt>
                <c:pt idx="869">
                  <c:v>-11.136591715226094</c:v>
                </c:pt>
                <c:pt idx="870">
                  <c:v>-11.148135497732129</c:v>
                </c:pt>
                <c:pt idx="871">
                  <c:v>-11.159679279530707</c:v>
                </c:pt>
                <c:pt idx="872">
                  <c:v>-11.171223060621728</c:v>
                </c:pt>
                <c:pt idx="873">
                  <c:v>-11.182766841005089</c:v>
                </c:pt>
                <c:pt idx="874">
                  <c:v>-11.194310620680691</c:v>
                </c:pt>
                <c:pt idx="875">
                  <c:v>-11.205854399648434</c:v>
                </c:pt>
                <c:pt idx="876">
                  <c:v>-11.217398177908217</c:v>
                </c:pt>
                <c:pt idx="877">
                  <c:v>-11.228941955459941</c:v>
                </c:pt>
                <c:pt idx="878">
                  <c:v>-11.240485732303505</c:v>
                </c:pt>
                <c:pt idx="879">
                  <c:v>-11.252029508438806</c:v>
                </c:pt>
                <c:pt idx="880">
                  <c:v>-11.263573283865746</c:v>
                </c:pt>
                <c:pt idx="881">
                  <c:v>-11.275117058584224</c:v>
                </c:pt>
                <c:pt idx="882">
                  <c:v>-11.286660832594139</c:v>
                </c:pt>
                <c:pt idx="883">
                  <c:v>-11.298204605895391</c:v>
                </c:pt>
                <c:pt idx="884">
                  <c:v>-11.30974837848788</c:v>
                </c:pt>
                <c:pt idx="885">
                  <c:v>-11.321292150371507</c:v>
                </c:pt>
                <c:pt idx="886">
                  <c:v>-11.332835921546168</c:v>
                </c:pt>
                <c:pt idx="887">
                  <c:v>-11.344379692011765</c:v>
                </c:pt>
                <c:pt idx="888">
                  <c:v>-11.355923461768198</c:v>
                </c:pt>
                <c:pt idx="889">
                  <c:v>-11.367467230815365</c:v>
                </c:pt>
                <c:pt idx="890">
                  <c:v>-11.379010999153166</c:v>
                </c:pt>
                <c:pt idx="891">
                  <c:v>-11.390554766781502</c:v>
                </c:pt>
                <c:pt idx="892">
                  <c:v>-11.40209853370027</c:v>
                </c:pt>
                <c:pt idx="893">
                  <c:v>-11.413642299909371</c:v>
                </c:pt>
                <c:pt idx="894">
                  <c:v>-11.425186065408706</c:v>
                </c:pt>
                <c:pt idx="895">
                  <c:v>-11.436729830198173</c:v>
                </c:pt>
                <c:pt idx="896">
                  <c:v>-11.448273594277671</c:v>
                </c:pt>
                <c:pt idx="897">
                  <c:v>-11.459817357647101</c:v>
                </c:pt>
                <c:pt idx="898">
                  <c:v>-11.471361120306362</c:v>
                </c:pt>
                <c:pt idx="899">
                  <c:v>-11.482904882255353</c:v>
                </c:pt>
                <c:pt idx="900">
                  <c:v>-11.494448643493975</c:v>
                </c:pt>
                <c:pt idx="901">
                  <c:v>-11.505992404022127</c:v>
                </c:pt>
                <c:pt idx="902">
                  <c:v>-11.517536163839708</c:v>
                </c:pt>
                <c:pt idx="903">
                  <c:v>-11.529079922946618</c:v>
                </c:pt>
                <c:pt idx="904">
                  <c:v>-11.540623681342757</c:v>
                </c:pt>
                <c:pt idx="905">
                  <c:v>-11.552167439028024</c:v>
                </c:pt>
                <c:pt idx="906">
                  <c:v>-11.563711196002318</c:v>
                </c:pt>
                <c:pt idx="907">
                  <c:v>-11.57525495226554</c:v>
                </c:pt>
                <c:pt idx="908">
                  <c:v>-11.586798707817589</c:v>
                </c:pt>
                <c:pt idx="909">
                  <c:v>-11.598342462658366</c:v>
                </c:pt>
                <c:pt idx="910">
                  <c:v>-11.609886216787768</c:v>
                </c:pt>
                <c:pt idx="911">
                  <c:v>-11.621429970205696</c:v>
                </c:pt>
                <c:pt idx="912">
                  <c:v>-11.63297372291205</c:v>
                </c:pt>
                <c:pt idx="913">
                  <c:v>-11.64451747490673</c:v>
                </c:pt>
                <c:pt idx="914">
                  <c:v>-11.656061226189633</c:v>
                </c:pt>
                <c:pt idx="915">
                  <c:v>-11.667604976760662</c:v>
                </c:pt>
                <c:pt idx="916">
                  <c:v>-11.679148726619715</c:v>
                </c:pt>
                <c:pt idx="917">
                  <c:v>-11.69069247576669</c:v>
                </c:pt>
                <c:pt idx="918">
                  <c:v>-11.70223622420149</c:v>
                </c:pt>
                <c:pt idx="919">
                  <c:v>-11.713779971924012</c:v>
                </c:pt>
                <c:pt idx="920">
                  <c:v>-11.725323718934156</c:v>
                </c:pt>
                <c:pt idx="921">
                  <c:v>-11.736867465231823</c:v>
                </c:pt>
                <c:pt idx="922">
                  <c:v>-11.748411210816911</c:v>
                </c:pt>
                <c:pt idx="923">
                  <c:v>-11.759954955689322</c:v>
                </c:pt>
                <c:pt idx="924">
                  <c:v>-11.771498699848953</c:v>
                </c:pt>
                <c:pt idx="925">
                  <c:v>-11.783042443295706</c:v>
                </c:pt>
                <c:pt idx="926">
                  <c:v>-11.794586186029479</c:v>
                </c:pt>
                <c:pt idx="927">
                  <c:v>-11.806129928050172</c:v>
                </c:pt>
                <c:pt idx="928">
                  <c:v>-11.817673669357685</c:v>
                </c:pt>
                <c:pt idx="929">
                  <c:v>-11.829217409951916</c:v>
                </c:pt>
                <c:pt idx="930">
                  <c:v>-11.840761149832767</c:v>
                </c:pt>
                <c:pt idx="931">
                  <c:v>-11.852304889000136</c:v>
                </c:pt>
                <c:pt idx="932">
                  <c:v>-11.863848627453924</c:v>
                </c:pt>
                <c:pt idx="933">
                  <c:v>-11.875392365194029</c:v>
                </c:pt>
                <c:pt idx="934">
                  <c:v>-11.886936102220353</c:v>
                </c:pt>
                <c:pt idx="935">
                  <c:v>-11.898479838532793</c:v>
                </c:pt>
                <c:pt idx="936">
                  <c:v>-11.910023574131252</c:v>
                </c:pt>
                <c:pt idx="937">
                  <c:v>-11.921567309015625</c:v>
                </c:pt>
                <c:pt idx="938">
                  <c:v>-11.933111043185816</c:v>
                </c:pt>
                <c:pt idx="939">
                  <c:v>-11.944654776641721</c:v>
                </c:pt>
                <c:pt idx="940">
                  <c:v>-11.956198509383244</c:v>
                </c:pt>
                <c:pt idx="941">
                  <c:v>-11.967742241410281</c:v>
                </c:pt>
                <c:pt idx="942">
                  <c:v>-11.979285972722733</c:v>
                </c:pt>
                <c:pt idx="943">
                  <c:v>-11.9908297033205</c:v>
                </c:pt>
                <c:pt idx="944">
                  <c:v>-12.002373433203481</c:v>
                </c:pt>
                <c:pt idx="945">
                  <c:v>-12.013917162371575</c:v>
                </c:pt>
                <c:pt idx="946">
                  <c:v>-12.025460890824684</c:v>
                </c:pt>
                <c:pt idx="947">
                  <c:v>-12.037004618562706</c:v>
                </c:pt>
                <c:pt idx="948">
                  <c:v>-12.048548345585541</c:v>
                </c:pt>
                <c:pt idx="949">
                  <c:v>-12.060092071893088</c:v>
                </c:pt>
                <c:pt idx="950">
                  <c:v>-12.071635797485248</c:v>
                </c:pt>
                <c:pt idx="951">
                  <c:v>-12.08317952236192</c:v>
                </c:pt>
                <c:pt idx="952">
                  <c:v>-12.094723246523003</c:v>
                </c:pt>
                <c:pt idx="953">
                  <c:v>-12.106266969968397</c:v>
                </c:pt>
                <c:pt idx="954">
                  <c:v>-12.117810692698002</c:v>
                </c:pt>
                <c:pt idx="955">
                  <c:v>-12.129354414711718</c:v>
                </c:pt>
                <c:pt idx="956">
                  <c:v>-12.140898136009445</c:v>
                </c:pt>
                <c:pt idx="957">
                  <c:v>-12.152441856591082</c:v>
                </c:pt>
                <c:pt idx="958">
                  <c:v>-12.163985576456529</c:v>
                </c:pt>
                <c:pt idx="959">
                  <c:v>-12.175529295605685</c:v>
                </c:pt>
                <c:pt idx="960">
                  <c:v>-12.18707301403845</c:v>
                </c:pt>
                <c:pt idx="961">
                  <c:v>-12.198616731754726</c:v>
                </c:pt>
                <c:pt idx="962">
                  <c:v>-12.210160448754408</c:v>
                </c:pt>
                <c:pt idx="963">
                  <c:v>-12.2217041650374</c:v>
                </c:pt>
                <c:pt idx="964">
                  <c:v>-12.233247880603599</c:v>
                </c:pt>
                <c:pt idx="965">
                  <c:v>-12.244791595452906</c:v>
                </c:pt>
                <c:pt idx="966">
                  <c:v>-12.25633530958522</c:v>
                </c:pt>
                <c:pt idx="967">
                  <c:v>-12.267879023000441</c:v>
                </c:pt>
                <c:pt idx="968">
                  <c:v>-12.27942273569847</c:v>
                </c:pt>
                <c:pt idx="969">
                  <c:v>-12.290966447679205</c:v>
                </c:pt>
                <c:pt idx="970">
                  <c:v>-12.302510158942546</c:v>
                </c:pt>
                <c:pt idx="971">
                  <c:v>-12.314053869488394</c:v>
                </c:pt>
                <c:pt idx="972">
                  <c:v>-12.325597579316646</c:v>
                </c:pt>
                <c:pt idx="973">
                  <c:v>-12.337141288427205</c:v>
                </c:pt>
                <c:pt idx="974">
                  <c:v>-12.348684996819969</c:v>
                </c:pt>
                <c:pt idx="975">
                  <c:v>-12.360228704494839</c:v>
                </c:pt>
                <c:pt idx="976">
                  <c:v>-12.371772411451712</c:v>
                </c:pt>
                <c:pt idx="977">
                  <c:v>-12.383316117690489</c:v>
                </c:pt>
                <c:pt idx="978">
                  <c:v>-12.394859823211071</c:v>
                </c:pt>
                <c:pt idx="979">
                  <c:v>-12.406403528013357</c:v>
                </c:pt>
                <c:pt idx="980">
                  <c:v>-12.417947232097246</c:v>
                </c:pt>
                <c:pt idx="981">
                  <c:v>-12.429490935462638</c:v>
                </c:pt>
                <c:pt idx="982">
                  <c:v>-12.441034638109434</c:v>
                </c:pt>
                <c:pt idx="983">
                  <c:v>-12.452578340037531</c:v>
                </c:pt>
                <c:pt idx="984">
                  <c:v>-12.464122041246831</c:v>
                </c:pt>
                <c:pt idx="985">
                  <c:v>-12.475665741737235</c:v>
                </c:pt>
                <c:pt idx="986">
                  <c:v>-12.487209441508639</c:v>
                </c:pt>
                <c:pt idx="987">
                  <c:v>-12.498753140560945</c:v>
                </c:pt>
                <c:pt idx="988">
                  <c:v>-12.510296838894053</c:v>
                </c:pt>
                <c:pt idx="989">
                  <c:v>-12.521840536507861</c:v>
                </c:pt>
                <c:pt idx="990">
                  <c:v>-12.533384233402272</c:v>
                </c:pt>
                <c:pt idx="991">
                  <c:v>-12.544927929577181</c:v>
                </c:pt>
                <c:pt idx="992">
                  <c:v>-12.556471625032492</c:v>
                </c:pt>
                <c:pt idx="993">
                  <c:v>-12.568015319768103</c:v>
                </c:pt>
                <c:pt idx="994">
                  <c:v>-12.579559013783912</c:v>
                </c:pt>
                <c:pt idx="995">
                  <c:v>-12.591102707079823</c:v>
                </c:pt>
                <c:pt idx="996">
                  <c:v>-12.602646399655733</c:v>
                </c:pt>
                <c:pt idx="997">
                  <c:v>-12.614190091511542</c:v>
                </c:pt>
                <c:pt idx="998">
                  <c:v>-12.625733782647149</c:v>
                </c:pt>
                <c:pt idx="999">
                  <c:v>-12.637277473062456</c:v>
                </c:pt>
                <c:pt idx="1000">
                  <c:v>-12.648821162757361</c:v>
                </c:pt>
              </c:numCache>
            </c:numRef>
          </c:yVal>
          <c:smooth val="1"/>
          <c:extLst>
            <c:ext xmlns:c16="http://schemas.microsoft.com/office/drawing/2014/chart" uri="{C3380CC4-5D6E-409C-BE32-E72D297353CC}">
              <c16:uniqueId val="{00000002-4C7F-469F-ADED-1B0B28F452E1}"/>
            </c:ext>
          </c:extLst>
        </c:ser>
        <c:ser>
          <c:idx val="2"/>
          <c:order val="3"/>
          <c:tx>
            <c:strRef>
              <c:f>Trajecto!$B$109</c:f>
              <c:strCache>
                <c:ptCount val="1"/>
                <c:pt idx="0">
                  <c:v>Fusée sous parachute</c:v>
                </c:pt>
              </c:strCache>
            </c:strRef>
          </c:tx>
          <c:spPr>
            <a:ln w="25400">
              <a:solidFill>
                <a:srgbClr val="008000"/>
              </a:solidFill>
              <a:prstDash val="solid"/>
            </a:ln>
          </c:spPr>
          <c:marker>
            <c:symbol val="none"/>
          </c:marker>
          <c:dLbls>
            <c:dLbl>
              <c:idx val="1"/>
              <c:spPr>
                <a:noFill/>
                <a:ln w="25400">
                  <a:noFill/>
                </a:ln>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Trajecto!$B$132:$B$138</c:f>
              <c:numCache>
                <c:formatCode>0.0</c:formatCode>
                <c:ptCount val="7"/>
                <c:pt idx="0">
                  <c:v>16.399999999999999</c:v>
                </c:pt>
                <c:pt idx="1">
                  <c:v>101.16583323813433</c:v>
                </c:pt>
                <c:pt idx="2">
                  <c:v>185.93166647626865</c:v>
                </c:pt>
                <c:pt idx="3">
                  <c:v>184.09505831417451</c:v>
                </c:pt>
                <c:pt idx="4">
                  <c:v>185.93166647626865</c:v>
                </c:pt>
                <c:pt idx="5">
                  <c:v>179.63505831417447</c:v>
                </c:pt>
                <c:pt idx="6">
                  <c:v>185.93166647626865</c:v>
                </c:pt>
              </c:numCache>
            </c:numRef>
          </c:xVal>
          <c:yVal>
            <c:numRef>
              <c:f>Trajecto!$C$132:$C$138</c:f>
              <c:numCache>
                <c:formatCode>0</c:formatCode>
                <c:ptCount val="7"/>
                <c:pt idx="0">
                  <c:v>2206.7119513863536</c:v>
                </c:pt>
                <c:pt idx="1">
                  <c:v>1103.3559756931768</c:v>
                </c:pt>
                <c:pt idx="2">
                  <c:v>0</c:v>
                </c:pt>
                <c:pt idx="3">
                  <c:v>77.428996209818806</c:v>
                </c:pt>
                <c:pt idx="4">
                  <c:v>0</c:v>
                </c:pt>
                <c:pt idx="5">
                  <c:v>28.936982892797236</c:v>
                </c:pt>
                <c:pt idx="6">
                  <c:v>0</c:v>
                </c:pt>
              </c:numCache>
            </c:numRef>
          </c:yVal>
          <c:smooth val="0"/>
          <c:extLst>
            <c:ext xmlns:c16="http://schemas.microsoft.com/office/drawing/2014/chart" uri="{C3380CC4-5D6E-409C-BE32-E72D297353CC}">
              <c16:uniqueId val="{00000004-4C7F-469F-ADED-1B0B28F452E1}"/>
            </c:ext>
          </c:extLst>
        </c:ser>
        <c:ser>
          <c:idx val="3"/>
          <c:order val="4"/>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Trajecto!$B$149:$B$155</c:f>
              <c:numCache>
                <c:formatCode>0.0</c:formatCode>
                <c:ptCount val="7"/>
                <c:pt idx="0">
                  <c:v>0</c:v>
                </c:pt>
                <c:pt idx="1">
                  <c:v>0</c:v>
                </c:pt>
                <c:pt idx="2">
                  <c:v>0</c:v>
                </c:pt>
                <c:pt idx="3">
                  <c:v>0</c:v>
                </c:pt>
                <c:pt idx="4">
                  <c:v>0</c:v>
                </c:pt>
                <c:pt idx="5">
                  <c:v>0</c:v>
                </c:pt>
                <c:pt idx="6">
                  <c:v>0</c:v>
                </c:pt>
              </c:numCache>
            </c:numRef>
          </c:xVal>
          <c:yVal>
            <c:numRef>
              <c:f>Trajecto!$C$149:$C$155</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6-4C7F-469F-ADED-1B0B28F452E1}"/>
            </c:ext>
          </c:extLst>
        </c:ser>
        <c:ser>
          <c:idx val="5"/>
          <c:order val="5"/>
          <c:tx>
            <c:strRef>
              <c:f>Trajecto!$B$107</c:f>
              <c:strCache>
                <c:ptCount val="1"/>
                <c:pt idx="0">
                  <c:v>Phase ascendante</c:v>
                </c:pt>
              </c:strCache>
            </c:strRef>
          </c:tx>
          <c:spPr>
            <a:ln w="25400">
              <a:solidFill>
                <a:srgbClr val="00008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34.800000000000182</c:v>
                </c:pt>
                <c:pt idx="709">
                  <c:v>34.900000000000183</c:v>
                </c:pt>
                <c:pt idx="710">
                  <c:v>35.000000000000185</c:v>
                </c:pt>
                <c:pt idx="711">
                  <c:v>35.100000000000186</c:v>
                </c:pt>
                <c:pt idx="712">
                  <c:v>35.200000000000188</c:v>
                </c:pt>
                <c:pt idx="713">
                  <c:v>35.300000000000189</c:v>
                </c:pt>
                <c:pt idx="714">
                  <c:v>35.40000000000019</c:v>
                </c:pt>
                <c:pt idx="715">
                  <c:v>35.500000000000192</c:v>
                </c:pt>
                <c:pt idx="716">
                  <c:v>35.600000000000193</c:v>
                </c:pt>
                <c:pt idx="717">
                  <c:v>35.700000000000195</c:v>
                </c:pt>
                <c:pt idx="718">
                  <c:v>35.800000000000196</c:v>
                </c:pt>
                <c:pt idx="719">
                  <c:v>35.900000000000198</c:v>
                </c:pt>
                <c:pt idx="720">
                  <c:v>36.000000000000199</c:v>
                </c:pt>
                <c:pt idx="721">
                  <c:v>36.1000000000002</c:v>
                </c:pt>
                <c:pt idx="722">
                  <c:v>36.200000000000202</c:v>
                </c:pt>
                <c:pt idx="723">
                  <c:v>36.300000000000203</c:v>
                </c:pt>
                <c:pt idx="724">
                  <c:v>36.400000000000205</c:v>
                </c:pt>
                <c:pt idx="725">
                  <c:v>36.500000000000206</c:v>
                </c:pt>
                <c:pt idx="726">
                  <c:v>36.600000000000207</c:v>
                </c:pt>
                <c:pt idx="727">
                  <c:v>36.700000000000209</c:v>
                </c:pt>
                <c:pt idx="728">
                  <c:v>36.80000000000021</c:v>
                </c:pt>
                <c:pt idx="729">
                  <c:v>36.900000000000212</c:v>
                </c:pt>
                <c:pt idx="730">
                  <c:v>37.000000000000213</c:v>
                </c:pt>
                <c:pt idx="731">
                  <c:v>37.100000000000215</c:v>
                </c:pt>
                <c:pt idx="732">
                  <c:v>37.200000000000216</c:v>
                </c:pt>
                <c:pt idx="733">
                  <c:v>37.300000000000217</c:v>
                </c:pt>
                <c:pt idx="734">
                  <c:v>37.400000000000219</c:v>
                </c:pt>
                <c:pt idx="735">
                  <c:v>37.50000000000022</c:v>
                </c:pt>
                <c:pt idx="736">
                  <c:v>37.600000000000222</c:v>
                </c:pt>
                <c:pt idx="737">
                  <c:v>37.700000000000223</c:v>
                </c:pt>
                <c:pt idx="738">
                  <c:v>37.800000000000225</c:v>
                </c:pt>
                <c:pt idx="739">
                  <c:v>37.900000000000226</c:v>
                </c:pt>
                <c:pt idx="740">
                  <c:v>38.000000000000227</c:v>
                </c:pt>
                <c:pt idx="741">
                  <c:v>38.100000000000229</c:v>
                </c:pt>
                <c:pt idx="742">
                  <c:v>38.20000000000023</c:v>
                </c:pt>
                <c:pt idx="743">
                  <c:v>38.300000000000232</c:v>
                </c:pt>
                <c:pt idx="744">
                  <c:v>38.400000000000233</c:v>
                </c:pt>
                <c:pt idx="745">
                  <c:v>38.500000000000234</c:v>
                </c:pt>
                <c:pt idx="746">
                  <c:v>38.600000000000236</c:v>
                </c:pt>
                <c:pt idx="747">
                  <c:v>38.700000000000237</c:v>
                </c:pt>
                <c:pt idx="748">
                  <c:v>38.800000000000239</c:v>
                </c:pt>
                <c:pt idx="749">
                  <c:v>38.90000000000024</c:v>
                </c:pt>
                <c:pt idx="750">
                  <c:v>39.000000000000242</c:v>
                </c:pt>
                <c:pt idx="751">
                  <c:v>39.100000000000243</c:v>
                </c:pt>
                <c:pt idx="752">
                  <c:v>39.200000000000244</c:v>
                </c:pt>
                <c:pt idx="753">
                  <c:v>39.300000000000246</c:v>
                </c:pt>
                <c:pt idx="754">
                  <c:v>39.400000000000247</c:v>
                </c:pt>
                <c:pt idx="755">
                  <c:v>39.500000000000249</c:v>
                </c:pt>
                <c:pt idx="756">
                  <c:v>39.60000000000025</c:v>
                </c:pt>
                <c:pt idx="757">
                  <c:v>39.700000000000252</c:v>
                </c:pt>
                <c:pt idx="758">
                  <c:v>39.800000000000253</c:v>
                </c:pt>
                <c:pt idx="759">
                  <c:v>39.900000000000254</c:v>
                </c:pt>
                <c:pt idx="760">
                  <c:v>40.000000000000256</c:v>
                </c:pt>
                <c:pt idx="761">
                  <c:v>40.100000000000257</c:v>
                </c:pt>
                <c:pt idx="762">
                  <c:v>40.200000000000259</c:v>
                </c:pt>
                <c:pt idx="763">
                  <c:v>40.30000000000026</c:v>
                </c:pt>
                <c:pt idx="764">
                  <c:v>40.400000000000261</c:v>
                </c:pt>
                <c:pt idx="765">
                  <c:v>40.500000000000263</c:v>
                </c:pt>
                <c:pt idx="766">
                  <c:v>40.600000000000264</c:v>
                </c:pt>
                <c:pt idx="767">
                  <c:v>40.700000000000266</c:v>
                </c:pt>
                <c:pt idx="768">
                  <c:v>40.800000000000267</c:v>
                </c:pt>
                <c:pt idx="769">
                  <c:v>40.900000000000269</c:v>
                </c:pt>
                <c:pt idx="770">
                  <c:v>41.00000000000027</c:v>
                </c:pt>
                <c:pt idx="771">
                  <c:v>41.100000000000271</c:v>
                </c:pt>
                <c:pt idx="772">
                  <c:v>41.200000000000273</c:v>
                </c:pt>
                <c:pt idx="773">
                  <c:v>41.300000000000274</c:v>
                </c:pt>
                <c:pt idx="774">
                  <c:v>41.400000000000276</c:v>
                </c:pt>
                <c:pt idx="775">
                  <c:v>41.500000000000277</c:v>
                </c:pt>
                <c:pt idx="776">
                  <c:v>41.600000000000279</c:v>
                </c:pt>
                <c:pt idx="777">
                  <c:v>41.70000000000028</c:v>
                </c:pt>
                <c:pt idx="778">
                  <c:v>41.800000000000281</c:v>
                </c:pt>
                <c:pt idx="779">
                  <c:v>41.900000000000283</c:v>
                </c:pt>
                <c:pt idx="780">
                  <c:v>42.000000000000284</c:v>
                </c:pt>
                <c:pt idx="781">
                  <c:v>42.100000000000286</c:v>
                </c:pt>
                <c:pt idx="782">
                  <c:v>42.200000000000287</c:v>
                </c:pt>
                <c:pt idx="783">
                  <c:v>42.300000000000288</c:v>
                </c:pt>
                <c:pt idx="784">
                  <c:v>42.40000000000029</c:v>
                </c:pt>
                <c:pt idx="785">
                  <c:v>42.500000000000291</c:v>
                </c:pt>
                <c:pt idx="786">
                  <c:v>42.600000000000293</c:v>
                </c:pt>
                <c:pt idx="787">
                  <c:v>42.700000000000294</c:v>
                </c:pt>
                <c:pt idx="788">
                  <c:v>42.800000000000296</c:v>
                </c:pt>
                <c:pt idx="789">
                  <c:v>42.900000000000297</c:v>
                </c:pt>
                <c:pt idx="790">
                  <c:v>43.000000000000298</c:v>
                </c:pt>
                <c:pt idx="791">
                  <c:v>43.1000000000003</c:v>
                </c:pt>
                <c:pt idx="792">
                  <c:v>43.200000000000301</c:v>
                </c:pt>
                <c:pt idx="793">
                  <c:v>43.300000000000303</c:v>
                </c:pt>
                <c:pt idx="794">
                  <c:v>43.400000000000304</c:v>
                </c:pt>
                <c:pt idx="795">
                  <c:v>43.500000000000306</c:v>
                </c:pt>
                <c:pt idx="796">
                  <c:v>43.600000000000307</c:v>
                </c:pt>
                <c:pt idx="797">
                  <c:v>43.700000000000308</c:v>
                </c:pt>
                <c:pt idx="798">
                  <c:v>43.80000000000031</c:v>
                </c:pt>
                <c:pt idx="799">
                  <c:v>43.900000000000311</c:v>
                </c:pt>
                <c:pt idx="800">
                  <c:v>44.000000000000313</c:v>
                </c:pt>
                <c:pt idx="801">
                  <c:v>44.100000000000314</c:v>
                </c:pt>
                <c:pt idx="802">
                  <c:v>44.200000000000315</c:v>
                </c:pt>
                <c:pt idx="803">
                  <c:v>44.300000000000317</c:v>
                </c:pt>
                <c:pt idx="804">
                  <c:v>44.400000000000318</c:v>
                </c:pt>
                <c:pt idx="805">
                  <c:v>44.50000000000032</c:v>
                </c:pt>
                <c:pt idx="806">
                  <c:v>44.600000000000321</c:v>
                </c:pt>
                <c:pt idx="807">
                  <c:v>44.600100000000324</c:v>
                </c:pt>
                <c:pt idx="808">
                  <c:v>44.600200000000328</c:v>
                </c:pt>
                <c:pt idx="809">
                  <c:v>44.600300000000331</c:v>
                </c:pt>
                <c:pt idx="810">
                  <c:v>44.600400000000334</c:v>
                </c:pt>
                <c:pt idx="811">
                  <c:v>44.600500000000338</c:v>
                </c:pt>
                <c:pt idx="812">
                  <c:v>44.600600000000341</c:v>
                </c:pt>
                <c:pt idx="813">
                  <c:v>44.600700000000344</c:v>
                </c:pt>
                <c:pt idx="814">
                  <c:v>44.600800000000348</c:v>
                </c:pt>
                <c:pt idx="815">
                  <c:v>44.600900000000351</c:v>
                </c:pt>
                <c:pt idx="816">
                  <c:v>44.601000000000354</c:v>
                </c:pt>
                <c:pt idx="817">
                  <c:v>44.601100000000358</c:v>
                </c:pt>
                <c:pt idx="818">
                  <c:v>44.601200000000361</c:v>
                </c:pt>
                <c:pt idx="819">
                  <c:v>44.601300000000364</c:v>
                </c:pt>
                <c:pt idx="820">
                  <c:v>44.601400000000368</c:v>
                </c:pt>
                <c:pt idx="821">
                  <c:v>44.601500000000371</c:v>
                </c:pt>
                <c:pt idx="822">
                  <c:v>44.601600000000374</c:v>
                </c:pt>
                <c:pt idx="823">
                  <c:v>44.601700000000378</c:v>
                </c:pt>
                <c:pt idx="824">
                  <c:v>44.601800000000381</c:v>
                </c:pt>
                <c:pt idx="825">
                  <c:v>44.601900000000384</c:v>
                </c:pt>
                <c:pt idx="826">
                  <c:v>44.602000000000388</c:v>
                </c:pt>
                <c:pt idx="827">
                  <c:v>44.602100000000391</c:v>
                </c:pt>
                <c:pt idx="828">
                  <c:v>44.602200000000394</c:v>
                </c:pt>
                <c:pt idx="829">
                  <c:v>44.602300000000398</c:v>
                </c:pt>
                <c:pt idx="830">
                  <c:v>44.602400000000401</c:v>
                </c:pt>
                <c:pt idx="831">
                  <c:v>44.602500000000404</c:v>
                </c:pt>
                <c:pt idx="832">
                  <c:v>44.602600000000407</c:v>
                </c:pt>
                <c:pt idx="833">
                  <c:v>44.602700000000411</c:v>
                </c:pt>
                <c:pt idx="834">
                  <c:v>44.602800000000414</c:v>
                </c:pt>
                <c:pt idx="835">
                  <c:v>44.602900000000417</c:v>
                </c:pt>
                <c:pt idx="836">
                  <c:v>44.603000000000421</c:v>
                </c:pt>
                <c:pt idx="837">
                  <c:v>44.603100000000424</c:v>
                </c:pt>
                <c:pt idx="838">
                  <c:v>44.603200000000427</c:v>
                </c:pt>
                <c:pt idx="839">
                  <c:v>44.603300000000431</c:v>
                </c:pt>
                <c:pt idx="840">
                  <c:v>44.603400000000434</c:v>
                </c:pt>
                <c:pt idx="841">
                  <c:v>44.603500000000437</c:v>
                </c:pt>
                <c:pt idx="842">
                  <c:v>44.603600000000441</c:v>
                </c:pt>
                <c:pt idx="843">
                  <c:v>44.603700000000444</c:v>
                </c:pt>
                <c:pt idx="844">
                  <c:v>44.603800000000447</c:v>
                </c:pt>
                <c:pt idx="845">
                  <c:v>44.603900000000451</c:v>
                </c:pt>
                <c:pt idx="846">
                  <c:v>44.604000000000454</c:v>
                </c:pt>
                <c:pt idx="847">
                  <c:v>44.604100000000457</c:v>
                </c:pt>
                <c:pt idx="848">
                  <c:v>44.604200000000461</c:v>
                </c:pt>
                <c:pt idx="849">
                  <c:v>44.604300000000464</c:v>
                </c:pt>
                <c:pt idx="850">
                  <c:v>44.604400000000467</c:v>
                </c:pt>
                <c:pt idx="851">
                  <c:v>44.604500000000471</c:v>
                </c:pt>
                <c:pt idx="852">
                  <c:v>44.604600000000474</c:v>
                </c:pt>
                <c:pt idx="853">
                  <c:v>44.604700000000477</c:v>
                </c:pt>
                <c:pt idx="854">
                  <c:v>44.604800000000481</c:v>
                </c:pt>
                <c:pt idx="855">
                  <c:v>44.604900000000484</c:v>
                </c:pt>
                <c:pt idx="856">
                  <c:v>44.605000000000487</c:v>
                </c:pt>
                <c:pt idx="857">
                  <c:v>44.60510000000049</c:v>
                </c:pt>
                <c:pt idx="858">
                  <c:v>44.605200000000494</c:v>
                </c:pt>
                <c:pt idx="859">
                  <c:v>44.605300000000497</c:v>
                </c:pt>
                <c:pt idx="860">
                  <c:v>44.6054000000005</c:v>
                </c:pt>
                <c:pt idx="861">
                  <c:v>44.605500000000504</c:v>
                </c:pt>
                <c:pt idx="862">
                  <c:v>44.605600000000507</c:v>
                </c:pt>
                <c:pt idx="863">
                  <c:v>44.60570000000051</c:v>
                </c:pt>
                <c:pt idx="864">
                  <c:v>44.605800000000514</c:v>
                </c:pt>
                <c:pt idx="865">
                  <c:v>44.605900000000517</c:v>
                </c:pt>
                <c:pt idx="866">
                  <c:v>44.60600000000052</c:v>
                </c:pt>
                <c:pt idx="867">
                  <c:v>44.606100000000524</c:v>
                </c:pt>
                <c:pt idx="868">
                  <c:v>44.606200000000527</c:v>
                </c:pt>
                <c:pt idx="869">
                  <c:v>44.60630000000053</c:v>
                </c:pt>
                <c:pt idx="870">
                  <c:v>44.606400000000534</c:v>
                </c:pt>
                <c:pt idx="871">
                  <c:v>44.606500000000537</c:v>
                </c:pt>
                <c:pt idx="872">
                  <c:v>44.60660000000054</c:v>
                </c:pt>
                <c:pt idx="873">
                  <c:v>44.606700000000544</c:v>
                </c:pt>
                <c:pt idx="874">
                  <c:v>44.606800000000547</c:v>
                </c:pt>
                <c:pt idx="875">
                  <c:v>44.60690000000055</c:v>
                </c:pt>
                <c:pt idx="876">
                  <c:v>44.607000000000554</c:v>
                </c:pt>
                <c:pt idx="877">
                  <c:v>44.607100000000557</c:v>
                </c:pt>
                <c:pt idx="878">
                  <c:v>44.60720000000056</c:v>
                </c:pt>
                <c:pt idx="879">
                  <c:v>44.607300000000564</c:v>
                </c:pt>
                <c:pt idx="880">
                  <c:v>44.607400000000567</c:v>
                </c:pt>
                <c:pt idx="881">
                  <c:v>44.60750000000057</c:v>
                </c:pt>
                <c:pt idx="882">
                  <c:v>44.607600000000573</c:v>
                </c:pt>
                <c:pt idx="883">
                  <c:v>44.607700000000577</c:v>
                </c:pt>
                <c:pt idx="884">
                  <c:v>44.60780000000058</c:v>
                </c:pt>
                <c:pt idx="885">
                  <c:v>44.607900000000583</c:v>
                </c:pt>
                <c:pt idx="886">
                  <c:v>44.608000000000587</c:v>
                </c:pt>
                <c:pt idx="887">
                  <c:v>44.60810000000059</c:v>
                </c:pt>
                <c:pt idx="888">
                  <c:v>44.608200000000593</c:v>
                </c:pt>
                <c:pt idx="889">
                  <c:v>44.608300000000597</c:v>
                </c:pt>
                <c:pt idx="890">
                  <c:v>44.6084000000006</c:v>
                </c:pt>
                <c:pt idx="891">
                  <c:v>44.608500000000603</c:v>
                </c:pt>
                <c:pt idx="892">
                  <c:v>44.608600000000607</c:v>
                </c:pt>
                <c:pt idx="893">
                  <c:v>44.60870000000061</c:v>
                </c:pt>
                <c:pt idx="894">
                  <c:v>44.608800000000613</c:v>
                </c:pt>
                <c:pt idx="895">
                  <c:v>44.608900000000617</c:v>
                </c:pt>
                <c:pt idx="896">
                  <c:v>44.60900000000062</c:v>
                </c:pt>
                <c:pt idx="897">
                  <c:v>44.609100000000623</c:v>
                </c:pt>
                <c:pt idx="898">
                  <c:v>44.609200000000627</c:v>
                </c:pt>
                <c:pt idx="899">
                  <c:v>44.60930000000063</c:v>
                </c:pt>
                <c:pt idx="900">
                  <c:v>44.609400000000633</c:v>
                </c:pt>
                <c:pt idx="901">
                  <c:v>44.609500000000637</c:v>
                </c:pt>
                <c:pt idx="902">
                  <c:v>44.60960000000064</c:v>
                </c:pt>
                <c:pt idx="903">
                  <c:v>44.609700000000643</c:v>
                </c:pt>
                <c:pt idx="904">
                  <c:v>44.609800000000646</c:v>
                </c:pt>
                <c:pt idx="905">
                  <c:v>44.60990000000065</c:v>
                </c:pt>
                <c:pt idx="906">
                  <c:v>44.610000000000653</c:v>
                </c:pt>
                <c:pt idx="907">
                  <c:v>44.610100000000656</c:v>
                </c:pt>
                <c:pt idx="908">
                  <c:v>44.61020000000066</c:v>
                </c:pt>
                <c:pt idx="909">
                  <c:v>44.610300000000663</c:v>
                </c:pt>
                <c:pt idx="910">
                  <c:v>44.610400000000666</c:v>
                </c:pt>
                <c:pt idx="911">
                  <c:v>44.61050000000067</c:v>
                </c:pt>
                <c:pt idx="912">
                  <c:v>44.610600000000673</c:v>
                </c:pt>
                <c:pt idx="913">
                  <c:v>44.610700000000676</c:v>
                </c:pt>
                <c:pt idx="914">
                  <c:v>44.61080000000068</c:v>
                </c:pt>
                <c:pt idx="915">
                  <c:v>44.610900000000683</c:v>
                </c:pt>
                <c:pt idx="916">
                  <c:v>44.611000000000686</c:v>
                </c:pt>
                <c:pt idx="917">
                  <c:v>44.61110000000069</c:v>
                </c:pt>
                <c:pt idx="918">
                  <c:v>44.611200000000693</c:v>
                </c:pt>
                <c:pt idx="919">
                  <c:v>44.611300000000696</c:v>
                </c:pt>
                <c:pt idx="920">
                  <c:v>44.6114000000007</c:v>
                </c:pt>
                <c:pt idx="921">
                  <c:v>44.611500000000703</c:v>
                </c:pt>
                <c:pt idx="922">
                  <c:v>44.611600000000706</c:v>
                </c:pt>
                <c:pt idx="923">
                  <c:v>44.61170000000071</c:v>
                </c:pt>
                <c:pt idx="924">
                  <c:v>44.611800000000713</c:v>
                </c:pt>
                <c:pt idx="925">
                  <c:v>44.611900000000716</c:v>
                </c:pt>
                <c:pt idx="926">
                  <c:v>44.61200000000072</c:v>
                </c:pt>
                <c:pt idx="927">
                  <c:v>44.612100000000723</c:v>
                </c:pt>
                <c:pt idx="928">
                  <c:v>44.612200000000726</c:v>
                </c:pt>
                <c:pt idx="929">
                  <c:v>44.612300000000729</c:v>
                </c:pt>
                <c:pt idx="930">
                  <c:v>44.612400000000733</c:v>
                </c:pt>
                <c:pt idx="931">
                  <c:v>44.612500000000736</c:v>
                </c:pt>
                <c:pt idx="932">
                  <c:v>44.612600000000739</c:v>
                </c:pt>
                <c:pt idx="933">
                  <c:v>44.612700000000743</c:v>
                </c:pt>
                <c:pt idx="934">
                  <c:v>44.612800000000746</c:v>
                </c:pt>
                <c:pt idx="935">
                  <c:v>44.612900000000749</c:v>
                </c:pt>
                <c:pt idx="936">
                  <c:v>44.613000000000753</c:v>
                </c:pt>
                <c:pt idx="937">
                  <c:v>44.613100000000756</c:v>
                </c:pt>
                <c:pt idx="938">
                  <c:v>44.613200000000759</c:v>
                </c:pt>
                <c:pt idx="939">
                  <c:v>44.613300000000763</c:v>
                </c:pt>
                <c:pt idx="940">
                  <c:v>44.613400000000766</c:v>
                </c:pt>
                <c:pt idx="941">
                  <c:v>44.613500000000769</c:v>
                </c:pt>
                <c:pt idx="942">
                  <c:v>44.613600000000773</c:v>
                </c:pt>
                <c:pt idx="943">
                  <c:v>44.613700000000776</c:v>
                </c:pt>
                <c:pt idx="944">
                  <c:v>44.613800000000779</c:v>
                </c:pt>
                <c:pt idx="945">
                  <c:v>44.613900000000783</c:v>
                </c:pt>
                <c:pt idx="946">
                  <c:v>44.614000000000786</c:v>
                </c:pt>
                <c:pt idx="947">
                  <c:v>44.614100000000789</c:v>
                </c:pt>
                <c:pt idx="948">
                  <c:v>44.614200000000793</c:v>
                </c:pt>
                <c:pt idx="949">
                  <c:v>44.614300000000796</c:v>
                </c:pt>
                <c:pt idx="950">
                  <c:v>44.614400000000799</c:v>
                </c:pt>
                <c:pt idx="951">
                  <c:v>44.614500000000803</c:v>
                </c:pt>
                <c:pt idx="952">
                  <c:v>44.614600000000806</c:v>
                </c:pt>
                <c:pt idx="953">
                  <c:v>44.614700000000809</c:v>
                </c:pt>
                <c:pt idx="954">
                  <c:v>44.614800000000812</c:v>
                </c:pt>
                <c:pt idx="955">
                  <c:v>44.614900000000816</c:v>
                </c:pt>
                <c:pt idx="956">
                  <c:v>44.615000000000819</c:v>
                </c:pt>
                <c:pt idx="957">
                  <c:v>44.615100000000822</c:v>
                </c:pt>
                <c:pt idx="958">
                  <c:v>44.615200000000826</c:v>
                </c:pt>
                <c:pt idx="959">
                  <c:v>44.615300000000829</c:v>
                </c:pt>
                <c:pt idx="960">
                  <c:v>44.615400000000832</c:v>
                </c:pt>
                <c:pt idx="961">
                  <c:v>44.615500000000836</c:v>
                </c:pt>
                <c:pt idx="962">
                  <c:v>44.615600000000839</c:v>
                </c:pt>
                <c:pt idx="963">
                  <c:v>44.615700000000842</c:v>
                </c:pt>
                <c:pt idx="964">
                  <c:v>44.615800000000846</c:v>
                </c:pt>
                <c:pt idx="965">
                  <c:v>44.615900000000849</c:v>
                </c:pt>
                <c:pt idx="966">
                  <c:v>44.616000000000852</c:v>
                </c:pt>
                <c:pt idx="967">
                  <c:v>44.616100000000856</c:v>
                </c:pt>
                <c:pt idx="968">
                  <c:v>44.616200000000859</c:v>
                </c:pt>
                <c:pt idx="969">
                  <c:v>44.616300000000862</c:v>
                </c:pt>
                <c:pt idx="970">
                  <c:v>44.616400000000866</c:v>
                </c:pt>
                <c:pt idx="971">
                  <c:v>44.616500000000869</c:v>
                </c:pt>
                <c:pt idx="972">
                  <c:v>44.616600000000872</c:v>
                </c:pt>
                <c:pt idx="973">
                  <c:v>44.616700000000876</c:v>
                </c:pt>
                <c:pt idx="974">
                  <c:v>44.616800000000879</c:v>
                </c:pt>
                <c:pt idx="975">
                  <c:v>44.616900000000882</c:v>
                </c:pt>
                <c:pt idx="976">
                  <c:v>44.617000000000886</c:v>
                </c:pt>
                <c:pt idx="977">
                  <c:v>44.617100000000889</c:v>
                </c:pt>
                <c:pt idx="978">
                  <c:v>44.617200000000892</c:v>
                </c:pt>
                <c:pt idx="979">
                  <c:v>44.617300000000895</c:v>
                </c:pt>
                <c:pt idx="980">
                  <c:v>44.617400000000899</c:v>
                </c:pt>
                <c:pt idx="981">
                  <c:v>44.617500000000902</c:v>
                </c:pt>
                <c:pt idx="982">
                  <c:v>44.617600000000905</c:v>
                </c:pt>
                <c:pt idx="983">
                  <c:v>44.617700000000909</c:v>
                </c:pt>
                <c:pt idx="984">
                  <c:v>44.617800000000912</c:v>
                </c:pt>
                <c:pt idx="985">
                  <c:v>44.617900000000915</c:v>
                </c:pt>
                <c:pt idx="986">
                  <c:v>44.618000000000919</c:v>
                </c:pt>
                <c:pt idx="987">
                  <c:v>44.618100000000922</c:v>
                </c:pt>
                <c:pt idx="988">
                  <c:v>44.618200000000925</c:v>
                </c:pt>
                <c:pt idx="989">
                  <c:v>44.618300000000929</c:v>
                </c:pt>
                <c:pt idx="990">
                  <c:v>44.618400000000932</c:v>
                </c:pt>
                <c:pt idx="991">
                  <c:v>44.618500000000935</c:v>
                </c:pt>
                <c:pt idx="992">
                  <c:v>44.618600000000939</c:v>
                </c:pt>
                <c:pt idx="993">
                  <c:v>44.618700000000942</c:v>
                </c:pt>
                <c:pt idx="994">
                  <c:v>44.618800000000945</c:v>
                </c:pt>
                <c:pt idx="995">
                  <c:v>44.618900000000949</c:v>
                </c:pt>
                <c:pt idx="996">
                  <c:v>44.619000000000952</c:v>
                </c:pt>
                <c:pt idx="997">
                  <c:v>44.619100000000955</c:v>
                </c:pt>
                <c:pt idx="998">
                  <c:v>44.619200000000959</c:v>
                </c:pt>
                <c:pt idx="999">
                  <c:v>44.619300000000962</c:v>
                </c:pt>
                <c:pt idx="1000">
                  <c:v>44.619400000000965</c:v>
                </c:pt>
              </c:numCache>
            </c:numRef>
          </c:xVal>
          <c:yVal>
            <c:numRef>
              <c:f>Calculs!$AE$4:$AE$1004</c:f>
              <c:numCache>
                <c:formatCode>0</c:formatCode>
                <c:ptCount val="1001"/>
                <c:pt idx="0">
                  <c:v>0</c:v>
                </c:pt>
                <c:pt idx="1">
                  <c:v>0.9847482099156567</c:v>
                </c:pt>
                <c:pt idx="2">
                  <c:v>1.9708158743514637</c:v>
                </c:pt>
                <c:pt idx="3">
                  <c:v>2.961079418210022</c:v>
                </c:pt>
                <c:pt idx="4">
                  <c:v>3.9584145720889357</c:v>
                </c:pt>
                <c:pt idx="5">
                  <c:v>4.9656827944024275</c:v>
                </c:pt>
                <c:pt idx="6">
                  <c:v>5.9850171664031286</c:v>
                </c:pt>
                <c:pt idx="7">
                  <c:v>7.0171068046332365</c:v>
                </c:pt>
                <c:pt idx="8">
                  <c:v>8.0619108910433823</c:v>
                </c:pt>
                <c:pt idx="9">
                  <c:v>9.1193883832660259</c:v>
                </c:pt>
                <c:pt idx="10">
                  <c:v>10.189498016550278</c:v>
                </c:pt>
                <c:pt idx="11">
                  <c:v>11.272198305715337</c:v>
                </c:pt>
                <c:pt idx="12">
                  <c:v>12.367447547121964</c:v>
                </c:pt>
                <c:pt idx="13">
                  <c:v>13.47520382066147</c:v>
                </c:pt>
                <c:pt idx="14">
                  <c:v>14.595424991761659</c:v>
                </c:pt>
                <c:pt idx="15">
                  <c:v>15.728068713409225</c:v>
                </c:pt>
                <c:pt idx="16">
                  <c:v>16.87309242818808</c:v>
                </c:pt>
                <c:pt idx="17">
                  <c:v>18.030453370333099</c:v>
                </c:pt>
                <c:pt idx="18">
                  <c:v>19.200108567798825</c:v>
                </c:pt>
                <c:pt idx="19">
                  <c:v>20.382014844342606</c:v>
                </c:pt>
                <c:pt idx="20">
                  <c:v>21.576128821621708</c:v>
                </c:pt>
                <c:pt idx="21">
                  <c:v>22.782406921303945</c:v>
                </c:pt>
                <c:pt idx="22">
                  <c:v>24.000805367191326</c:v>
                </c:pt>
                <c:pt idx="23">
                  <c:v>25.231280187356312</c:v>
                </c:pt>
                <c:pt idx="24">
                  <c:v>26.47378721629018</c:v>
                </c:pt>
                <c:pt idx="25">
                  <c:v>27.728282097063097</c:v>
                </c:pt>
                <c:pt idx="26">
                  <c:v>28.994720283495429</c:v>
                </c:pt>
                <c:pt idx="27">
                  <c:v>30.273057042339872</c:v>
                </c:pt>
                <c:pt idx="28">
                  <c:v>31.563247455473959</c:v>
                </c:pt>
                <c:pt idx="29">
                  <c:v>32.865246422102544</c:v>
                </c:pt>
                <c:pt idx="30">
                  <c:v>34.179008660969799</c:v>
                </c:pt>
                <c:pt idx="31">
                  <c:v>35.504488712580383</c:v>
                </c:pt>
                <c:pt idx="32">
                  <c:v>36.841640941429247</c:v>
                </c:pt>
                <c:pt idx="33">
                  <c:v>38.190419538239851</c:v>
                </c:pt>
                <c:pt idx="34">
                  <c:v>39.550778522210173</c:v>
                </c:pt>
                <c:pt idx="35">
                  <c:v>40.922671743266299</c:v>
                </c:pt>
                <c:pt idx="36">
                  <c:v>42.30605288432308</c:v>
                </c:pt>
                <c:pt idx="37">
                  <c:v>43.700875463551519</c:v>
                </c:pt>
                <c:pt idx="38">
                  <c:v>45.107092836652477</c:v>
                </c:pt>
                <c:pt idx="39">
                  <c:v>46.524658199136297</c:v>
                </c:pt>
                <c:pt idx="40">
                  <c:v>47.953524588608033</c:v>
                </c:pt>
                <c:pt idx="41">
                  <c:v>49.393644887057789</c:v>
                </c:pt>
                <c:pt idx="42">
                  <c:v>50.844971823155916</c:v>
                </c:pt>
                <c:pt idx="43">
                  <c:v>52.307457974552605</c:v>
                </c:pt>
                <c:pt idx="44">
                  <c:v>53.781055770181545</c:v>
                </c:pt>
                <c:pt idx="45">
                  <c:v>55.265717492567255</c:v>
                </c:pt>
                <c:pt idx="46">
                  <c:v>56.761395280135787</c:v>
                </c:pt>
                <c:pt idx="47">
                  <c:v>58.268041129528342</c:v>
                </c:pt>
                <c:pt idx="48">
                  <c:v>59.785606897917532</c:v>
                </c:pt>
                <c:pt idx="49">
                  <c:v>61.314044305325886</c:v>
                </c:pt>
                <c:pt idx="50">
                  <c:v>62.853304936946252</c:v>
                </c:pt>
                <c:pt idx="51">
                  <c:v>64.403344122442661</c:v>
                </c:pt>
                <c:pt idx="52">
                  <c:v>65.964124817409498</c:v>
                </c:pt>
                <c:pt idx="53">
                  <c:v>67.535613727695477</c:v>
                </c:pt>
                <c:pt idx="54">
                  <c:v>69.117777431181949</c:v>
                </c:pt>
                <c:pt idx="55">
                  <c:v>70.710582379331512</c:v>
                </c:pt>
                <c:pt idx="56">
                  <c:v>72.313994898741072</c:v>
                </c:pt>
                <c:pt idx="57">
                  <c:v>73.927981192699065</c:v>
                </c:pt>
                <c:pt idx="58">
                  <c:v>75.552507342746608</c:v>
                </c:pt>
                <c:pt idx="59">
                  <c:v>77.187539310242499</c:v>
                </c:pt>
                <c:pt idx="60">
                  <c:v>78.833042937931666</c:v>
                </c:pt>
                <c:pt idx="61">
                  <c:v>80.488983951517028</c:v>
                </c:pt>
                <c:pt idx="62">
                  <c:v>82.155327961234448</c:v>
                </c:pt>
                <c:pt idx="63">
                  <c:v>83.83204046343063</c:v>
                </c:pt>
                <c:pt idx="64">
                  <c:v>85.519086842143764</c:v>
                </c:pt>
                <c:pt idx="65">
                  <c:v>87.216432370686618</c:v>
                </c:pt>
                <c:pt idx="66">
                  <c:v>88.924042213232028</c:v>
                </c:pt>
                <c:pt idx="67">
                  <c:v>90.641881426400388</c:v>
                </c:pt>
                <c:pt idx="68">
                  <c:v>92.369914960849187</c:v>
                </c:pt>
                <c:pt idx="69">
                  <c:v>94.108107662864171</c:v>
                </c:pt>
                <c:pt idx="70">
                  <c:v>95.856424275951994</c:v>
                </c:pt>
                <c:pt idx="71">
                  <c:v>97.614829442434257</c:v>
                </c:pt>
                <c:pt idx="72">
                  <c:v>99.383287705042619</c:v>
                </c:pt>
                <c:pt idx="73">
                  <c:v>101.16176350851485</c:v>
                </c:pt>
                <c:pt idx="74">
                  <c:v>102.95022120119161</c:v>
                </c:pt>
                <c:pt idx="75">
                  <c:v>104.74862503661372</c:v>
                </c:pt>
                <c:pt idx="76">
                  <c:v>106.55693917511985</c:v>
                </c:pt>
                <c:pt idx="77">
                  <c:v>108.37512768544437</c:v>
                </c:pt>
                <c:pt idx="78">
                  <c:v>110.20315454631505</c:v>
                </c:pt>
                <c:pt idx="79">
                  <c:v>112.04098364805068</c:v>
                </c:pt>
                <c:pt idx="80">
                  <c:v>113.88857879415824</c:v>
                </c:pt>
                <c:pt idx="81">
                  <c:v>115.74590370292937</c:v>
                </c:pt>
                <c:pt idx="82">
                  <c:v>117.6129220090363</c:v>
                </c:pt>
                <c:pt idx="83">
                  <c:v>119.4895972651266</c:v>
                </c:pt>
                <c:pt idx="84">
                  <c:v>121.37589294341696</c:v>
                </c:pt>
                <c:pt idx="85">
                  <c:v>123.27177243728551</c:v>
                </c:pt>
                <c:pt idx="86">
                  <c:v>125.17719906286277</c:v>
                </c:pt>
                <c:pt idx="87">
                  <c:v>127.09213606062094</c:v>
                </c:pt>
                <c:pt idx="88">
                  <c:v>129.01654659696126</c:v>
                </c:pt>
                <c:pt idx="89">
                  <c:v>130.95039376579942</c:v>
                </c:pt>
                <c:pt idx="90">
                  <c:v>132.89364059014875</c:v>
                </c:pt>
                <c:pt idx="91">
                  <c:v>134.8462500237012</c:v>
                </c:pt>
                <c:pt idx="92">
                  <c:v>136.80818495240558</c:v>
                </c:pt>
                <c:pt idx="93">
                  <c:v>138.77940819604328</c:v>
                </c:pt>
                <c:pt idx="94">
                  <c:v>140.75988250980112</c:v>
                </c:pt>
                <c:pt idx="95">
                  <c:v>142.74957058584113</c:v>
                </c:pt>
                <c:pt idx="96">
                  <c:v>144.74843505486723</c:v>
                </c:pt>
                <c:pt idx="97">
                  <c:v>146.75643848768854</c:v>
                </c:pt>
                <c:pt idx="98">
                  <c:v>148.77354339677922</c:v>
                </c:pt>
                <c:pt idx="99">
                  <c:v>150.79971223783465</c:v>
                </c:pt>
                <c:pt idx="100">
                  <c:v>152.83490741132388</c:v>
                </c:pt>
                <c:pt idx="101">
                  <c:v>154.87908945814223</c:v>
                </c:pt>
                <c:pt idx="102">
                  <c:v>156.93221525581896</c:v>
                </c:pt>
                <c:pt idx="103">
                  <c:v>158.99423982945027</c:v>
                </c:pt>
                <c:pt idx="104">
                  <c:v>161.06511816222158</c:v>
                </c:pt>
                <c:pt idx="105">
                  <c:v>163.14480519724228</c:v>
                </c:pt>
                <c:pt idx="106">
                  <c:v>165.23325583937287</c:v>
                </c:pt>
                <c:pt idx="107">
                  <c:v>167.33042495704413</c:v>
                </c:pt>
                <c:pt idx="108">
                  <c:v>169.43626738406829</c:v>
                </c:pt>
                <c:pt idx="109">
                  <c:v>171.55073792144194</c:v>
                </c:pt>
                <c:pt idx="110">
                  <c:v>173.67379133914071</c:v>
                </c:pt>
                <c:pt idx="111">
                  <c:v>175.80538237790518</c:v>
                </c:pt>
                <c:pt idx="112">
                  <c:v>177.94546575101839</c:v>
                </c:pt>
                <c:pt idx="113">
                  <c:v>180.09399614607426</c:v>
                </c:pt>
                <c:pt idx="114">
                  <c:v>182.25092822673722</c:v>
                </c:pt>
                <c:pt idx="115">
                  <c:v>184.4162166344926</c:v>
                </c:pt>
                <c:pt idx="116">
                  <c:v>186.58981599038776</c:v>
                </c:pt>
                <c:pt idx="117">
                  <c:v>188.77168089676388</c:v>
                </c:pt>
                <c:pt idx="118">
                  <c:v>190.96176593897815</c:v>
                </c:pt>
                <c:pt idx="119">
                  <c:v>193.16002568711619</c:v>
                </c:pt>
                <c:pt idx="120">
                  <c:v>195.36641469769484</c:v>
                </c:pt>
                <c:pt idx="121">
                  <c:v>197.58088751535487</c:v>
                </c:pt>
                <c:pt idx="122">
                  <c:v>199.80339867454364</c:v>
                </c:pt>
                <c:pt idx="123">
                  <c:v>202.03390270118754</c:v>
                </c:pt>
                <c:pt idx="124">
                  <c:v>204.27235411435424</c:v>
                </c:pt>
                <c:pt idx="125">
                  <c:v>206.51870742790433</c:v>
                </c:pt>
                <c:pt idx="126">
                  <c:v>208.77291715213249</c:v>
                </c:pt>
                <c:pt idx="127">
                  <c:v>211.03493779539806</c:v>
                </c:pt>
                <c:pt idx="128">
                  <c:v>213.30472386574476</c:v>
                </c:pt>
                <c:pt idx="129">
                  <c:v>215.58222987250949</c:v>
                </c:pt>
                <c:pt idx="130">
                  <c:v>217.86741032792025</c:v>
                </c:pt>
                <c:pt idx="131">
                  <c:v>220.16021974868298</c:v>
                </c:pt>
                <c:pt idx="132">
                  <c:v>222.46061265755705</c:v>
                </c:pt>
                <c:pt idx="133">
                  <c:v>224.76854358491968</c:v>
                </c:pt>
                <c:pt idx="134">
                  <c:v>227.08396707031889</c:v>
                </c:pt>
                <c:pt idx="135">
                  <c:v>229.40683766401494</c:v>
                </c:pt>
                <c:pt idx="136">
                  <c:v>231.73710992851034</c:v>
                </c:pt>
                <c:pt idx="137">
                  <c:v>234.07473844006807</c:v>
                </c:pt>
                <c:pt idx="138">
                  <c:v>236.41967779021829</c:v>
                </c:pt>
                <c:pt idx="139">
                  <c:v>238.771882587253</c:v>
                </c:pt>
                <c:pt idx="140">
                  <c:v>241.13130745770911</c:v>
                </c:pt>
                <c:pt idx="141">
                  <c:v>243.49790704783928</c:v>
                </c:pt>
                <c:pt idx="142">
                  <c:v>245.87163602507093</c:v>
                </c:pt>
                <c:pt idx="143">
                  <c:v>248.2524490794531</c:v>
                </c:pt>
                <c:pt idx="144">
                  <c:v>250.6403009250912</c:v>
                </c:pt>
                <c:pt idx="145">
                  <c:v>253.0351463015694</c:v>
                </c:pt>
                <c:pt idx="146">
                  <c:v>255.43693997536093</c:v>
                </c:pt>
                <c:pt idx="147">
                  <c:v>257.84563674122592</c:v>
                </c:pt>
                <c:pt idx="148">
                  <c:v>260.26119142359687</c:v>
                </c:pt>
                <c:pt idx="149">
                  <c:v>262.68355887795167</c:v>
                </c:pt>
                <c:pt idx="150">
                  <c:v>265.11269399217417</c:v>
                </c:pt>
                <c:pt idx="151">
                  <c:v>267.54855230833056</c:v>
                </c:pt>
                <c:pt idx="152">
                  <c:v>269.99109064371459</c:v>
                </c:pt>
                <c:pt idx="153">
                  <c:v>272.44026646955751</c:v>
                </c:pt>
                <c:pt idx="154">
                  <c:v>274.89603729040419</c:v>
                </c:pt>
                <c:pt idx="155">
                  <c:v>277.3583606453318</c:v>
                </c:pt>
                <c:pt idx="156">
                  <c:v>279.82719410915723</c:v>
                </c:pt>
                <c:pt idx="157">
                  <c:v>282.3024952936326</c:v>
                </c:pt>
                <c:pt idx="158">
                  <c:v>284.78422184862956</c:v>
                </c:pt>
                <c:pt idx="159">
                  <c:v>287.27233146331179</c:v>
                </c:pt>
                <c:pt idx="160">
                  <c:v>289.766781867296</c:v>
                </c:pt>
                <c:pt idx="161">
                  <c:v>292.26753083180125</c:v>
                </c:pt>
                <c:pt idx="162">
                  <c:v>294.77453617078652</c:v>
                </c:pt>
                <c:pt idx="163">
                  <c:v>297.28775574207685</c:v>
                </c:pt>
                <c:pt idx="164">
                  <c:v>299.80714744847745</c:v>
                </c:pt>
                <c:pt idx="165">
                  <c:v>302.33266923887635</c:v>
                </c:pt>
                <c:pt idx="166">
                  <c:v>304.86427910933503</c:v>
                </c:pt>
                <c:pt idx="167">
                  <c:v>307.40193510416759</c:v>
                </c:pt>
                <c:pt idx="168">
                  <c:v>309.9455953170081</c:v>
                </c:pt>
                <c:pt idx="169">
                  <c:v>312.49521789186599</c:v>
                </c:pt>
                <c:pt idx="170">
                  <c:v>315.05076102416967</c:v>
                </c:pt>
                <c:pt idx="171">
                  <c:v>317.61218296179874</c:v>
                </c:pt>
                <c:pt idx="172">
                  <c:v>320.17944200610384</c:v>
                </c:pt>
                <c:pt idx="173">
                  <c:v>322.75249651291517</c:v>
                </c:pt>
                <c:pt idx="174">
                  <c:v>325.33130489353891</c:v>
                </c:pt>
                <c:pt idx="175">
                  <c:v>327.91582561574205</c:v>
                </c:pt>
                <c:pt idx="176">
                  <c:v>330.50601720472525</c:v>
                </c:pt>
                <c:pt idx="177">
                  <c:v>333.10183824408404</c:v>
                </c:pt>
                <c:pt idx="178">
                  <c:v>335.7032473767581</c:v>
                </c:pt>
                <c:pt idx="179">
                  <c:v>338.31020330596903</c:v>
                </c:pt>
                <c:pt idx="180">
                  <c:v>340.92266479614597</c:v>
                </c:pt>
                <c:pt idx="181">
                  <c:v>343.54059067383969</c:v>
                </c:pt>
                <c:pt idx="182">
                  <c:v>346.16393982862502</c:v>
                </c:pt>
                <c:pt idx="183">
                  <c:v>348.79267121399135</c:v>
                </c:pt>
                <c:pt idx="184">
                  <c:v>351.42674384822141</c:v>
                </c:pt>
                <c:pt idx="185">
                  <c:v>354.06611681525857</c:v>
                </c:pt>
                <c:pt idx="186">
                  <c:v>356.7107492655623</c:v>
                </c:pt>
                <c:pt idx="187">
                  <c:v>359.36060041695191</c:v>
                </c:pt>
                <c:pt idx="188">
                  <c:v>362.01562955543881</c:v>
                </c:pt>
                <c:pt idx="189">
                  <c:v>364.67579603604702</c:v>
                </c:pt>
                <c:pt idx="190">
                  <c:v>367.3410592836222</c:v>
                </c:pt>
                <c:pt idx="191">
                  <c:v>370.01137879362904</c:v>
                </c:pt>
                <c:pt idx="192">
                  <c:v>372.68671413293714</c:v>
                </c:pt>
                <c:pt idx="193">
                  <c:v>375.36702494059534</c:v>
                </c:pt>
                <c:pt idx="194">
                  <c:v>378.05227092859468</c:v>
                </c:pt>
                <c:pt idx="195">
                  <c:v>380.74241188261971</c:v>
                </c:pt>
                <c:pt idx="196">
                  <c:v>383.43740766278864</c:v>
                </c:pt>
                <c:pt idx="197">
                  <c:v>386.1372182043819</c:v>
                </c:pt>
                <c:pt idx="198">
                  <c:v>388.8418035185594</c:v>
                </c:pt>
                <c:pt idx="199">
                  <c:v>391.55112369306664</c:v>
                </c:pt>
                <c:pt idx="200">
                  <c:v>394.26513889292926</c:v>
                </c:pt>
                <c:pt idx="201">
                  <c:v>396.98380936113665</c:v>
                </c:pt>
                <c:pt idx="202">
                  <c:v>399.7070954193141</c:v>
                </c:pt>
                <c:pt idx="203">
                  <c:v>402.43495746838403</c:v>
                </c:pt>
                <c:pt idx="204">
                  <c:v>405.16735598921593</c:v>
                </c:pt>
                <c:pt idx="205">
                  <c:v>407.90425154326527</c:v>
                </c:pt>
                <c:pt idx="206">
                  <c:v>410.64560477320157</c:v>
                </c:pt>
                <c:pt idx="207">
                  <c:v>413.3913764035251</c:v>
                </c:pt>
                <c:pt idx="208">
                  <c:v>416.14152724117315</c:v>
                </c:pt>
                <c:pt idx="209">
                  <c:v>418.89601817611492</c:v>
                </c:pt>
                <c:pt idx="210">
                  <c:v>421.65481018193594</c:v>
                </c:pt>
                <c:pt idx="211">
                  <c:v>424.41786431641145</c:v>
                </c:pt>
                <c:pt idx="212">
                  <c:v>427.18514172206926</c:v>
                </c:pt>
                <c:pt idx="213">
                  <c:v>429.95660362674175</c:v>
                </c:pt>
                <c:pt idx="214">
                  <c:v>432.73221134410733</c:v>
                </c:pt>
                <c:pt idx="215">
                  <c:v>435.5119262742212</c:v>
                </c:pt>
                <c:pt idx="216">
                  <c:v>438.29570990403579</c:v>
                </c:pt>
                <c:pt idx="217">
                  <c:v>441.08352380791047</c:v>
                </c:pt>
                <c:pt idx="218">
                  <c:v>443.87532964811106</c:v>
                </c:pt>
                <c:pt idx="219">
                  <c:v>446.67108917529885</c:v>
                </c:pt>
                <c:pt idx="220">
                  <c:v>449.47076422900932</c:v>
                </c:pt>
                <c:pt idx="221">
                  <c:v>452.27431673812072</c:v>
                </c:pt>
                <c:pt idx="222">
                  <c:v>455.08170872131222</c:v>
                </c:pt>
                <c:pt idx="223">
                  <c:v>457.8929022875123</c:v>
                </c:pt>
                <c:pt idx="224">
                  <c:v>460.70785963633659</c:v>
                </c:pt>
                <c:pt idx="225">
                  <c:v>463.52654305851615</c:v>
                </c:pt>
                <c:pt idx="226">
                  <c:v>466.34891493631551</c:v>
                </c:pt>
                <c:pt idx="227">
                  <c:v>469.17493774394092</c:v>
                </c:pt>
                <c:pt idx="228">
                  <c:v>472.00457404793877</c:v>
                </c:pt>
                <c:pt idx="229">
                  <c:v>474.83778650758421</c:v>
                </c:pt>
                <c:pt idx="230">
                  <c:v>477.67453787526011</c:v>
                </c:pt>
                <c:pt idx="231">
                  <c:v>480.51479099682638</c:v>
                </c:pt>
                <c:pt idx="232">
                  <c:v>483.35850881197962</c:v>
                </c:pt>
                <c:pt idx="233">
                  <c:v>486.20565435460338</c:v>
                </c:pt>
                <c:pt idx="234">
                  <c:v>489.05619075310892</c:v>
                </c:pt>
                <c:pt idx="235">
                  <c:v>491.91008123076654</c:v>
                </c:pt>
                <c:pt idx="236">
                  <c:v>494.76728910602776</c:v>
                </c:pt>
                <c:pt idx="237">
                  <c:v>497.62777779283806</c:v>
                </c:pt>
                <c:pt idx="238">
                  <c:v>500.49151080094055</c:v>
                </c:pt>
                <c:pt idx="239">
                  <c:v>503.35845173617042</c:v>
                </c:pt>
                <c:pt idx="240">
                  <c:v>506.22856430074057</c:v>
                </c:pt>
                <c:pt idx="241">
                  <c:v>509.10181229351804</c:v>
                </c:pt>
                <c:pt idx="242">
                  <c:v>511.97815961029153</c:v>
                </c:pt>
                <c:pt idx="243">
                  <c:v>514.85757024403028</c:v>
                </c:pt>
                <c:pt idx="244">
                  <c:v>517.74000828513385</c:v>
                </c:pt>
                <c:pt idx="245">
                  <c:v>520.62543792167378</c:v>
                </c:pt>
                <c:pt idx="246">
                  <c:v>523.51382343962575</c:v>
                </c:pt>
                <c:pt idx="247">
                  <c:v>526.40512922309415</c:v>
                </c:pt>
                <c:pt idx="248">
                  <c:v>529.29931975452723</c:v>
                </c:pt>
                <c:pt idx="249">
                  <c:v>532.1963596149244</c:v>
                </c:pt>
                <c:pt idx="250">
                  <c:v>535.09621348403539</c:v>
                </c:pt>
                <c:pt idx="251">
                  <c:v>537.99884341880193</c:v>
                </c:pt>
                <c:pt idx="252">
                  <c:v>540.90420613836181</c:v>
                </c:pt>
                <c:pt idx="253">
                  <c:v>543.81225576174711</c:v>
                </c:pt>
                <c:pt idx="254">
                  <c:v>546.72294653906238</c:v>
                </c:pt>
                <c:pt idx="255">
                  <c:v>549.63623285175743</c:v>
                </c:pt>
                <c:pt idx="256">
                  <c:v>552.55206921288629</c:v>
                </c:pt>
                <c:pt idx="257">
                  <c:v>555.47041026735417</c:v>
                </c:pt>
                <c:pt idx="258">
                  <c:v>558.39121079215079</c:v>
                </c:pt>
                <c:pt idx="259">
                  <c:v>561.31442569657179</c:v>
                </c:pt>
                <c:pt idx="260">
                  <c:v>564.2400100224271</c:v>
                </c:pt>
                <c:pt idx="261">
                  <c:v>567.16791894423716</c:v>
                </c:pt>
                <c:pt idx="262">
                  <c:v>570.09810776941697</c:v>
                </c:pt>
                <c:pt idx="263">
                  <c:v>573.03053193844767</c:v>
                </c:pt>
                <c:pt idx="264">
                  <c:v>575.96514702503623</c:v>
                </c:pt>
                <c:pt idx="265">
                  <c:v>578.90190873626341</c:v>
                </c:pt>
                <c:pt idx="266">
                  <c:v>581.84077291271979</c:v>
                </c:pt>
                <c:pt idx="267">
                  <c:v>584.78169552862994</c:v>
                </c:pt>
                <c:pt idx="268">
                  <c:v>587.72463269196521</c:v>
                </c:pt>
                <c:pt idx="269">
                  <c:v>590.66954064454535</c:v>
                </c:pt>
                <c:pt idx="270">
                  <c:v>593.61637576212831</c:v>
                </c:pt>
                <c:pt idx="271">
                  <c:v>596.56509455448929</c:v>
                </c:pt>
                <c:pt idx="272">
                  <c:v>599.51565366548846</c:v>
                </c:pt>
                <c:pt idx="273">
                  <c:v>602.46800987312781</c:v>
                </c:pt>
                <c:pt idx="274">
                  <c:v>605.42212008959723</c:v>
                </c:pt>
                <c:pt idx="275">
                  <c:v>608.37794136130992</c:v>
                </c:pt>
                <c:pt idx="276">
                  <c:v>611.33543086892735</c:v>
                </c:pt>
                <c:pt idx="277">
                  <c:v>614.29454592737306</c:v>
                </c:pt>
                <c:pt idx="278">
                  <c:v>617.25524398583707</c:v>
                </c:pt>
                <c:pt idx="279">
                  <c:v>620.21748262776964</c:v>
                </c:pt>
                <c:pt idx="280">
                  <c:v>623.18121957086464</c:v>
                </c:pt>
                <c:pt idx="281">
                  <c:v>626.1464126670337</c:v>
                </c:pt>
                <c:pt idx="282">
                  <c:v>629.1130199023695</c:v>
                </c:pt>
                <c:pt idx="283">
                  <c:v>632.08099939710041</c:v>
                </c:pt>
                <c:pt idx="284">
                  <c:v>635.05030940553468</c:v>
                </c:pt>
                <c:pt idx="285">
                  <c:v>638.02090831599526</c:v>
                </c:pt>
                <c:pt idx="286">
                  <c:v>640.99275465074584</c:v>
                </c:pt>
                <c:pt idx="287">
                  <c:v>643.96580706590669</c:v>
                </c:pt>
                <c:pt idx="288">
                  <c:v>646.94002435136235</c:v>
                </c:pt>
                <c:pt idx="289">
                  <c:v>649.91536543065934</c:v>
                </c:pt>
                <c:pt idx="290">
                  <c:v>652.89178936089547</c:v>
                </c:pt>
                <c:pt idx="291">
                  <c:v>655.86925533260069</c:v>
                </c:pt>
                <c:pt idx="292">
                  <c:v>658.84772266960829</c:v>
                </c:pt>
                <c:pt idx="293">
                  <c:v>661.82715082891832</c:v>
                </c:pt>
                <c:pt idx="294">
                  <c:v>664.80749940055239</c:v>
                </c:pt>
                <c:pt idx="295">
                  <c:v>667.78872810740006</c:v>
                </c:pt>
                <c:pt idx="296">
                  <c:v>670.77079680505688</c:v>
                </c:pt>
                <c:pt idx="297">
                  <c:v>673.75366548165459</c:v>
                </c:pt>
                <c:pt idx="298">
                  <c:v>676.73726419430136</c:v>
                </c:pt>
                <c:pt idx="299">
                  <c:v>679.72146309386619</c:v>
                </c:pt>
                <c:pt idx="300">
                  <c:v>682.70610268891232</c:v>
                </c:pt>
                <c:pt idx="301">
                  <c:v>685.69102402235717</c:v>
                </c:pt>
                <c:pt idx="302">
                  <c:v>688.67606867337076</c:v>
                </c:pt>
                <c:pt idx="303">
                  <c:v>691.66107875913838</c:v>
                </c:pt>
                <c:pt idx="304">
                  <c:v>694.64589693649054</c:v>
                </c:pt>
                <c:pt idx="305">
                  <c:v>697.63036640340101</c:v>
                </c:pt>
                <c:pt idx="306">
                  <c:v>700.61433090035405</c:v>
                </c:pt>
                <c:pt idx="307">
                  <c:v>703.59763471158431</c:v>
                </c:pt>
                <c:pt idx="308">
                  <c:v>706.5801226661888</c:v>
                </c:pt>
                <c:pt idx="309">
                  <c:v>709.5616401391145</c:v>
                </c:pt>
                <c:pt idx="310">
                  <c:v>712.54203305202202</c:v>
                </c:pt>
                <c:pt idx="311">
                  <c:v>715.52114787402741</c:v>
                </c:pt>
                <c:pt idx="312">
                  <c:v>718.49883162232436</c:v>
                </c:pt>
                <c:pt idx="313">
                  <c:v>721.47493186268719</c:v>
                </c:pt>
                <c:pt idx="314">
                  <c:v>724.44929670985789</c:v>
                </c:pt>
                <c:pt idx="315">
                  <c:v>727.42177482781722</c:v>
                </c:pt>
                <c:pt idx="316">
                  <c:v>730.39221542994323</c:v>
                </c:pt>
                <c:pt idx="317">
                  <c:v>733.36046827905727</c:v>
                </c:pt>
                <c:pt idx="318">
                  <c:v>736.32638368736093</c:v>
                </c:pt>
                <c:pt idx="319">
                  <c:v>739.28981251626362</c:v>
                </c:pt>
                <c:pt idx="320">
                  <c:v>742.25060617610438</c:v>
                </c:pt>
                <c:pt idx="321">
                  <c:v>745.20862860487659</c:v>
                </c:pt>
                <c:pt idx="322">
                  <c:v>748.1637682030489</c:v>
                </c:pt>
                <c:pt idx="323">
                  <c:v>751.11592576136957</c:v>
                </c:pt>
                <c:pt idx="324">
                  <c:v>754.06500243216237</c:v>
                </c:pt>
                <c:pt idx="325">
                  <c:v>757.01089972814884</c:v>
                </c:pt>
                <c:pt idx="326">
                  <c:v>759.95351952123269</c:v>
                </c:pt>
                <c:pt idx="327">
                  <c:v>762.89276404124644</c:v>
                </c:pt>
                <c:pt idx="328">
                  <c:v>765.82853587466104</c:v>
                </c:pt>
                <c:pt idx="329">
                  <c:v>768.7607379632592</c:v>
                </c:pt>
                <c:pt idx="330">
                  <c:v>771.68927360277394</c:v>
                </c:pt>
                <c:pt idx="331">
                  <c:v>774.61404644149138</c:v>
                </c:pt>
                <c:pt idx="332">
                  <c:v>777.53496047882038</c:v>
                </c:pt>
                <c:pt idx="333">
                  <c:v>780.4519200638282</c:v>
                </c:pt>
                <c:pt idx="334">
                  <c:v>783.36482989374372</c:v>
                </c:pt>
                <c:pt idx="335">
                  <c:v>786.2735950124287</c:v>
                </c:pt>
                <c:pt idx="336">
                  <c:v>789.17812080881743</c:v>
                </c:pt>
                <c:pt idx="337">
                  <c:v>792.07831301532588</c:v>
                </c:pt>
                <c:pt idx="338">
                  <c:v>794.9740777062309</c:v>
                </c:pt>
                <c:pt idx="339">
                  <c:v>797.86532129601994</c:v>
                </c:pt>
                <c:pt idx="340">
                  <c:v>800.75195053771176</c:v>
                </c:pt>
                <c:pt idx="341">
                  <c:v>803.63387252114944</c:v>
                </c:pt>
                <c:pt idx="342">
                  <c:v>806.51099467126573</c:v>
                </c:pt>
                <c:pt idx="343">
                  <c:v>809.38322474632128</c:v>
                </c:pt>
                <c:pt idx="344">
                  <c:v>812.25047083611719</c:v>
                </c:pt>
                <c:pt idx="345">
                  <c:v>815.11264136018133</c:v>
                </c:pt>
                <c:pt idx="346">
                  <c:v>817.96964506592963</c:v>
                </c:pt>
                <c:pt idx="347">
                  <c:v>820.82139102680355</c:v>
                </c:pt>
                <c:pt idx="348">
                  <c:v>823.66778993327443</c:v>
                </c:pt>
                <c:pt idx="349">
                  <c:v>826.50875537856575</c:v>
                </c:pt>
                <c:pt idx="350">
                  <c:v>829.34420255321231</c:v>
                </c:pt>
                <c:pt idx="351">
                  <c:v>832.17404694488971</c:v>
                </c:pt>
                <c:pt idx="352">
                  <c:v>834.9982043365037</c:v>
                </c:pt>
                <c:pt idx="353">
                  <c:v>837.81659080426164</c:v>
                </c:pt>
                <c:pt idx="354">
                  <c:v>840.62912271572691</c:v>
                </c:pt>
                <c:pt idx="355">
                  <c:v>843.43571672785697</c:v>
                </c:pt>
                <c:pt idx="356">
                  <c:v>846.23628978502529</c:v>
                </c:pt>
                <c:pt idx="357">
                  <c:v>849.0307591170274</c:v>
                </c:pt>
                <c:pt idx="358">
                  <c:v>851.81904223707159</c:v>
                </c:pt>
                <c:pt idx="359">
                  <c:v>854.60105693975493</c:v>
                </c:pt>
                <c:pt idx="360">
                  <c:v>857.37674818526625</c:v>
                </c:pt>
                <c:pt idx="361">
                  <c:v>860.14611487112461</c:v>
                </c:pt>
                <c:pt idx="362">
                  <c:v>862.90918272102988</c:v>
                </c:pt>
                <c:pt idx="363">
                  <c:v>865.66597728795637</c:v>
                </c:pt>
                <c:pt idx="364">
                  <c:v>868.41652395566973</c:v>
                </c:pt>
                <c:pt idx="365">
                  <c:v>871.16084794022731</c:v>
                </c:pt>
                <c:pt idx="366">
                  <c:v>873.8989742914614</c:v>
                </c:pt>
                <c:pt idx="367">
                  <c:v>876.63092789444613</c:v>
                </c:pt>
                <c:pt idx="368">
                  <c:v>879.35673347094837</c:v>
                </c:pt>
                <c:pt idx="369">
                  <c:v>882.0764155808622</c:v>
                </c:pt>
                <c:pt idx="370">
                  <c:v>884.78999862362798</c:v>
                </c:pt>
                <c:pt idx="371">
                  <c:v>887.49750683963543</c:v>
                </c:pt>
                <c:pt idx="372">
                  <c:v>890.19896431161158</c:v>
                </c:pt>
                <c:pt idx="373">
                  <c:v>892.89439496599334</c:v>
                </c:pt>
                <c:pt idx="374">
                  <c:v>895.58382257428514</c:v>
                </c:pt>
                <c:pt idx="375">
                  <c:v>898.26727075440203</c:v>
                </c:pt>
                <c:pt idx="376">
                  <c:v>900.94476297199753</c:v>
                </c:pt>
                <c:pt idx="377">
                  <c:v>903.61632254177778</c:v>
                </c:pt>
                <c:pt idx="378">
                  <c:v>906.28197262880099</c:v>
                </c:pt>
                <c:pt idx="379">
                  <c:v>908.94173624976304</c:v>
                </c:pt>
                <c:pt idx="380">
                  <c:v>911.59563627426905</c:v>
                </c:pt>
                <c:pt idx="381">
                  <c:v>914.24369542609168</c:v>
                </c:pt>
                <c:pt idx="382">
                  <c:v>916.88593628441527</c:v>
                </c:pt>
                <c:pt idx="383">
                  <c:v>919.52238128506735</c:v>
                </c:pt>
                <c:pt idx="384">
                  <c:v>922.15305272173634</c:v>
                </c:pt>
                <c:pt idx="385">
                  <c:v>924.77797274717693</c:v>
                </c:pt>
                <c:pt idx="386">
                  <c:v>927.397163374402</c:v>
                </c:pt>
                <c:pt idx="387">
                  <c:v>930.01064647786234</c:v>
                </c:pt>
                <c:pt idx="388">
                  <c:v>932.61844379461354</c:v>
                </c:pt>
                <c:pt idx="389">
                  <c:v>935.22057692547082</c:v>
                </c:pt>
                <c:pt idx="390">
                  <c:v>937.81706733615158</c:v>
                </c:pt>
                <c:pt idx="391">
                  <c:v>940.40793635840566</c:v>
                </c:pt>
                <c:pt idx="392">
                  <c:v>942.99320519113439</c:v>
                </c:pt>
                <c:pt idx="393">
                  <c:v>945.57289490149697</c:v>
                </c:pt>
                <c:pt idx="394">
                  <c:v>948.14702642600639</c:v>
                </c:pt>
                <c:pt idx="395">
                  <c:v>950.7156205716127</c:v>
                </c:pt>
                <c:pt idx="396">
                  <c:v>953.27869801677605</c:v>
                </c:pt>
                <c:pt idx="397">
                  <c:v>955.83627931252806</c:v>
                </c:pt>
                <c:pt idx="398">
                  <c:v>958.38838488352201</c:v>
                </c:pt>
                <c:pt idx="399">
                  <c:v>960.93503502907276</c:v>
                </c:pt>
                <c:pt idx="400">
                  <c:v>963.47624992418537</c:v>
                </c:pt>
                <c:pt idx="401">
                  <c:v>988.59101272768726</c:v>
                </c:pt>
                <c:pt idx="402">
                  <c:v>1013.175072855261</c:v>
                </c:pt>
                <c:pt idx="403">
                  <c:v>1037.2474832232151</c:v>
                </c:pt>
                <c:pt idx="404">
                  <c:v>1060.8261774100238</c:v>
                </c:pt>
                <c:pt idx="405">
                  <c:v>1083.9280563520347</c:v>
                </c:pt>
                <c:pt idx="406">
                  <c:v>1106.5690667296578</c:v>
                </c:pt>
                <c:pt idx="407">
                  <c:v>1128.7642719871212</c:v>
                </c:pt>
                <c:pt idx="408">
                  <c:v>1150.5279168057789</c:v>
                </c:pt>
                <c:pt idx="409">
                  <c:v>1171.8734857459551</c:v>
                </c:pt>
                <c:pt idx="410">
                  <c:v>1192.8137566824398</c:v>
                </c:pt>
                <c:pt idx="411">
                  <c:v>1213.3608495816145</c:v>
                </c:pt>
                <c:pt idx="412">
                  <c:v>1233.5262711017738</c:v>
                </c:pt>
                <c:pt idx="413">
                  <c:v>1253.3209554408654</c:v>
                </c:pt>
                <c:pt idx="414">
                  <c:v>1272.7553018062345</c:v>
                </c:pt>
                <c:pt idx="415">
                  <c:v>1291.8392088378616</c:v>
                </c:pt>
                <c:pt idx="416">
                  <c:v>1310.5821062790887</c:v>
                </c:pt>
                <c:pt idx="417">
                  <c:v>1328.9929841561147</c:v>
                </c:pt>
                <c:pt idx="418">
                  <c:v>1347.080419698935</c:v>
                </c:pt>
                <c:pt idx="419">
                  <c:v>1364.8526022113342</c:v>
                </c:pt>
                <c:pt idx="420">
                  <c:v>1382.3173560755197</c:v>
                </c:pt>
                <c:pt idx="421">
                  <c:v>1399.4821620576013</c:v>
                </c:pt>
                <c:pt idx="422">
                  <c:v>1416.3541770630281</c:v>
                </c:pt>
                <c:pt idx="423">
                  <c:v>1432.940252475986</c:v>
                </c:pt>
                <c:pt idx="424">
                  <c:v>1449.2469512033774</c:v>
                </c:pt>
                <c:pt idx="425">
                  <c:v>1465.2805635321401</c:v>
                </c:pt>
                <c:pt idx="426">
                  <c:v>1481.0471218981097</c:v>
                </c:pt>
                <c:pt idx="427">
                  <c:v>1496.5524146552398</c:v>
                </c:pt>
                <c:pt idx="428">
                  <c:v>1511.80199892562</c:v>
                </c:pt>
                <c:pt idx="429">
                  <c:v>1526.8012126032452</c:v>
                </c:pt>
                <c:pt idx="430">
                  <c:v>1541.5551855777974</c:v>
                </c:pt>
                <c:pt idx="431">
                  <c:v>1556.0688502387006</c:v>
                </c:pt>
                <c:pt idx="432">
                  <c:v>1570.3469513143245</c:v>
                </c:pt>
                <c:pt idx="433">
                  <c:v>1584.3940550963703</c:v>
                </c:pt>
                <c:pt idx="434">
                  <c:v>1598.2145580951164</c:v>
                </c:pt>
                <c:pt idx="435">
                  <c:v>1611.8126951672771</c:v>
                </c:pt>
                <c:pt idx="436">
                  <c:v>1625.1925471546715</c:v>
                </c:pt>
                <c:pt idx="437">
                  <c:v>1638.3580480687119</c:v>
                </c:pt>
                <c:pt idx="438">
                  <c:v>1651.3129918528041</c:v>
                </c:pt>
                <c:pt idx="439">
                  <c:v>1664.0610387521367</c:v>
                </c:pt>
                <c:pt idx="440">
                  <c:v>1676.6057213179454</c:v>
                </c:pt>
                <c:pt idx="441">
                  <c:v>1688.9504500711755</c:v>
                </c:pt>
                <c:pt idx="442">
                  <c:v>1701.0985188484963</c:v>
                </c:pt>
                <c:pt idx="443">
                  <c:v>1713.0531098518254</c:v>
                </c:pt>
                <c:pt idx="444">
                  <c:v>1724.8172984208916</c:v>
                </c:pt>
                <c:pt idx="445">
                  <c:v>1736.3940575468671</c:v>
                </c:pt>
                <c:pt idx="446">
                  <c:v>1747.7862621437439</c:v>
                </c:pt>
                <c:pt idx="447">
                  <c:v>1758.9966930928802</c:v>
                </c:pt>
                <c:pt idx="448">
                  <c:v>1770.0280410750017</c:v>
                </c:pt>
                <c:pt idx="449">
                  <c:v>1780.8829102029038</c:v>
                </c:pt>
                <c:pt idx="450">
                  <c:v>1791.5638214671321</c:v>
                </c:pt>
                <c:pt idx="451">
                  <c:v>1802.0732160060543</c:v>
                </c:pt>
                <c:pt idx="452">
                  <c:v>1812.4134582109125</c:v>
                </c:pt>
                <c:pt idx="453">
                  <c:v>1822.5868386757145</c:v>
                </c:pt>
                <c:pt idx="454">
                  <c:v>1832.5955770011324</c:v>
                </c:pt>
                <c:pt idx="455">
                  <c:v>1842.4418244609471</c:v>
                </c:pt>
                <c:pt idx="456">
                  <c:v>1852.1276665390005</c:v>
                </c:pt>
                <c:pt idx="457">
                  <c:v>1861.6551253440741</c:v>
                </c:pt>
                <c:pt idx="458">
                  <c:v>1871.0261619096252</c:v>
                </c:pt>
                <c:pt idx="459">
                  <c:v>1880.2426783848484</c:v>
                </c:pt>
                <c:pt idx="460">
                  <c:v>1889.30652012311</c:v>
                </c:pt>
                <c:pt idx="461">
                  <c:v>1898.2194776734104</c:v>
                </c:pt>
                <c:pt idx="462">
                  <c:v>1906.9832886801662</c:v>
                </c:pt>
                <c:pt idx="463">
                  <c:v>1915.5996396962662</c:v>
                </c:pt>
                <c:pt idx="464">
                  <c:v>1924.0701679140466</c:v>
                </c:pt>
                <c:pt idx="465">
                  <c:v>1932.3964628185381</c:v>
                </c:pt>
                <c:pt idx="466">
                  <c:v>1940.5800677670682</c:v>
                </c:pt>
                <c:pt idx="467">
                  <c:v>1948.6224814990537</c:v>
                </c:pt>
                <c:pt idx="468">
                  <c:v>1956.5251595795858</c:v>
                </c:pt>
                <c:pt idx="469">
                  <c:v>1964.2895157801895</c:v>
                </c:pt>
                <c:pt idx="470">
                  <c:v>1971.9169233999437</c:v>
                </c:pt>
                <c:pt idx="471">
                  <c:v>1979.4087165299552</c:v>
                </c:pt>
                <c:pt idx="472">
                  <c:v>1986.7661912640065</c:v>
                </c:pt>
                <c:pt idx="473">
                  <c:v>1993.9906068580353</c:v>
                </c:pt>
                <c:pt idx="474">
                  <c:v>2001.0831868409487</c:v>
                </c:pt>
                <c:pt idx="475">
                  <c:v>2008.0451200791335</c:v>
                </c:pt>
                <c:pt idx="476">
                  <c:v>2014.877561796894</c:v>
                </c:pt>
                <c:pt idx="477">
                  <c:v>2021.5816345549181</c:v>
                </c:pt>
                <c:pt idx="478">
                  <c:v>2028.1584291887632</c:v>
                </c:pt>
                <c:pt idx="479">
                  <c:v>2034.6090057092433</c:v>
                </c:pt>
                <c:pt idx="480">
                  <c:v>2040.9343941664927</c:v>
                </c:pt>
                <c:pt idx="481">
                  <c:v>2047.135595479393</c:v>
                </c:pt>
                <c:pt idx="482">
                  <c:v>2053.2135822319601</c:v>
                </c:pt>
                <c:pt idx="483">
                  <c:v>2059.1692994382015</c:v>
                </c:pt>
                <c:pt idx="484">
                  <c:v>2065.0036652768822</c:v>
                </c:pt>
                <c:pt idx="485">
                  <c:v>2070.7175717975615</c:v>
                </c:pt>
                <c:pt idx="486">
                  <c:v>2076.3118855991988</c:v>
                </c:pt>
                <c:pt idx="487">
                  <c:v>2081.7874484825606</c:v>
                </c:pt>
                <c:pt idx="488">
                  <c:v>2087.1450780776045</c:v>
                </c:pt>
                <c:pt idx="489">
                  <c:v>2092.3855684469631</c:v>
                </c:pt>
                <c:pt idx="490">
                  <c:v>2097.5096906665985</c:v>
                </c:pt>
                <c:pt idx="491">
                  <c:v>2102.5181933846507</c:v>
                </c:pt>
                <c:pt idx="492">
                  <c:v>2107.4118033594664</c:v>
                </c:pt>
                <c:pt idx="493">
                  <c:v>2112.1912259777473</c:v>
                </c:pt>
                <c:pt idx="494">
                  <c:v>2116.8571457537323</c:v>
                </c:pt>
                <c:pt idx="495">
                  <c:v>2121.410226810282</c:v>
                </c:pt>
                <c:pt idx="496">
                  <c:v>2125.8511133427241</c:v>
                </c:pt>
                <c:pt idx="497">
                  <c:v>2130.1804300662739</c:v>
                </c:pt>
                <c:pt idx="498">
                  <c:v>2134.3987826478397</c:v>
                </c:pt>
                <c:pt idx="499">
                  <c:v>2138.5067581229946</c:v>
                </c:pt>
                <c:pt idx="500">
                  <c:v>2142.5049252988888</c:v>
                </c:pt>
                <c:pt idx="501">
                  <c:v>2146.3938351438624</c:v>
                </c:pt>
                <c:pt idx="502">
                  <c:v>2150.1740211645179</c:v>
                </c:pt>
                <c:pt idx="503">
                  <c:v>2153.8459997710061</c:v>
                </c:pt>
                <c:pt idx="504">
                  <c:v>2157.4102706312883</c:v>
                </c:pt>
                <c:pt idx="505">
                  <c:v>2160.8673170151383</c:v>
                </c:pt>
                <c:pt idx="506">
                  <c:v>2164.2176061286723</c:v>
                </c:pt>
                <c:pt idx="507">
                  <c:v>2167.461589440205</c:v>
                </c:pt>
                <c:pt idx="508">
                  <c:v>2170.5997029982659</c:v>
                </c:pt>
                <c:pt idx="509">
                  <c:v>2173.6323677426335</c:v>
                </c:pt>
                <c:pt idx="510">
                  <c:v>2176.5599898092951</c:v>
                </c:pt>
                <c:pt idx="511">
                  <c:v>2179.3829608302826</c:v>
                </c:pt>
                <c:pt idx="512">
                  <c:v>2182.1016582293946</c:v>
                </c:pt>
                <c:pt idx="513">
                  <c:v>2184.71644551488</c:v>
                </c:pt>
                <c:pt idx="514">
                  <c:v>2187.2276725702386</c:v>
                </c:pt>
                <c:pt idx="515">
                  <c:v>2189.6356759443729</c:v>
                </c:pt>
                <c:pt idx="516">
                  <c:v>2191.9407791424287</c:v>
                </c:pt>
                <c:pt idx="517">
                  <c:v>2194.1432929187604</c:v>
                </c:pt>
                <c:pt idx="518">
                  <c:v>2196.2435155735784</c:v>
                </c:pt>
                <c:pt idx="519">
                  <c:v>2198.2417332549526</c:v>
                </c:pt>
                <c:pt idx="520">
                  <c:v>2200.1382202679761</c:v>
                </c:pt>
                <c:pt idx="521">
                  <c:v>2201.9332393930194</c:v>
                </c:pt>
                <c:pt idx="522">
                  <c:v>2203.6270422151415</c:v>
                </c:pt>
                <c:pt idx="523">
                  <c:v>2205.2198694668296</c:v>
                </c:pt>
                <c:pt idx="524">
                  <c:v>2206.7119513863536</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7-4C7F-469F-ADED-1B0B28F452E1}"/>
            </c:ext>
          </c:extLst>
        </c:ser>
        <c:ser>
          <c:idx val="6"/>
          <c:order val="6"/>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Trajecto!$B$158</c:f>
              <c:numCache>
                <c:formatCode>General</c:formatCode>
                <c:ptCount val="1"/>
                <c:pt idx="0">
                  <c:v>4.0999999999999996</c:v>
                </c:pt>
              </c:numCache>
            </c:numRef>
          </c:xVal>
          <c:yVal>
            <c:numRef>
              <c:f>Trajecto!$C$158</c:f>
              <c:numCache>
                <c:formatCode>0</c:formatCode>
                <c:ptCount val="1"/>
                <c:pt idx="0">
                  <c:v>1103.3559756931768</c:v>
                </c:pt>
              </c:numCache>
            </c:numRef>
          </c:yVal>
          <c:smooth val="0"/>
          <c:extLst>
            <c:ext xmlns:c16="http://schemas.microsoft.com/office/drawing/2014/chart" uri="{C3380CC4-5D6E-409C-BE32-E72D297353CC}">
              <c16:uniqueId val="{00000008-4C7F-469F-ADED-1B0B28F452E1}"/>
            </c:ext>
          </c:extLst>
        </c:ser>
        <c:ser>
          <c:idx val="7"/>
          <c:order val="7"/>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Trajecto!$B$159</c:f>
              <c:numCache>
                <c:formatCode>General</c:formatCode>
                <c:ptCount val="1"/>
                <c:pt idx="0">
                  <c:v>31.200000000000131</c:v>
                </c:pt>
              </c:numCache>
            </c:numRef>
          </c:xVal>
          <c:yVal>
            <c:numRef>
              <c:f>Trajecto!$C$159</c:f>
              <c:numCache>
                <c:formatCode>0</c:formatCode>
                <c:ptCount val="1"/>
                <c:pt idx="0">
                  <c:v>1108.5652326754048</c:v>
                </c:pt>
              </c:numCache>
            </c:numRef>
          </c:yVal>
          <c:smooth val="0"/>
          <c:extLst>
            <c:ext xmlns:c16="http://schemas.microsoft.com/office/drawing/2014/chart" uri="{C3380CC4-5D6E-409C-BE32-E72D297353CC}">
              <c16:uniqueId val="{00000009-4C7F-469F-ADED-1B0B28F452E1}"/>
            </c:ext>
          </c:extLst>
        </c:ser>
        <c:dLbls>
          <c:showLegendKey val="0"/>
          <c:showVal val="0"/>
          <c:showCatName val="0"/>
          <c:showSerName val="0"/>
          <c:showPercent val="0"/>
          <c:showBubbleSize val="0"/>
        </c:dLbls>
        <c:axId val="149275008"/>
        <c:axId val="149276928"/>
      </c:scatterChart>
      <c:valAx>
        <c:axId val="149275008"/>
        <c:scaling>
          <c:orientation val="minMax"/>
          <c:min val="0"/>
        </c:scaling>
        <c:delete val="0"/>
        <c:axPos val="b"/>
        <c:majorGridlines>
          <c:spPr>
            <a:ln w="3175">
              <a:solidFill>
                <a:srgbClr val="000000"/>
              </a:solidFill>
              <a:prstDash val="sysDash"/>
            </a:ln>
          </c:spPr>
        </c:majorGridlines>
        <c:title>
          <c:tx>
            <c:strRef>
              <c:f>Trajecto!$B$113</c:f>
              <c:strCache>
                <c:ptCount val="1"/>
                <c:pt idx="0">
                  <c:v>Temps [s]</c:v>
                </c:pt>
              </c:strCache>
            </c:strRef>
          </c:tx>
          <c:layout>
            <c:manualLayout>
              <c:xMode val="edge"/>
              <c:yMode val="edge"/>
              <c:x val="0.60555551848391842"/>
              <c:y val="0.8513930569999506"/>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6928"/>
        <c:crosses val="autoZero"/>
        <c:crossBetween val="midCat"/>
      </c:valAx>
      <c:valAx>
        <c:axId val="14927692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9.0000333644735087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5008"/>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Forces</a:t>
            </a:r>
          </a:p>
        </c:rich>
      </c:tx>
      <c:overlay val="1"/>
    </c:title>
    <c:autoTitleDeleted val="0"/>
    <c:plotArea>
      <c:layout>
        <c:manualLayout>
          <c:layoutTarget val="inner"/>
          <c:xMode val="edge"/>
          <c:yMode val="edge"/>
          <c:x val="0.11674528301886802"/>
          <c:y val="9.4771544282144501E-2"/>
          <c:w val="0.86438679245283023"/>
          <c:h val="0.74183243282920064"/>
        </c:manualLayout>
      </c:layout>
      <c:scatterChart>
        <c:scatterStyle val="lineMarker"/>
        <c:varyColors val="0"/>
        <c:ser>
          <c:idx val="1"/>
          <c:order val="0"/>
          <c:tx>
            <c:strRef>
              <c:f>Courbes!$B$134</c:f>
              <c:strCache>
                <c:ptCount val="1"/>
                <c:pt idx="0">
                  <c:v>Poussée</c:v>
                </c:pt>
              </c:strCache>
            </c:strRef>
          </c:tx>
          <c:spPr>
            <a:ln w="25400">
              <a:solidFill>
                <a:srgbClr val="008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34.800000000000182</c:v>
                </c:pt>
                <c:pt idx="709">
                  <c:v>34.900000000000183</c:v>
                </c:pt>
                <c:pt idx="710">
                  <c:v>35.000000000000185</c:v>
                </c:pt>
                <c:pt idx="711">
                  <c:v>35.100000000000186</c:v>
                </c:pt>
                <c:pt idx="712">
                  <c:v>35.200000000000188</c:v>
                </c:pt>
                <c:pt idx="713">
                  <c:v>35.300000000000189</c:v>
                </c:pt>
                <c:pt idx="714">
                  <c:v>35.40000000000019</c:v>
                </c:pt>
                <c:pt idx="715">
                  <c:v>35.500000000000192</c:v>
                </c:pt>
                <c:pt idx="716">
                  <c:v>35.600000000000193</c:v>
                </c:pt>
                <c:pt idx="717">
                  <c:v>35.700000000000195</c:v>
                </c:pt>
                <c:pt idx="718">
                  <c:v>35.800000000000196</c:v>
                </c:pt>
                <c:pt idx="719">
                  <c:v>35.900000000000198</c:v>
                </c:pt>
                <c:pt idx="720">
                  <c:v>36.000000000000199</c:v>
                </c:pt>
                <c:pt idx="721">
                  <c:v>36.1000000000002</c:v>
                </c:pt>
                <c:pt idx="722">
                  <c:v>36.200000000000202</c:v>
                </c:pt>
                <c:pt idx="723">
                  <c:v>36.300000000000203</c:v>
                </c:pt>
                <c:pt idx="724">
                  <c:v>36.400000000000205</c:v>
                </c:pt>
                <c:pt idx="725">
                  <c:v>36.500000000000206</c:v>
                </c:pt>
                <c:pt idx="726">
                  <c:v>36.600000000000207</c:v>
                </c:pt>
                <c:pt idx="727">
                  <c:v>36.700000000000209</c:v>
                </c:pt>
                <c:pt idx="728">
                  <c:v>36.80000000000021</c:v>
                </c:pt>
                <c:pt idx="729">
                  <c:v>36.900000000000212</c:v>
                </c:pt>
                <c:pt idx="730">
                  <c:v>37.000000000000213</c:v>
                </c:pt>
                <c:pt idx="731">
                  <c:v>37.100000000000215</c:v>
                </c:pt>
                <c:pt idx="732">
                  <c:v>37.200000000000216</c:v>
                </c:pt>
                <c:pt idx="733">
                  <c:v>37.300000000000217</c:v>
                </c:pt>
                <c:pt idx="734">
                  <c:v>37.400000000000219</c:v>
                </c:pt>
                <c:pt idx="735">
                  <c:v>37.50000000000022</c:v>
                </c:pt>
                <c:pt idx="736">
                  <c:v>37.600000000000222</c:v>
                </c:pt>
                <c:pt idx="737">
                  <c:v>37.700000000000223</c:v>
                </c:pt>
                <c:pt idx="738">
                  <c:v>37.800000000000225</c:v>
                </c:pt>
                <c:pt idx="739">
                  <c:v>37.900000000000226</c:v>
                </c:pt>
                <c:pt idx="740">
                  <c:v>38.000000000000227</c:v>
                </c:pt>
                <c:pt idx="741">
                  <c:v>38.100000000000229</c:v>
                </c:pt>
                <c:pt idx="742">
                  <c:v>38.20000000000023</c:v>
                </c:pt>
                <c:pt idx="743">
                  <c:v>38.300000000000232</c:v>
                </c:pt>
                <c:pt idx="744">
                  <c:v>38.400000000000233</c:v>
                </c:pt>
                <c:pt idx="745">
                  <c:v>38.500000000000234</c:v>
                </c:pt>
                <c:pt idx="746">
                  <c:v>38.600000000000236</c:v>
                </c:pt>
                <c:pt idx="747">
                  <c:v>38.700000000000237</c:v>
                </c:pt>
                <c:pt idx="748">
                  <c:v>38.800000000000239</c:v>
                </c:pt>
                <c:pt idx="749">
                  <c:v>38.90000000000024</c:v>
                </c:pt>
                <c:pt idx="750">
                  <c:v>39.000000000000242</c:v>
                </c:pt>
                <c:pt idx="751">
                  <c:v>39.100000000000243</c:v>
                </c:pt>
                <c:pt idx="752">
                  <c:v>39.200000000000244</c:v>
                </c:pt>
                <c:pt idx="753">
                  <c:v>39.300000000000246</c:v>
                </c:pt>
                <c:pt idx="754">
                  <c:v>39.400000000000247</c:v>
                </c:pt>
                <c:pt idx="755">
                  <c:v>39.500000000000249</c:v>
                </c:pt>
                <c:pt idx="756">
                  <c:v>39.60000000000025</c:v>
                </c:pt>
                <c:pt idx="757">
                  <c:v>39.700000000000252</c:v>
                </c:pt>
                <c:pt idx="758">
                  <c:v>39.800000000000253</c:v>
                </c:pt>
                <c:pt idx="759">
                  <c:v>39.900000000000254</c:v>
                </c:pt>
                <c:pt idx="760">
                  <c:v>40.000000000000256</c:v>
                </c:pt>
                <c:pt idx="761">
                  <c:v>40.100000000000257</c:v>
                </c:pt>
                <c:pt idx="762">
                  <c:v>40.200000000000259</c:v>
                </c:pt>
                <c:pt idx="763">
                  <c:v>40.30000000000026</c:v>
                </c:pt>
                <c:pt idx="764">
                  <c:v>40.400000000000261</c:v>
                </c:pt>
                <c:pt idx="765">
                  <c:v>40.500000000000263</c:v>
                </c:pt>
                <c:pt idx="766">
                  <c:v>40.600000000000264</c:v>
                </c:pt>
                <c:pt idx="767">
                  <c:v>40.700000000000266</c:v>
                </c:pt>
                <c:pt idx="768">
                  <c:v>40.800000000000267</c:v>
                </c:pt>
                <c:pt idx="769">
                  <c:v>40.900000000000269</c:v>
                </c:pt>
                <c:pt idx="770">
                  <c:v>41.00000000000027</c:v>
                </c:pt>
                <c:pt idx="771">
                  <c:v>41.100000000000271</c:v>
                </c:pt>
                <c:pt idx="772">
                  <c:v>41.200000000000273</c:v>
                </c:pt>
                <c:pt idx="773">
                  <c:v>41.300000000000274</c:v>
                </c:pt>
                <c:pt idx="774">
                  <c:v>41.400000000000276</c:v>
                </c:pt>
                <c:pt idx="775">
                  <c:v>41.500000000000277</c:v>
                </c:pt>
                <c:pt idx="776">
                  <c:v>41.600000000000279</c:v>
                </c:pt>
                <c:pt idx="777">
                  <c:v>41.70000000000028</c:v>
                </c:pt>
                <c:pt idx="778">
                  <c:v>41.800000000000281</c:v>
                </c:pt>
                <c:pt idx="779">
                  <c:v>41.900000000000283</c:v>
                </c:pt>
                <c:pt idx="780">
                  <c:v>42.000000000000284</c:v>
                </c:pt>
                <c:pt idx="781">
                  <c:v>42.100000000000286</c:v>
                </c:pt>
                <c:pt idx="782">
                  <c:v>42.200000000000287</c:v>
                </c:pt>
                <c:pt idx="783">
                  <c:v>42.300000000000288</c:v>
                </c:pt>
                <c:pt idx="784">
                  <c:v>42.40000000000029</c:v>
                </c:pt>
                <c:pt idx="785">
                  <c:v>42.500000000000291</c:v>
                </c:pt>
                <c:pt idx="786">
                  <c:v>42.600000000000293</c:v>
                </c:pt>
                <c:pt idx="787">
                  <c:v>42.700000000000294</c:v>
                </c:pt>
                <c:pt idx="788">
                  <c:v>42.800000000000296</c:v>
                </c:pt>
                <c:pt idx="789">
                  <c:v>42.900000000000297</c:v>
                </c:pt>
                <c:pt idx="790">
                  <c:v>43.000000000000298</c:v>
                </c:pt>
                <c:pt idx="791">
                  <c:v>43.1000000000003</c:v>
                </c:pt>
                <c:pt idx="792">
                  <c:v>43.200000000000301</c:v>
                </c:pt>
                <c:pt idx="793">
                  <c:v>43.300000000000303</c:v>
                </c:pt>
                <c:pt idx="794">
                  <c:v>43.400000000000304</c:v>
                </c:pt>
                <c:pt idx="795">
                  <c:v>43.500000000000306</c:v>
                </c:pt>
                <c:pt idx="796">
                  <c:v>43.600000000000307</c:v>
                </c:pt>
                <c:pt idx="797">
                  <c:v>43.700000000000308</c:v>
                </c:pt>
                <c:pt idx="798">
                  <c:v>43.80000000000031</c:v>
                </c:pt>
                <c:pt idx="799">
                  <c:v>43.900000000000311</c:v>
                </c:pt>
                <c:pt idx="800">
                  <c:v>44.000000000000313</c:v>
                </c:pt>
                <c:pt idx="801">
                  <c:v>44.100000000000314</c:v>
                </c:pt>
                <c:pt idx="802">
                  <c:v>44.200000000000315</c:v>
                </c:pt>
                <c:pt idx="803">
                  <c:v>44.300000000000317</c:v>
                </c:pt>
                <c:pt idx="804">
                  <c:v>44.400000000000318</c:v>
                </c:pt>
                <c:pt idx="805">
                  <c:v>44.50000000000032</c:v>
                </c:pt>
                <c:pt idx="806">
                  <c:v>44.600000000000321</c:v>
                </c:pt>
                <c:pt idx="807">
                  <c:v>44.600100000000324</c:v>
                </c:pt>
                <c:pt idx="808">
                  <c:v>44.600200000000328</c:v>
                </c:pt>
                <c:pt idx="809">
                  <c:v>44.600300000000331</c:v>
                </c:pt>
                <c:pt idx="810">
                  <c:v>44.600400000000334</c:v>
                </c:pt>
                <c:pt idx="811">
                  <c:v>44.600500000000338</c:v>
                </c:pt>
                <c:pt idx="812">
                  <c:v>44.600600000000341</c:v>
                </c:pt>
                <c:pt idx="813">
                  <c:v>44.600700000000344</c:v>
                </c:pt>
                <c:pt idx="814">
                  <c:v>44.600800000000348</c:v>
                </c:pt>
                <c:pt idx="815">
                  <c:v>44.600900000000351</c:v>
                </c:pt>
                <c:pt idx="816">
                  <c:v>44.601000000000354</c:v>
                </c:pt>
                <c:pt idx="817">
                  <c:v>44.601100000000358</c:v>
                </c:pt>
                <c:pt idx="818">
                  <c:v>44.601200000000361</c:v>
                </c:pt>
                <c:pt idx="819">
                  <c:v>44.601300000000364</c:v>
                </c:pt>
                <c:pt idx="820">
                  <c:v>44.601400000000368</c:v>
                </c:pt>
                <c:pt idx="821">
                  <c:v>44.601500000000371</c:v>
                </c:pt>
                <c:pt idx="822">
                  <c:v>44.601600000000374</c:v>
                </c:pt>
                <c:pt idx="823">
                  <c:v>44.601700000000378</c:v>
                </c:pt>
                <c:pt idx="824">
                  <c:v>44.601800000000381</c:v>
                </c:pt>
                <c:pt idx="825">
                  <c:v>44.601900000000384</c:v>
                </c:pt>
                <c:pt idx="826">
                  <c:v>44.602000000000388</c:v>
                </c:pt>
                <c:pt idx="827">
                  <c:v>44.602100000000391</c:v>
                </c:pt>
                <c:pt idx="828">
                  <c:v>44.602200000000394</c:v>
                </c:pt>
                <c:pt idx="829">
                  <c:v>44.602300000000398</c:v>
                </c:pt>
                <c:pt idx="830">
                  <c:v>44.602400000000401</c:v>
                </c:pt>
                <c:pt idx="831">
                  <c:v>44.602500000000404</c:v>
                </c:pt>
                <c:pt idx="832">
                  <c:v>44.602600000000407</c:v>
                </c:pt>
                <c:pt idx="833">
                  <c:v>44.602700000000411</c:v>
                </c:pt>
                <c:pt idx="834">
                  <c:v>44.602800000000414</c:v>
                </c:pt>
                <c:pt idx="835">
                  <c:v>44.602900000000417</c:v>
                </c:pt>
                <c:pt idx="836">
                  <c:v>44.603000000000421</c:v>
                </c:pt>
                <c:pt idx="837">
                  <c:v>44.603100000000424</c:v>
                </c:pt>
                <c:pt idx="838">
                  <c:v>44.603200000000427</c:v>
                </c:pt>
                <c:pt idx="839">
                  <c:v>44.603300000000431</c:v>
                </c:pt>
                <c:pt idx="840">
                  <c:v>44.603400000000434</c:v>
                </c:pt>
                <c:pt idx="841">
                  <c:v>44.603500000000437</c:v>
                </c:pt>
                <c:pt idx="842">
                  <c:v>44.603600000000441</c:v>
                </c:pt>
                <c:pt idx="843">
                  <c:v>44.603700000000444</c:v>
                </c:pt>
                <c:pt idx="844">
                  <c:v>44.603800000000447</c:v>
                </c:pt>
                <c:pt idx="845">
                  <c:v>44.603900000000451</c:v>
                </c:pt>
                <c:pt idx="846">
                  <c:v>44.604000000000454</c:v>
                </c:pt>
                <c:pt idx="847">
                  <c:v>44.604100000000457</c:v>
                </c:pt>
                <c:pt idx="848">
                  <c:v>44.604200000000461</c:v>
                </c:pt>
                <c:pt idx="849">
                  <c:v>44.604300000000464</c:v>
                </c:pt>
                <c:pt idx="850">
                  <c:v>44.604400000000467</c:v>
                </c:pt>
                <c:pt idx="851">
                  <c:v>44.604500000000471</c:v>
                </c:pt>
                <c:pt idx="852">
                  <c:v>44.604600000000474</c:v>
                </c:pt>
                <c:pt idx="853">
                  <c:v>44.604700000000477</c:v>
                </c:pt>
                <c:pt idx="854">
                  <c:v>44.604800000000481</c:v>
                </c:pt>
                <c:pt idx="855">
                  <c:v>44.604900000000484</c:v>
                </c:pt>
                <c:pt idx="856">
                  <c:v>44.605000000000487</c:v>
                </c:pt>
                <c:pt idx="857">
                  <c:v>44.60510000000049</c:v>
                </c:pt>
                <c:pt idx="858">
                  <c:v>44.605200000000494</c:v>
                </c:pt>
                <c:pt idx="859">
                  <c:v>44.605300000000497</c:v>
                </c:pt>
                <c:pt idx="860">
                  <c:v>44.6054000000005</c:v>
                </c:pt>
                <c:pt idx="861">
                  <c:v>44.605500000000504</c:v>
                </c:pt>
                <c:pt idx="862">
                  <c:v>44.605600000000507</c:v>
                </c:pt>
                <c:pt idx="863">
                  <c:v>44.60570000000051</c:v>
                </c:pt>
                <c:pt idx="864">
                  <c:v>44.605800000000514</c:v>
                </c:pt>
                <c:pt idx="865">
                  <c:v>44.605900000000517</c:v>
                </c:pt>
                <c:pt idx="866">
                  <c:v>44.60600000000052</c:v>
                </c:pt>
                <c:pt idx="867">
                  <c:v>44.606100000000524</c:v>
                </c:pt>
                <c:pt idx="868">
                  <c:v>44.606200000000527</c:v>
                </c:pt>
                <c:pt idx="869">
                  <c:v>44.60630000000053</c:v>
                </c:pt>
                <c:pt idx="870">
                  <c:v>44.606400000000534</c:v>
                </c:pt>
                <c:pt idx="871">
                  <c:v>44.606500000000537</c:v>
                </c:pt>
                <c:pt idx="872">
                  <c:v>44.60660000000054</c:v>
                </c:pt>
                <c:pt idx="873">
                  <c:v>44.606700000000544</c:v>
                </c:pt>
                <c:pt idx="874">
                  <c:v>44.606800000000547</c:v>
                </c:pt>
                <c:pt idx="875">
                  <c:v>44.60690000000055</c:v>
                </c:pt>
                <c:pt idx="876">
                  <c:v>44.607000000000554</c:v>
                </c:pt>
                <c:pt idx="877">
                  <c:v>44.607100000000557</c:v>
                </c:pt>
                <c:pt idx="878">
                  <c:v>44.60720000000056</c:v>
                </c:pt>
                <c:pt idx="879">
                  <c:v>44.607300000000564</c:v>
                </c:pt>
                <c:pt idx="880">
                  <c:v>44.607400000000567</c:v>
                </c:pt>
                <c:pt idx="881">
                  <c:v>44.60750000000057</c:v>
                </c:pt>
                <c:pt idx="882">
                  <c:v>44.607600000000573</c:v>
                </c:pt>
                <c:pt idx="883">
                  <c:v>44.607700000000577</c:v>
                </c:pt>
                <c:pt idx="884">
                  <c:v>44.60780000000058</c:v>
                </c:pt>
                <c:pt idx="885">
                  <c:v>44.607900000000583</c:v>
                </c:pt>
                <c:pt idx="886">
                  <c:v>44.608000000000587</c:v>
                </c:pt>
                <c:pt idx="887">
                  <c:v>44.60810000000059</c:v>
                </c:pt>
                <c:pt idx="888">
                  <c:v>44.608200000000593</c:v>
                </c:pt>
                <c:pt idx="889">
                  <c:v>44.608300000000597</c:v>
                </c:pt>
                <c:pt idx="890">
                  <c:v>44.6084000000006</c:v>
                </c:pt>
                <c:pt idx="891">
                  <c:v>44.608500000000603</c:v>
                </c:pt>
                <c:pt idx="892">
                  <c:v>44.608600000000607</c:v>
                </c:pt>
                <c:pt idx="893">
                  <c:v>44.60870000000061</c:v>
                </c:pt>
                <c:pt idx="894">
                  <c:v>44.608800000000613</c:v>
                </c:pt>
                <c:pt idx="895">
                  <c:v>44.608900000000617</c:v>
                </c:pt>
                <c:pt idx="896">
                  <c:v>44.60900000000062</c:v>
                </c:pt>
                <c:pt idx="897">
                  <c:v>44.609100000000623</c:v>
                </c:pt>
                <c:pt idx="898">
                  <c:v>44.609200000000627</c:v>
                </c:pt>
                <c:pt idx="899">
                  <c:v>44.60930000000063</c:v>
                </c:pt>
                <c:pt idx="900">
                  <c:v>44.609400000000633</c:v>
                </c:pt>
                <c:pt idx="901">
                  <c:v>44.609500000000637</c:v>
                </c:pt>
                <c:pt idx="902">
                  <c:v>44.60960000000064</c:v>
                </c:pt>
                <c:pt idx="903">
                  <c:v>44.609700000000643</c:v>
                </c:pt>
                <c:pt idx="904">
                  <c:v>44.609800000000646</c:v>
                </c:pt>
                <c:pt idx="905">
                  <c:v>44.60990000000065</c:v>
                </c:pt>
                <c:pt idx="906">
                  <c:v>44.610000000000653</c:v>
                </c:pt>
                <c:pt idx="907">
                  <c:v>44.610100000000656</c:v>
                </c:pt>
                <c:pt idx="908">
                  <c:v>44.61020000000066</c:v>
                </c:pt>
                <c:pt idx="909">
                  <c:v>44.610300000000663</c:v>
                </c:pt>
                <c:pt idx="910">
                  <c:v>44.610400000000666</c:v>
                </c:pt>
                <c:pt idx="911">
                  <c:v>44.61050000000067</c:v>
                </c:pt>
                <c:pt idx="912">
                  <c:v>44.610600000000673</c:v>
                </c:pt>
                <c:pt idx="913">
                  <c:v>44.610700000000676</c:v>
                </c:pt>
                <c:pt idx="914">
                  <c:v>44.61080000000068</c:v>
                </c:pt>
                <c:pt idx="915">
                  <c:v>44.610900000000683</c:v>
                </c:pt>
                <c:pt idx="916">
                  <c:v>44.611000000000686</c:v>
                </c:pt>
                <c:pt idx="917">
                  <c:v>44.61110000000069</c:v>
                </c:pt>
                <c:pt idx="918">
                  <c:v>44.611200000000693</c:v>
                </c:pt>
                <c:pt idx="919">
                  <c:v>44.611300000000696</c:v>
                </c:pt>
                <c:pt idx="920">
                  <c:v>44.6114000000007</c:v>
                </c:pt>
                <c:pt idx="921">
                  <c:v>44.611500000000703</c:v>
                </c:pt>
                <c:pt idx="922">
                  <c:v>44.611600000000706</c:v>
                </c:pt>
                <c:pt idx="923">
                  <c:v>44.61170000000071</c:v>
                </c:pt>
                <c:pt idx="924">
                  <c:v>44.611800000000713</c:v>
                </c:pt>
                <c:pt idx="925">
                  <c:v>44.611900000000716</c:v>
                </c:pt>
                <c:pt idx="926">
                  <c:v>44.61200000000072</c:v>
                </c:pt>
                <c:pt idx="927">
                  <c:v>44.612100000000723</c:v>
                </c:pt>
                <c:pt idx="928">
                  <c:v>44.612200000000726</c:v>
                </c:pt>
                <c:pt idx="929">
                  <c:v>44.612300000000729</c:v>
                </c:pt>
                <c:pt idx="930">
                  <c:v>44.612400000000733</c:v>
                </c:pt>
                <c:pt idx="931">
                  <c:v>44.612500000000736</c:v>
                </c:pt>
                <c:pt idx="932">
                  <c:v>44.612600000000739</c:v>
                </c:pt>
                <c:pt idx="933">
                  <c:v>44.612700000000743</c:v>
                </c:pt>
                <c:pt idx="934">
                  <c:v>44.612800000000746</c:v>
                </c:pt>
                <c:pt idx="935">
                  <c:v>44.612900000000749</c:v>
                </c:pt>
                <c:pt idx="936">
                  <c:v>44.613000000000753</c:v>
                </c:pt>
                <c:pt idx="937">
                  <c:v>44.613100000000756</c:v>
                </c:pt>
                <c:pt idx="938">
                  <c:v>44.613200000000759</c:v>
                </c:pt>
                <c:pt idx="939">
                  <c:v>44.613300000000763</c:v>
                </c:pt>
                <c:pt idx="940">
                  <c:v>44.613400000000766</c:v>
                </c:pt>
                <c:pt idx="941">
                  <c:v>44.613500000000769</c:v>
                </c:pt>
                <c:pt idx="942">
                  <c:v>44.613600000000773</c:v>
                </c:pt>
                <c:pt idx="943">
                  <c:v>44.613700000000776</c:v>
                </c:pt>
                <c:pt idx="944">
                  <c:v>44.613800000000779</c:v>
                </c:pt>
                <c:pt idx="945">
                  <c:v>44.613900000000783</c:v>
                </c:pt>
                <c:pt idx="946">
                  <c:v>44.614000000000786</c:v>
                </c:pt>
                <c:pt idx="947">
                  <c:v>44.614100000000789</c:v>
                </c:pt>
                <c:pt idx="948">
                  <c:v>44.614200000000793</c:v>
                </c:pt>
                <c:pt idx="949">
                  <c:v>44.614300000000796</c:v>
                </c:pt>
                <c:pt idx="950">
                  <c:v>44.614400000000799</c:v>
                </c:pt>
                <c:pt idx="951">
                  <c:v>44.614500000000803</c:v>
                </c:pt>
                <c:pt idx="952">
                  <c:v>44.614600000000806</c:v>
                </c:pt>
                <c:pt idx="953">
                  <c:v>44.614700000000809</c:v>
                </c:pt>
                <c:pt idx="954">
                  <c:v>44.614800000000812</c:v>
                </c:pt>
                <c:pt idx="955">
                  <c:v>44.614900000000816</c:v>
                </c:pt>
                <c:pt idx="956">
                  <c:v>44.615000000000819</c:v>
                </c:pt>
                <c:pt idx="957">
                  <c:v>44.615100000000822</c:v>
                </c:pt>
                <c:pt idx="958">
                  <c:v>44.615200000000826</c:v>
                </c:pt>
                <c:pt idx="959">
                  <c:v>44.615300000000829</c:v>
                </c:pt>
                <c:pt idx="960">
                  <c:v>44.615400000000832</c:v>
                </c:pt>
                <c:pt idx="961">
                  <c:v>44.615500000000836</c:v>
                </c:pt>
                <c:pt idx="962">
                  <c:v>44.615600000000839</c:v>
                </c:pt>
                <c:pt idx="963">
                  <c:v>44.615700000000842</c:v>
                </c:pt>
                <c:pt idx="964">
                  <c:v>44.615800000000846</c:v>
                </c:pt>
                <c:pt idx="965">
                  <c:v>44.615900000000849</c:v>
                </c:pt>
                <c:pt idx="966">
                  <c:v>44.616000000000852</c:v>
                </c:pt>
                <c:pt idx="967">
                  <c:v>44.616100000000856</c:v>
                </c:pt>
                <c:pt idx="968">
                  <c:v>44.616200000000859</c:v>
                </c:pt>
                <c:pt idx="969">
                  <c:v>44.616300000000862</c:v>
                </c:pt>
                <c:pt idx="970">
                  <c:v>44.616400000000866</c:v>
                </c:pt>
                <c:pt idx="971">
                  <c:v>44.616500000000869</c:v>
                </c:pt>
                <c:pt idx="972">
                  <c:v>44.616600000000872</c:v>
                </c:pt>
                <c:pt idx="973">
                  <c:v>44.616700000000876</c:v>
                </c:pt>
                <c:pt idx="974">
                  <c:v>44.616800000000879</c:v>
                </c:pt>
                <c:pt idx="975">
                  <c:v>44.616900000000882</c:v>
                </c:pt>
                <c:pt idx="976">
                  <c:v>44.617000000000886</c:v>
                </c:pt>
                <c:pt idx="977">
                  <c:v>44.617100000000889</c:v>
                </c:pt>
                <c:pt idx="978">
                  <c:v>44.617200000000892</c:v>
                </c:pt>
                <c:pt idx="979">
                  <c:v>44.617300000000895</c:v>
                </c:pt>
                <c:pt idx="980">
                  <c:v>44.617400000000899</c:v>
                </c:pt>
                <c:pt idx="981">
                  <c:v>44.617500000000902</c:v>
                </c:pt>
                <c:pt idx="982">
                  <c:v>44.617600000000905</c:v>
                </c:pt>
                <c:pt idx="983">
                  <c:v>44.617700000000909</c:v>
                </c:pt>
                <c:pt idx="984">
                  <c:v>44.617800000000912</c:v>
                </c:pt>
                <c:pt idx="985">
                  <c:v>44.617900000000915</c:v>
                </c:pt>
                <c:pt idx="986">
                  <c:v>44.618000000000919</c:v>
                </c:pt>
                <c:pt idx="987">
                  <c:v>44.618100000000922</c:v>
                </c:pt>
                <c:pt idx="988">
                  <c:v>44.618200000000925</c:v>
                </c:pt>
                <c:pt idx="989">
                  <c:v>44.618300000000929</c:v>
                </c:pt>
                <c:pt idx="990">
                  <c:v>44.618400000000932</c:v>
                </c:pt>
                <c:pt idx="991">
                  <c:v>44.618500000000935</c:v>
                </c:pt>
                <c:pt idx="992">
                  <c:v>44.618600000000939</c:v>
                </c:pt>
                <c:pt idx="993">
                  <c:v>44.618700000000942</c:v>
                </c:pt>
                <c:pt idx="994">
                  <c:v>44.618800000000945</c:v>
                </c:pt>
                <c:pt idx="995">
                  <c:v>44.618900000000949</c:v>
                </c:pt>
                <c:pt idx="996">
                  <c:v>44.619000000000952</c:v>
                </c:pt>
                <c:pt idx="997">
                  <c:v>44.619100000000955</c:v>
                </c:pt>
                <c:pt idx="998">
                  <c:v>44.619200000000959</c:v>
                </c:pt>
                <c:pt idx="999">
                  <c:v>44.619300000000962</c:v>
                </c:pt>
                <c:pt idx="1000">
                  <c:v>44.619400000000965</c:v>
                </c:pt>
              </c:numCache>
            </c:numRef>
          </c:xVal>
          <c:yVal>
            <c:numRef>
              <c:f>Calculs!$Q$4:$Q$1004</c:f>
              <c:numCache>
                <c:formatCode>0.00</c:formatCode>
                <c:ptCount val="1001"/>
                <c:pt idx="0">
                  <c:v>0</c:v>
                </c:pt>
                <c:pt idx="1">
                  <c:v>89.3</c:v>
                </c:pt>
                <c:pt idx="2">
                  <c:v>267.89999999999998</c:v>
                </c:pt>
                <c:pt idx="3">
                  <c:v>446.49999999999994</c:v>
                </c:pt>
                <c:pt idx="4">
                  <c:v>625.1</c:v>
                </c:pt>
                <c:pt idx="5">
                  <c:v>803.7</c:v>
                </c:pt>
                <c:pt idx="6">
                  <c:v>891.94444444444446</c:v>
                </c:pt>
                <c:pt idx="7">
                  <c:v>889.83333333333337</c:v>
                </c:pt>
                <c:pt idx="8">
                  <c:v>887.72222222222217</c:v>
                </c:pt>
                <c:pt idx="9">
                  <c:v>885.61111111111109</c:v>
                </c:pt>
                <c:pt idx="10">
                  <c:v>883.5</c:v>
                </c:pt>
                <c:pt idx="11">
                  <c:v>881.38888888888891</c:v>
                </c:pt>
                <c:pt idx="12">
                  <c:v>879.27777777777783</c:v>
                </c:pt>
                <c:pt idx="13">
                  <c:v>877.16666666666663</c:v>
                </c:pt>
                <c:pt idx="14">
                  <c:v>875.05555555555554</c:v>
                </c:pt>
                <c:pt idx="15">
                  <c:v>872.94444444444446</c:v>
                </c:pt>
                <c:pt idx="16">
                  <c:v>870.83333333333337</c:v>
                </c:pt>
                <c:pt idx="17">
                  <c:v>868.72222222222217</c:v>
                </c:pt>
                <c:pt idx="18">
                  <c:v>866.61111111111109</c:v>
                </c:pt>
                <c:pt idx="19">
                  <c:v>864.5</c:v>
                </c:pt>
                <c:pt idx="20">
                  <c:v>862.38888888888891</c:v>
                </c:pt>
                <c:pt idx="21">
                  <c:v>860.27777777777783</c:v>
                </c:pt>
                <c:pt idx="22">
                  <c:v>858.16666666666663</c:v>
                </c:pt>
                <c:pt idx="23">
                  <c:v>856.05555555555554</c:v>
                </c:pt>
                <c:pt idx="24">
                  <c:v>853.94444444444446</c:v>
                </c:pt>
                <c:pt idx="25">
                  <c:v>851.83333333333337</c:v>
                </c:pt>
                <c:pt idx="26">
                  <c:v>849.72222222222217</c:v>
                </c:pt>
                <c:pt idx="27">
                  <c:v>847.61111111111109</c:v>
                </c:pt>
                <c:pt idx="28">
                  <c:v>845.5</c:v>
                </c:pt>
                <c:pt idx="29">
                  <c:v>843.38888888888891</c:v>
                </c:pt>
                <c:pt idx="30">
                  <c:v>841.27777777777771</c:v>
                </c:pt>
                <c:pt idx="31">
                  <c:v>839.16666666666663</c:v>
                </c:pt>
                <c:pt idx="32">
                  <c:v>837.05555555555554</c:v>
                </c:pt>
                <c:pt idx="33">
                  <c:v>834.94444444444446</c:v>
                </c:pt>
                <c:pt idx="34">
                  <c:v>832.83333333333326</c:v>
                </c:pt>
                <c:pt idx="35">
                  <c:v>830.72222222222217</c:v>
                </c:pt>
                <c:pt idx="36">
                  <c:v>828.61111111111109</c:v>
                </c:pt>
                <c:pt idx="37">
                  <c:v>826.5</c:v>
                </c:pt>
                <c:pt idx="38">
                  <c:v>824.38888888888891</c:v>
                </c:pt>
                <c:pt idx="39">
                  <c:v>822.27777777777771</c:v>
                </c:pt>
                <c:pt idx="40">
                  <c:v>820.16666666666663</c:v>
                </c:pt>
                <c:pt idx="41">
                  <c:v>818.05555555555554</c:v>
                </c:pt>
                <c:pt idx="42">
                  <c:v>815.94444444444434</c:v>
                </c:pt>
                <c:pt idx="43">
                  <c:v>813.83333333333326</c:v>
                </c:pt>
                <c:pt idx="44">
                  <c:v>811.72222222222217</c:v>
                </c:pt>
                <c:pt idx="45">
                  <c:v>809.61111111111109</c:v>
                </c:pt>
                <c:pt idx="46">
                  <c:v>807.5</c:v>
                </c:pt>
                <c:pt idx="47">
                  <c:v>805.3888888888888</c:v>
                </c:pt>
                <c:pt idx="48">
                  <c:v>803.27777777777771</c:v>
                </c:pt>
                <c:pt idx="49">
                  <c:v>801.16666666666663</c:v>
                </c:pt>
                <c:pt idx="50">
                  <c:v>799.05555555555554</c:v>
                </c:pt>
                <c:pt idx="51">
                  <c:v>797.41</c:v>
                </c:pt>
                <c:pt idx="52">
                  <c:v>796.23</c:v>
                </c:pt>
                <c:pt idx="53">
                  <c:v>795.05</c:v>
                </c:pt>
                <c:pt idx="54">
                  <c:v>793.87</c:v>
                </c:pt>
                <c:pt idx="55">
                  <c:v>792.68999999999994</c:v>
                </c:pt>
                <c:pt idx="56">
                  <c:v>791.51</c:v>
                </c:pt>
                <c:pt idx="57">
                  <c:v>790.32999999999993</c:v>
                </c:pt>
                <c:pt idx="58">
                  <c:v>789.15</c:v>
                </c:pt>
                <c:pt idx="59">
                  <c:v>787.96999999999991</c:v>
                </c:pt>
                <c:pt idx="60">
                  <c:v>786.79</c:v>
                </c:pt>
                <c:pt idx="61">
                  <c:v>785.61</c:v>
                </c:pt>
                <c:pt idx="62">
                  <c:v>784.43</c:v>
                </c:pt>
                <c:pt idx="63">
                  <c:v>783.25</c:v>
                </c:pt>
                <c:pt idx="64">
                  <c:v>782.06999999999994</c:v>
                </c:pt>
                <c:pt idx="65">
                  <c:v>780.89</c:v>
                </c:pt>
                <c:pt idx="66">
                  <c:v>779.70999999999992</c:v>
                </c:pt>
                <c:pt idx="67">
                  <c:v>778.53</c:v>
                </c:pt>
                <c:pt idx="68">
                  <c:v>777.34999999999991</c:v>
                </c:pt>
                <c:pt idx="69">
                  <c:v>776.17</c:v>
                </c:pt>
                <c:pt idx="70">
                  <c:v>774.99</c:v>
                </c:pt>
                <c:pt idx="71">
                  <c:v>773.81</c:v>
                </c:pt>
                <c:pt idx="72">
                  <c:v>772.63</c:v>
                </c:pt>
                <c:pt idx="73">
                  <c:v>771.44999999999993</c:v>
                </c:pt>
                <c:pt idx="74">
                  <c:v>770.27</c:v>
                </c:pt>
                <c:pt idx="75">
                  <c:v>769.08999999999992</c:v>
                </c:pt>
                <c:pt idx="76">
                  <c:v>767.91</c:v>
                </c:pt>
                <c:pt idx="77">
                  <c:v>766.7299999999999</c:v>
                </c:pt>
                <c:pt idx="78">
                  <c:v>765.55</c:v>
                </c:pt>
                <c:pt idx="79">
                  <c:v>764.36999999999989</c:v>
                </c:pt>
                <c:pt idx="80">
                  <c:v>763.18999999999994</c:v>
                </c:pt>
                <c:pt idx="81">
                  <c:v>762.01</c:v>
                </c:pt>
                <c:pt idx="82">
                  <c:v>760.82999999999993</c:v>
                </c:pt>
                <c:pt idx="83">
                  <c:v>759.65</c:v>
                </c:pt>
                <c:pt idx="84">
                  <c:v>758.46999999999991</c:v>
                </c:pt>
                <c:pt idx="85">
                  <c:v>757.29</c:v>
                </c:pt>
                <c:pt idx="86">
                  <c:v>756.1099999999999</c:v>
                </c:pt>
                <c:pt idx="87">
                  <c:v>754.93</c:v>
                </c:pt>
                <c:pt idx="88">
                  <c:v>753.74999999999989</c:v>
                </c:pt>
                <c:pt idx="89">
                  <c:v>752.56999999999994</c:v>
                </c:pt>
                <c:pt idx="90">
                  <c:v>751.38999999999987</c:v>
                </c:pt>
                <c:pt idx="91">
                  <c:v>750.20999999999992</c:v>
                </c:pt>
                <c:pt idx="92">
                  <c:v>749.03</c:v>
                </c:pt>
                <c:pt idx="93">
                  <c:v>747.84999999999991</c:v>
                </c:pt>
                <c:pt idx="94">
                  <c:v>746.67</c:v>
                </c:pt>
                <c:pt idx="95">
                  <c:v>745.4899999999999</c:v>
                </c:pt>
                <c:pt idx="96">
                  <c:v>744.31</c:v>
                </c:pt>
                <c:pt idx="97">
                  <c:v>743.12999999999988</c:v>
                </c:pt>
                <c:pt idx="98">
                  <c:v>741.94999999999993</c:v>
                </c:pt>
                <c:pt idx="99">
                  <c:v>740.77</c:v>
                </c:pt>
                <c:pt idx="100">
                  <c:v>739.58999999999992</c:v>
                </c:pt>
                <c:pt idx="101">
                  <c:v>738.19999999999982</c:v>
                </c:pt>
                <c:pt idx="102">
                  <c:v>736.59999999999991</c:v>
                </c:pt>
                <c:pt idx="103">
                  <c:v>734.99999999999989</c:v>
                </c:pt>
                <c:pt idx="104">
                  <c:v>733.39999999999986</c:v>
                </c:pt>
                <c:pt idx="105">
                  <c:v>731.79999999999984</c:v>
                </c:pt>
                <c:pt idx="106">
                  <c:v>730.19999999999982</c:v>
                </c:pt>
                <c:pt idx="107">
                  <c:v>728.59999999999991</c:v>
                </c:pt>
                <c:pt idx="108">
                  <c:v>726.99999999999989</c:v>
                </c:pt>
                <c:pt idx="109">
                  <c:v>725.39999999999986</c:v>
                </c:pt>
                <c:pt idx="110">
                  <c:v>723.79999999999984</c:v>
                </c:pt>
                <c:pt idx="111">
                  <c:v>722.19999999999982</c:v>
                </c:pt>
                <c:pt idx="112">
                  <c:v>720.59999999999991</c:v>
                </c:pt>
                <c:pt idx="113">
                  <c:v>718.99999999999989</c:v>
                </c:pt>
                <c:pt idx="114">
                  <c:v>717.39999999999986</c:v>
                </c:pt>
                <c:pt idx="115">
                  <c:v>715.79999999999984</c:v>
                </c:pt>
                <c:pt idx="116">
                  <c:v>714.19999999999982</c:v>
                </c:pt>
                <c:pt idx="117">
                  <c:v>712.59999999999991</c:v>
                </c:pt>
                <c:pt idx="118">
                  <c:v>710.99999999999989</c:v>
                </c:pt>
                <c:pt idx="119">
                  <c:v>709.39999999999986</c:v>
                </c:pt>
                <c:pt idx="120">
                  <c:v>707.79999999999984</c:v>
                </c:pt>
                <c:pt idx="121">
                  <c:v>706.19999999999982</c:v>
                </c:pt>
                <c:pt idx="122">
                  <c:v>704.5999999999998</c:v>
                </c:pt>
                <c:pt idx="123">
                  <c:v>702.99999999999989</c:v>
                </c:pt>
                <c:pt idx="124">
                  <c:v>701.39999999999986</c:v>
                </c:pt>
                <c:pt idx="125">
                  <c:v>699.79999999999984</c:v>
                </c:pt>
                <c:pt idx="126">
                  <c:v>698.19999999999982</c:v>
                </c:pt>
                <c:pt idx="127">
                  <c:v>696.5999999999998</c:v>
                </c:pt>
                <c:pt idx="128">
                  <c:v>694.99999999999989</c:v>
                </c:pt>
                <c:pt idx="129">
                  <c:v>693.39999999999986</c:v>
                </c:pt>
                <c:pt idx="130">
                  <c:v>691.79999999999984</c:v>
                </c:pt>
                <c:pt idx="131">
                  <c:v>690.19999999999982</c:v>
                </c:pt>
                <c:pt idx="132">
                  <c:v>688.5999999999998</c:v>
                </c:pt>
                <c:pt idx="133">
                  <c:v>686.99999999999977</c:v>
                </c:pt>
                <c:pt idx="134">
                  <c:v>685.39999999999986</c:v>
                </c:pt>
                <c:pt idx="135">
                  <c:v>683.79999999999984</c:v>
                </c:pt>
                <c:pt idx="136">
                  <c:v>682.19999999999982</c:v>
                </c:pt>
                <c:pt idx="137">
                  <c:v>680.5999999999998</c:v>
                </c:pt>
                <c:pt idx="138">
                  <c:v>678.99999999999977</c:v>
                </c:pt>
                <c:pt idx="139">
                  <c:v>677.39999999999986</c:v>
                </c:pt>
                <c:pt idx="140">
                  <c:v>675.79999999999984</c:v>
                </c:pt>
                <c:pt idx="141">
                  <c:v>674.19999999999982</c:v>
                </c:pt>
                <c:pt idx="142">
                  <c:v>672.5999999999998</c:v>
                </c:pt>
                <c:pt idx="143">
                  <c:v>670.99999999999977</c:v>
                </c:pt>
                <c:pt idx="144">
                  <c:v>669.39999999999986</c:v>
                </c:pt>
                <c:pt idx="145">
                  <c:v>667.79999999999984</c:v>
                </c:pt>
                <c:pt idx="146">
                  <c:v>666.19999999999982</c:v>
                </c:pt>
                <c:pt idx="147">
                  <c:v>664.5999999999998</c:v>
                </c:pt>
                <c:pt idx="148">
                  <c:v>662.99999999999977</c:v>
                </c:pt>
                <c:pt idx="149">
                  <c:v>661.39999999999986</c:v>
                </c:pt>
                <c:pt idx="150">
                  <c:v>659.79999999999984</c:v>
                </c:pt>
                <c:pt idx="151">
                  <c:v>658.26999999999987</c:v>
                </c:pt>
                <c:pt idx="152">
                  <c:v>656.80999999999983</c:v>
                </c:pt>
                <c:pt idx="153">
                  <c:v>655.3499999999998</c:v>
                </c:pt>
                <c:pt idx="154">
                  <c:v>653.88999999999987</c:v>
                </c:pt>
                <c:pt idx="155">
                  <c:v>652.42999999999984</c:v>
                </c:pt>
                <c:pt idx="156">
                  <c:v>650.9699999999998</c:v>
                </c:pt>
                <c:pt idx="157">
                  <c:v>649.50999999999976</c:v>
                </c:pt>
                <c:pt idx="158">
                  <c:v>648.04999999999984</c:v>
                </c:pt>
                <c:pt idx="159">
                  <c:v>646.5899999999998</c:v>
                </c:pt>
                <c:pt idx="160">
                  <c:v>645.12999999999977</c:v>
                </c:pt>
                <c:pt idx="161">
                  <c:v>643.66999999999985</c:v>
                </c:pt>
                <c:pt idx="162">
                  <c:v>642.20999999999981</c:v>
                </c:pt>
                <c:pt idx="163">
                  <c:v>640.74999999999977</c:v>
                </c:pt>
                <c:pt idx="164">
                  <c:v>639.28999999999985</c:v>
                </c:pt>
                <c:pt idx="165">
                  <c:v>637.82999999999981</c:v>
                </c:pt>
                <c:pt idx="166">
                  <c:v>636.36999999999978</c:v>
                </c:pt>
                <c:pt idx="167">
                  <c:v>634.90999999999985</c:v>
                </c:pt>
                <c:pt idx="168">
                  <c:v>633.44999999999982</c:v>
                </c:pt>
                <c:pt idx="169">
                  <c:v>631.98999999999978</c:v>
                </c:pt>
                <c:pt idx="170">
                  <c:v>630.52999999999975</c:v>
                </c:pt>
                <c:pt idx="171">
                  <c:v>629.06999999999982</c:v>
                </c:pt>
                <c:pt idx="172">
                  <c:v>627.60999999999979</c:v>
                </c:pt>
                <c:pt idx="173">
                  <c:v>626.14999999999975</c:v>
                </c:pt>
                <c:pt idx="174">
                  <c:v>624.68999999999983</c:v>
                </c:pt>
                <c:pt idx="175">
                  <c:v>623.22999999999979</c:v>
                </c:pt>
                <c:pt idx="176">
                  <c:v>621.76999999999975</c:v>
                </c:pt>
                <c:pt idx="177">
                  <c:v>620.30999999999983</c:v>
                </c:pt>
                <c:pt idx="178">
                  <c:v>618.8499999999998</c:v>
                </c:pt>
                <c:pt idx="179">
                  <c:v>617.38999999999976</c:v>
                </c:pt>
                <c:pt idx="180">
                  <c:v>615.92999999999984</c:v>
                </c:pt>
                <c:pt idx="181">
                  <c:v>614.4699999999998</c:v>
                </c:pt>
                <c:pt idx="182">
                  <c:v>613.00999999999976</c:v>
                </c:pt>
                <c:pt idx="183">
                  <c:v>611.54999999999973</c:v>
                </c:pt>
                <c:pt idx="184">
                  <c:v>610.0899999999998</c:v>
                </c:pt>
                <c:pt idx="185">
                  <c:v>608.62999999999977</c:v>
                </c:pt>
                <c:pt idx="186">
                  <c:v>607.16999999999973</c:v>
                </c:pt>
                <c:pt idx="187">
                  <c:v>605.70999999999981</c:v>
                </c:pt>
                <c:pt idx="188">
                  <c:v>604.24999999999977</c:v>
                </c:pt>
                <c:pt idx="189">
                  <c:v>602.78999999999974</c:v>
                </c:pt>
                <c:pt idx="190">
                  <c:v>601.32999999999981</c:v>
                </c:pt>
                <c:pt idx="191">
                  <c:v>599.86999999999978</c:v>
                </c:pt>
                <c:pt idx="192">
                  <c:v>598.40999999999974</c:v>
                </c:pt>
                <c:pt idx="193">
                  <c:v>596.94999999999982</c:v>
                </c:pt>
                <c:pt idx="194">
                  <c:v>595.48999999999978</c:v>
                </c:pt>
                <c:pt idx="195">
                  <c:v>594.02999999999975</c:v>
                </c:pt>
                <c:pt idx="196">
                  <c:v>592.56999999999971</c:v>
                </c:pt>
                <c:pt idx="197">
                  <c:v>591.10999999999979</c:v>
                </c:pt>
                <c:pt idx="198">
                  <c:v>589.64999999999975</c:v>
                </c:pt>
                <c:pt idx="199">
                  <c:v>588.18999999999971</c:v>
                </c:pt>
                <c:pt idx="200">
                  <c:v>586.72999999999979</c:v>
                </c:pt>
                <c:pt idx="201">
                  <c:v>585.26999999999987</c:v>
                </c:pt>
                <c:pt idx="202">
                  <c:v>583.80999999999983</c:v>
                </c:pt>
                <c:pt idx="203">
                  <c:v>582.34999999999991</c:v>
                </c:pt>
                <c:pt idx="204">
                  <c:v>580.88999999999987</c:v>
                </c:pt>
                <c:pt idx="205">
                  <c:v>579.42999999999995</c:v>
                </c:pt>
                <c:pt idx="206">
                  <c:v>577.97</c:v>
                </c:pt>
                <c:pt idx="207">
                  <c:v>576.51</c:v>
                </c:pt>
                <c:pt idx="208">
                  <c:v>575.05000000000007</c:v>
                </c:pt>
                <c:pt idx="209">
                  <c:v>573.59</c:v>
                </c:pt>
                <c:pt idx="210">
                  <c:v>572.13000000000011</c:v>
                </c:pt>
                <c:pt idx="211">
                  <c:v>570.67000000000019</c:v>
                </c:pt>
                <c:pt idx="212">
                  <c:v>569.21000000000015</c:v>
                </c:pt>
                <c:pt idx="213">
                  <c:v>567.75000000000023</c:v>
                </c:pt>
                <c:pt idx="214">
                  <c:v>566.29000000000019</c:v>
                </c:pt>
                <c:pt idx="215">
                  <c:v>564.83000000000027</c:v>
                </c:pt>
                <c:pt idx="216">
                  <c:v>563.37000000000035</c:v>
                </c:pt>
                <c:pt idx="217">
                  <c:v>561.91000000000031</c:v>
                </c:pt>
                <c:pt idx="218">
                  <c:v>560.45000000000039</c:v>
                </c:pt>
                <c:pt idx="219">
                  <c:v>558.99000000000035</c:v>
                </c:pt>
                <c:pt idx="220">
                  <c:v>557.53000000000043</c:v>
                </c:pt>
                <c:pt idx="221">
                  <c:v>556.07000000000039</c:v>
                </c:pt>
                <c:pt idx="222">
                  <c:v>554.61000000000047</c:v>
                </c:pt>
                <c:pt idx="223">
                  <c:v>553.15000000000055</c:v>
                </c:pt>
                <c:pt idx="224">
                  <c:v>551.69000000000051</c:v>
                </c:pt>
                <c:pt idx="225">
                  <c:v>550.23000000000059</c:v>
                </c:pt>
                <c:pt idx="226">
                  <c:v>548.77000000000055</c:v>
                </c:pt>
                <c:pt idx="227">
                  <c:v>547.31000000000063</c:v>
                </c:pt>
                <c:pt idx="228">
                  <c:v>545.8500000000007</c:v>
                </c:pt>
                <c:pt idx="229">
                  <c:v>544.39000000000067</c:v>
                </c:pt>
                <c:pt idx="230">
                  <c:v>542.93000000000075</c:v>
                </c:pt>
                <c:pt idx="231">
                  <c:v>541.47000000000071</c:v>
                </c:pt>
                <c:pt idx="232">
                  <c:v>540.01000000000079</c:v>
                </c:pt>
                <c:pt idx="233">
                  <c:v>538.55000000000086</c:v>
                </c:pt>
                <c:pt idx="234">
                  <c:v>537.09000000000083</c:v>
                </c:pt>
                <c:pt idx="235">
                  <c:v>535.6300000000009</c:v>
                </c:pt>
                <c:pt idx="236">
                  <c:v>534.17000000000087</c:v>
                </c:pt>
                <c:pt idx="237">
                  <c:v>532.71000000000095</c:v>
                </c:pt>
                <c:pt idx="238">
                  <c:v>531.25000000000102</c:v>
                </c:pt>
                <c:pt idx="239">
                  <c:v>529.79000000000099</c:v>
                </c:pt>
                <c:pt idx="240">
                  <c:v>528.33000000000106</c:v>
                </c:pt>
                <c:pt idx="241">
                  <c:v>526.87000000000103</c:v>
                </c:pt>
                <c:pt idx="242">
                  <c:v>525.41000000000111</c:v>
                </c:pt>
                <c:pt idx="243">
                  <c:v>523.95000000000118</c:v>
                </c:pt>
                <c:pt idx="244">
                  <c:v>522.49000000000115</c:v>
                </c:pt>
                <c:pt idx="245">
                  <c:v>521.03000000000122</c:v>
                </c:pt>
                <c:pt idx="246">
                  <c:v>519.57000000000119</c:v>
                </c:pt>
                <c:pt idx="247">
                  <c:v>518.11000000000126</c:v>
                </c:pt>
                <c:pt idx="248">
                  <c:v>516.65000000000123</c:v>
                </c:pt>
                <c:pt idx="249">
                  <c:v>515.19000000000131</c:v>
                </c:pt>
                <c:pt idx="250">
                  <c:v>513.73000000000138</c:v>
                </c:pt>
                <c:pt idx="251">
                  <c:v>511.97872340425727</c:v>
                </c:pt>
                <c:pt idx="252">
                  <c:v>509.93617021276793</c:v>
                </c:pt>
                <c:pt idx="253">
                  <c:v>507.8936170212786</c:v>
                </c:pt>
                <c:pt idx="254">
                  <c:v>505.85106382978927</c:v>
                </c:pt>
                <c:pt idx="255">
                  <c:v>503.80851063829999</c:v>
                </c:pt>
                <c:pt idx="256">
                  <c:v>501.76595744681066</c:v>
                </c:pt>
                <c:pt idx="257">
                  <c:v>499.72340425532133</c:v>
                </c:pt>
                <c:pt idx="258">
                  <c:v>497.68085106383205</c:v>
                </c:pt>
                <c:pt idx="259">
                  <c:v>495.63829787234272</c:v>
                </c:pt>
                <c:pt idx="260">
                  <c:v>493.59574468085339</c:v>
                </c:pt>
                <c:pt idx="261">
                  <c:v>491.55319148936405</c:v>
                </c:pt>
                <c:pt idx="262">
                  <c:v>489.51063829787478</c:v>
                </c:pt>
                <c:pt idx="263">
                  <c:v>487.46808510638544</c:v>
                </c:pt>
                <c:pt idx="264">
                  <c:v>485.42553191489611</c:v>
                </c:pt>
                <c:pt idx="265">
                  <c:v>483.38297872340678</c:v>
                </c:pt>
                <c:pt idx="266">
                  <c:v>481.3404255319175</c:v>
                </c:pt>
                <c:pt idx="267">
                  <c:v>479.29787234042817</c:v>
                </c:pt>
                <c:pt idx="268">
                  <c:v>477.25531914893884</c:v>
                </c:pt>
                <c:pt idx="269">
                  <c:v>475.21276595744951</c:v>
                </c:pt>
                <c:pt idx="270">
                  <c:v>473.17021276596023</c:v>
                </c:pt>
                <c:pt idx="271">
                  <c:v>471.1276595744709</c:v>
                </c:pt>
                <c:pt idx="272">
                  <c:v>469.08510638298156</c:v>
                </c:pt>
                <c:pt idx="273">
                  <c:v>467.04255319149229</c:v>
                </c:pt>
                <c:pt idx="274">
                  <c:v>465.00000000000296</c:v>
                </c:pt>
                <c:pt idx="275">
                  <c:v>462.95744680851362</c:v>
                </c:pt>
                <c:pt idx="276">
                  <c:v>460.91489361702429</c:v>
                </c:pt>
                <c:pt idx="277">
                  <c:v>458.87234042553501</c:v>
                </c:pt>
                <c:pt idx="278">
                  <c:v>456.82978723404568</c:v>
                </c:pt>
                <c:pt idx="279">
                  <c:v>454.78723404255635</c:v>
                </c:pt>
                <c:pt idx="280">
                  <c:v>452.74468085106707</c:v>
                </c:pt>
                <c:pt idx="281">
                  <c:v>450.70212765957774</c:v>
                </c:pt>
                <c:pt idx="282">
                  <c:v>448.65957446808841</c:v>
                </c:pt>
                <c:pt idx="283">
                  <c:v>446.61702127659908</c:v>
                </c:pt>
                <c:pt idx="284">
                  <c:v>444.57446808510974</c:v>
                </c:pt>
                <c:pt idx="285">
                  <c:v>442.53191489362047</c:v>
                </c:pt>
                <c:pt idx="286">
                  <c:v>440.48936170213113</c:v>
                </c:pt>
                <c:pt idx="287">
                  <c:v>438.44680851064186</c:v>
                </c:pt>
                <c:pt idx="288">
                  <c:v>436.40425531915253</c:v>
                </c:pt>
                <c:pt idx="289">
                  <c:v>434.36170212766319</c:v>
                </c:pt>
                <c:pt idx="290">
                  <c:v>432.31914893617386</c:v>
                </c:pt>
                <c:pt idx="291">
                  <c:v>430.27659574468453</c:v>
                </c:pt>
                <c:pt idx="292">
                  <c:v>428.23404255319525</c:v>
                </c:pt>
                <c:pt idx="293">
                  <c:v>426.19148936170592</c:v>
                </c:pt>
                <c:pt idx="294">
                  <c:v>424.14893617021659</c:v>
                </c:pt>
                <c:pt idx="295">
                  <c:v>422.10638297872731</c:v>
                </c:pt>
                <c:pt idx="296">
                  <c:v>420.06382978723798</c:v>
                </c:pt>
                <c:pt idx="297">
                  <c:v>418.02127659574865</c:v>
                </c:pt>
                <c:pt idx="298">
                  <c:v>412.82608695653812</c:v>
                </c:pt>
                <c:pt idx="299">
                  <c:v>404.47826086958179</c:v>
                </c:pt>
                <c:pt idx="300">
                  <c:v>396.13043478262546</c:v>
                </c:pt>
                <c:pt idx="301">
                  <c:v>387.78260869566913</c:v>
                </c:pt>
                <c:pt idx="302">
                  <c:v>379.43478260871274</c:v>
                </c:pt>
                <c:pt idx="303">
                  <c:v>371.08695652175641</c:v>
                </c:pt>
                <c:pt idx="304">
                  <c:v>362.73913043480007</c:v>
                </c:pt>
                <c:pt idx="305">
                  <c:v>354.39130434784374</c:v>
                </c:pt>
                <c:pt idx="306">
                  <c:v>346.04347826088735</c:v>
                </c:pt>
                <c:pt idx="307">
                  <c:v>337.69565217393102</c:v>
                </c:pt>
                <c:pt idx="308">
                  <c:v>329.34782608697469</c:v>
                </c:pt>
                <c:pt idx="309">
                  <c:v>321.00000000001836</c:v>
                </c:pt>
                <c:pt idx="310">
                  <c:v>312.65217391306203</c:v>
                </c:pt>
                <c:pt idx="311">
                  <c:v>304.30434782610564</c:v>
                </c:pt>
                <c:pt idx="312">
                  <c:v>295.95652173914931</c:v>
                </c:pt>
                <c:pt idx="313">
                  <c:v>287.60869565219298</c:v>
                </c:pt>
                <c:pt idx="314">
                  <c:v>279.26086956523659</c:v>
                </c:pt>
                <c:pt idx="315">
                  <c:v>270.91304347828031</c:v>
                </c:pt>
                <c:pt idx="316">
                  <c:v>262.56521739132393</c:v>
                </c:pt>
                <c:pt idx="317">
                  <c:v>254.2173913043676</c:v>
                </c:pt>
                <c:pt idx="318">
                  <c:v>245.86956521741126</c:v>
                </c:pt>
                <c:pt idx="319">
                  <c:v>237.5217391304549</c:v>
                </c:pt>
                <c:pt idx="320">
                  <c:v>229.17391304349857</c:v>
                </c:pt>
                <c:pt idx="321">
                  <c:v>222.07407407408843</c:v>
                </c:pt>
                <c:pt idx="322">
                  <c:v>216.2222222222367</c:v>
                </c:pt>
                <c:pt idx="323">
                  <c:v>210.37037037038499</c:v>
                </c:pt>
                <c:pt idx="324">
                  <c:v>204.51851851853326</c:v>
                </c:pt>
                <c:pt idx="325">
                  <c:v>198.66666666668152</c:v>
                </c:pt>
                <c:pt idx="326">
                  <c:v>192.81481481482979</c:v>
                </c:pt>
                <c:pt idx="327">
                  <c:v>186.96296296297808</c:v>
                </c:pt>
                <c:pt idx="328">
                  <c:v>181.11111111112635</c:v>
                </c:pt>
                <c:pt idx="329">
                  <c:v>175.25925925927461</c:v>
                </c:pt>
                <c:pt idx="330">
                  <c:v>169.40740740742291</c:v>
                </c:pt>
                <c:pt idx="331">
                  <c:v>163.55555555557117</c:v>
                </c:pt>
                <c:pt idx="332">
                  <c:v>157.70370370371944</c:v>
                </c:pt>
                <c:pt idx="333">
                  <c:v>151.85185185186771</c:v>
                </c:pt>
                <c:pt idx="334">
                  <c:v>146.00000000001597</c:v>
                </c:pt>
                <c:pt idx="335">
                  <c:v>140.14814814816427</c:v>
                </c:pt>
                <c:pt idx="336">
                  <c:v>134.29629629631253</c:v>
                </c:pt>
                <c:pt idx="337">
                  <c:v>128.44444444446083</c:v>
                </c:pt>
                <c:pt idx="338">
                  <c:v>122.59259259260908</c:v>
                </c:pt>
                <c:pt idx="339">
                  <c:v>116.74074074075736</c:v>
                </c:pt>
                <c:pt idx="340">
                  <c:v>110.88888888890563</c:v>
                </c:pt>
                <c:pt idx="341">
                  <c:v>105.03703703705391</c:v>
                </c:pt>
                <c:pt idx="342">
                  <c:v>99.185185185202172</c:v>
                </c:pt>
                <c:pt idx="343">
                  <c:v>93.333333333350453</c:v>
                </c:pt>
                <c:pt idx="344">
                  <c:v>87.481481481498719</c:v>
                </c:pt>
                <c:pt idx="345">
                  <c:v>81.629629629646985</c:v>
                </c:pt>
                <c:pt idx="346">
                  <c:v>75.777777777795279</c:v>
                </c:pt>
                <c:pt idx="347">
                  <c:v>69.925925925943545</c:v>
                </c:pt>
                <c:pt idx="348">
                  <c:v>64.20833333335024</c:v>
                </c:pt>
                <c:pt idx="349">
                  <c:v>58.625000000017017</c:v>
                </c:pt>
                <c:pt idx="350">
                  <c:v>53.041666666683788</c:v>
                </c:pt>
                <c:pt idx="351">
                  <c:v>47.458333333350552</c:v>
                </c:pt>
                <c:pt idx="352">
                  <c:v>41.875000000017323</c:v>
                </c:pt>
                <c:pt idx="353">
                  <c:v>36.291666666684094</c:v>
                </c:pt>
                <c:pt idx="354">
                  <c:v>30.708333333350872</c:v>
                </c:pt>
                <c:pt idx="355">
                  <c:v>25.125000000017643</c:v>
                </c:pt>
                <c:pt idx="356">
                  <c:v>19.541666666684407</c:v>
                </c:pt>
                <c:pt idx="357">
                  <c:v>13.958333333351177</c:v>
                </c:pt>
                <c:pt idx="358">
                  <c:v>8.3750000000179483</c:v>
                </c:pt>
                <c:pt idx="359">
                  <c:v>2.7916666666847192</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numCache>
            </c:numRef>
          </c:yVal>
          <c:smooth val="0"/>
          <c:extLst>
            <c:ext xmlns:c16="http://schemas.microsoft.com/office/drawing/2014/chart" uri="{C3380CC4-5D6E-409C-BE32-E72D297353CC}">
              <c16:uniqueId val="{00000000-B98B-46BB-BB51-DAAA2071230C}"/>
            </c:ext>
          </c:extLst>
        </c:ser>
        <c:ser>
          <c:idx val="2"/>
          <c:order val="1"/>
          <c:tx>
            <c:strRef>
              <c:f>Courbes!$B$135</c:f>
              <c:strCache>
                <c:ptCount val="1"/>
                <c:pt idx="0">
                  <c:v>Poids</c:v>
                </c:pt>
              </c:strCache>
            </c:strRef>
          </c:tx>
          <c:spPr>
            <a:ln w="25400">
              <a:solidFill>
                <a:srgbClr val="0000FF"/>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34.800000000000182</c:v>
                </c:pt>
                <c:pt idx="709">
                  <c:v>34.900000000000183</c:v>
                </c:pt>
                <c:pt idx="710">
                  <c:v>35.000000000000185</c:v>
                </c:pt>
                <c:pt idx="711">
                  <c:v>35.100000000000186</c:v>
                </c:pt>
                <c:pt idx="712">
                  <c:v>35.200000000000188</c:v>
                </c:pt>
                <c:pt idx="713">
                  <c:v>35.300000000000189</c:v>
                </c:pt>
                <c:pt idx="714">
                  <c:v>35.40000000000019</c:v>
                </c:pt>
                <c:pt idx="715">
                  <c:v>35.500000000000192</c:v>
                </c:pt>
                <c:pt idx="716">
                  <c:v>35.600000000000193</c:v>
                </c:pt>
                <c:pt idx="717">
                  <c:v>35.700000000000195</c:v>
                </c:pt>
                <c:pt idx="718">
                  <c:v>35.800000000000196</c:v>
                </c:pt>
                <c:pt idx="719">
                  <c:v>35.900000000000198</c:v>
                </c:pt>
                <c:pt idx="720">
                  <c:v>36.000000000000199</c:v>
                </c:pt>
                <c:pt idx="721">
                  <c:v>36.1000000000002</c:v>
                </c:pt>
                <c:pt idx="722">
                  <c:v>36.200000000000202</c:v>
                </c:pt>
                <c:pt idx="723">
                  <c:v>36.300000000000203</c:v>
                </c:pt>
                <c:pt idx="724">
                  <c:v>36.400000000000205</c:v>
                </c:pt>
                <c:pt idx="725">
                  <c:v>36.500000000000206</c:v>
                </c:pt>
                <c:pt idx="726">
                  <c:v>36.600000000000207</c:v>
                </c:pt>
                <c:pt idx="727">
                  <c:v>36.700000000000209</c:v>
                </c:pt>
                <c:pt idx="728">
                  <c:v>36.80000000000021</c:v>
                </c:pt>
                <c:pt idx="729">
                  <c:v>36.900000000000212</c:v>
                </c:pt>
                <c:pt idx="730">
                  <c:v>37.000000000000213</c:v>
                </c:pt>
                <c:pt idx="731">
                  <c:v>37.100000000000215</c:v>
                </c:pt>
                <c:pt idx="732">
                  <c:v>37.200000000000216</c:v>
                </c:pt>
                <c:pt idx="733">
                  <c:v>37.300000000000217</c:v>
                </c:pt>
                <c:pt idx="734">
                  <c:v>37.400000000000219</c:v>
                </c:pt>
                <c:pt idx="735">
                  <c:v>37.50000000000022</c:v>
                </c:pt>
                <c:pt idx="736">
                  <c:v>37.600000000000222</c:v>
                </c:pt>
                <c:pt idx="737">
                  <c:v>37.700000000000223</c:v>
                </c:pt>
                <c:pt idx="738">
                  <c:v>37.800000000000225</c:v>
                </c:pt>
                <c:pt idx="739">
                  <c:v>37.900000000000226</c:v>
                </c:pt>
                <c:pt idx="740">
                  <c:v>38.000000000000227</c:v>
                </c:pt>
                <c:pt idx="741">
                  <c:v>38.100000000000229</c:v>
                </c:pt>
                <c:pt idx="742">
                  <c:v>38.20000000000023</c:v>
                </c:pt>
                <c:pt idx="743">
                  <c:v>38.300000000000232</c:v>
                </c:pt>
                <c:pt idx="744">
                  <c:v>38.400000000000233</c:v>
                </c:pt>
                <c:pt idx="745">
                  <c:v>38.500000000000234</c:v>
                </c:pt>
                <c:pt idx="746">
                  <c:v>38.600000000000236</c:v>
                </c:pt>
                <c:pt idx="747">
                  <c:v>38.700000000000237</c:v>
                </c:pt>
                <c:pt idx="748">
                  <c:v>38.800000000000239</c:v>
                </c:pt>
                <c:pt idx="749">
                  <c:v>38.90000000000024</c:v>
                </c:pt>
                <c:pt idx="750">
                  <c:v>39.000000000000242</c:v>
                </c:pt>
                <c:pt idx="751">
                  <c:v>39.100000000000243</c:v>
                </c:pt>
                <c:pt idx="752">
                  <c:v>39.200000000000244</c:v>
                </c:pt>
                <c:pt idx="753">
                  <c:v>39.300000000000246</c:v>
                </c:pt>
                <c:pt idx="754">
                  <c:v>39.400000000000247</c:v>
                </c:pt>
                <c:pt idx="755">
                  <c:v>39.500000000000249</c:v>
                </c:pt>
                <c:pt idx="756">
                  <c:v>39.60000000000025</c:v>
                </c:pt>
                <c:pt idx="757">
                  <c:v>39.700000000000252</c:v>
                </c:pt>
                <c:pt idx="758">
                  <c:v>39.800000000000253</c:v>
                </c:pt>
                <c:pt idx="759">
                  <c:v>39.900000000000254</c:v>
                </c:pt>
                <c:pt idx="760">
                  <c:v>40.000000000000256</c:v>
                </c:pt>
                <c:pt idx="761">
                  <c:v>40.100000000000257</c:v>
                </c:pt>
                <c:pt idx="762">
                  <c:v>40.200000000000259</c:v>
                </c:pt>
                <c:pt idx="763">
                  <c:v>40.30000000000026</c:v>
                </c:pt>
                <c:pt idx="764">
                  <c:v>40.400000000000261</c:v>
                </c:pt>
                <c:pt idx="765">
                  <c:v>40.500000000000263</c:v>
                </c:pt>
                <c:pt idx="766">
                  <c:v>40.600000000000264</c:v>
                </c:pt>
                <c:pt idx="767">
                  <c:v>40.700000000000266</c:v>
                </c:pt>
                <c:pt idx="768">
                  <c:v>40.800000000000267</c:v>
                </c:pt>
                <c:pt idx="769">
                  <c:v>40.900000000000269</c:v>
                </c:pt>
                <c:pt idx="770">
                  <c:v>41.00000000000027</c:v>
                </c:pt>
                <c:pt idx="771">
                  <c:v>41.100000000000271</c:v>
                </c:pt>
                <c:pt idx="772">
                  <c:v>41.200000000000273</c:v>
                </c:pt>
                <c:pt idx="773">
                  <c:v>41.300000000000274</c:v>
                </c:pt>
                <c:pt idx="774">
                  <c:v>41.400000000000276</c:v>
                </c:pt>
                <c:pt idx="775">
                  <c:v>41.500000000000277</c:v>
                </c:pt>
                <c:pt idx="776">
                  <c:v>41.600000000000279</c:v>
                </c:pt>
                <c:pt idx="777">
                  <c:v>41.70000000000028</c:v>
                </c:pt>
                <c:pt idx="778">
                  <c:v>41.800000000000281</c:v>
                </c:pt>
                <c:pt idx="779">
                  <c:v>41.900000000000283</c:v>
                </c:pt>
                <c:pt idx="780">
                  <c:v>42.000000000000284</c:v>
                </c:pt>
                <c:pt idx="781">
                  <c:v>42.100000000000286</c:v>
                </c:pt>
                <c:pt idx="782">
                  <c:v>42.200000000000287</c:v>
                </c:pt>
                <c:pt idx="783">
                  <c:v>42.300000000000288</c:v>
                </c:pt>
                <c:pt idx="784">
                  <c:v>42.40000000000029</c:v>
                </c:pt>
                <c:pt idx="785">
                  <c:v>42.500000000000291</c:v>
                </c:pt>
                <c:pt idx="786">
                  <c:v>42.600000000000293</c:v>
                </c:pt>
                <c:pt idx="787">
                  <c:v>42.700000000000294</c:v>
                </c:pt>
                <c:pt idx="788">
                  <c:v>42.800000000000296</c:v>
                </c:pt>
                <c:pt idx="789">
                  <c:v>42.900000000000297</c:v>
                </c:pt>
                <c:pt idx="790">
                  <c:v>43.000000000000298</c:v>
                </c:pt>
                <c:pt idx="791">
                  <c:v>43.1000000000003</c:v>
                </c:pt>
                <c:pt idx="792">
                  <c:v>43.200000000000301</c:v>
                </c:pt>
                <c:pt idx="793">
                  <c:v>43.300000000000303</c:v>
                </c:pt>
                <c:pt idx="794">
                  <c:v>43.400000000000304</c:v>
                </c:pt>
                <c:pt idx="795">
                  <c:v>43.500000000000306</c:v>
                </c:pt>
                <c:pt idx="796">
                  <c:v>43.600000000000307</c:v>
                </c:pt>
                <c:pt idx="797">
                  <c:v>43.700000000000308</c:v>
                </c:pt>
                <c:pt idx="798">
                  <c:v>43.80000000000031</c:v>
                </c:pt>
                <c:pt idx="799">
                  <c:v>43.900000000000311</c:v>
                </c:pt>
                <c:pt idx="800">
                  <c:v>44.000000000000313</c:v>
                </c:pt>
                <c:pt idx="801">
                  <c:v>44.100000000000314</c:v>
                </c:pt>
                <c:pt idx="802">
                  <c:v>44.200000000000315</c:v>
                </c:pt>
                <c:pt idx="803">
                  <c:v>44.300000000000317</c:v>
                </c:pt>
                <c:pt idx="804">
                  <c:v>44.400000000000318</c:v>
                </c:pt>
                <c:pt idx="805">
                  <c:v>44.50000000000032</c:v>
                </c:pt>
                <c:pt idx="806">
                  <c:v>44.600000000000321</c:v>
                </c:pt>
                <c:pt idx="807">
                  <c:v>44.600100000000324</c:v>
                </c:pt>
                <c:pt idx="808">
                  <c:v>44.600200000000328</c:v>
                </c:pt>
                <c:pt idx="809">
                  <c:v>44.600300000000331</c:v>
                </c:pt>
                <c:pt idx="810">
                  <c:v>44.600400000000334</c:v>
                </c:pt>
                <c:pt idx="811">
                  <c:v>44.600500000000338</c:v>
                </c:pt>
                <c:pt idx="812">
                  <c:v>44.600600000000341</c:v>
                </c:pt>
                <c:pt idx="813">
                  <c:v>44.600700000000344</c:v>
                </c:pt>
                <c:pt idx="814">
                  <c:v>44.600800000000348</c:v>
                </c:pt>
                <c:pt idx="815">
                  <c:v>44.600900000000351</c:v>
                </c:pt>
                <c:pt idx="816">
                  <c:v>44.601000000000354</c:v>
                </c:pt>
                <c:pt idx="817">
                  <c:v>44.601100000000358</c:v>
                </c:pt>
                <c:pt idx="818">
                  <c:v>44.601200000000361</c:v>
                </c:pt>
                <c:pt idx="819">
                  <c:v>44.601300000000364</c:v>
                </c:pt>
                <c:pt idx="820">
                  <c:v>44.601400000000368</c:v>
                </c:pt>
                <c:pt idx="821">
                  <c:v>44.601500000000371</c:v>
                </c:pt>
                <c:pt idx="822">
                  <c:v>44.601600000000374</c:v>
                </c:pt>
                <c:pt idx="823">
                  <c:v>44.601700000000378</c:v>
                </c:pt>
                <c:pt idx="824">
                  <c:v>44.601800000000381</c:v>
                </c:pt>
                <c:pt idx="825">
                  <c:v>44.601900000000384</c:v>
                </c:pt>
                <c:pt idx="826">
                  <c:v>44.602000000000388</c:v>
                </c:pt>
                <c:pt idx="827">
                  <c:v>44.602100000000391</c:v>
                </c:pt>
                <c:pt idx="828">
                  <c:v>44.602200000000394</c:v>
                </c:pt>
                <c:pt idx="829">
                  <c:v>44.602300000000398</c:v>
                </c:pt>
                <c:pt idx="830">
                  <c:v>44.602400000000401</c:v>
                </c:pt>
                <c:pt idx="831">
                  <c:v>44.602500000000404</c:v>
                </c:pt>
                <c:pt idx="832">
                  <c:v>44.602600000000407</c:v>
                </c:pt>
                <c:pt idx="833">
                  <c:v>44.602700000000411</c:v>
                </c:pt>
                <c:pt idx="834">
                  <c:v>44.602800000000414</c:v>
                </c:pt>
                <c:pt idx="835">
                  <c:v>44.602900000000417</c:v>
                </c:pt>
                <c:pt idx="836">
                  <c:v>44.603000000000421</c:v>
                </c:pt>
                <c:pt idx="837">
                  <c:v>44.603100000000424</c:v>
                </c:pt>
                <c:pt idx="838">
                  <c:v>44.603200000000427</c:v>
                </c:pt>
                <c:pt idx="839">
                  <c:v>44.603300000000431</c:v>
                </c:pt>
                <c:pt idx="840">
                  <c:v>44.603400000000434</c:v>
                </c:pt>
                <c:pt idx="841">
                  <c:v>44.603500000000437</c:v>
                </c:pt>
                <c:pt idx="842">
                  <c:v>44.603600000000441</c:v>
                </c:pt>
                <c:pt idx="843">
                  <c:v>44.603700000000444</c:v>
                </c:pt>
                <c:pt idx="844">
                  <c:v>44.603800000000447</c:v>
                </c:pt>
                <c:pt idx="845">
                  <c:v>44.603900000000451</c:v>
                </c:pt>
                <c:pt idx="846">
                  <c:v>44.604000000000454</c:v>
                </c:pt>
                <c:pt idx="847">
                  <c:v>44.604100000000457</c:v>
                </c:pt>
                <c:pt idx="848">
                  <c:v>44.604200000000461</c:v>
                </c:pt>
                <c:pt idx="849">
                  <c:v>44.604300000000464</c:v>
                </c:pt>
                <c:pt idx="850">
                  <c:v>44.604400000000467</c:v>
                </c:pt>
                <c:pt idx="851">
                  <c:v>44.604500000000471</c:v>
                </c:pt>
                <c:pt idx="852">
                  <c:v>44.604600000000474</c:v>
                </c:pt>
                <c:pt idx="853">
                  <c:v>44.604700000000477</c:v>
                </c:pt>
                <c:pt idx="854">
                  <c:v>44.604800000000481</c:v>
                </c:pt>
                <c:pt idx="855">
                  <c:v>44.604900000000484</c:v>
                </c:pt>
                <c:pt idx="856">
                  <c:v>44.605000000000487</c:v>
                </c:pt>
                <c:pt idx="857">
                  <c:v>44.60510000000049</c:v>
                </c:pt>
                <c:pt idx="858">
                  <c:v>44.605200000000494</c:v>
                </c:pt>
                <c:pt idx="859">
                  <c:v>44.605300000000497</c:v>
                </c:pt>
                <c:pt idx="860">
                  <c:v>44.6054000000005</c:v>
                </c:pt>
                <c:pt idx="861">
                  <c:v>44.605500000000504</c:v>
                </c:pt>
                <c:pt idx="862">
                  <c:v>44.605600000000507</c:v>
                </c:pt>
                <c:pt idx="863">
                  <c:v>44.60570000000051</c:v>
                </c:pt>
                <c:pt idx="864">
                  <c:v>44.605800000000514</c:v>
                </c:pt>
                <c:pt idx="865">
                  <c:v>44.605900000000517</c:v>
                </c:pt>
                <c:pt idx="866">
                  <c:v>44.60600000000052</c:v>
                </c:pt>
                <c:pt idx="867">
                  <c:v>44.606100000000524</c:v>
                </c:pt>
                <c:pt idx="868">
                  <c:v>44.606200000000527</c:v>
                </c:pt>
                <c:pt idx="869">
                  <c:v>44.60630000000053</c:v>
                </c:pt>
                <c:pt idx="870">
                  <c:v>44.606400000000534</c:v>
                </c:pt>
                <c:pt idx="871">
                  <c:v>44.606500000000537</c:v>
                </c:pt>
                <c:pt idx="872">
                  <c:v>44.60660000000054</c:v>
                </c:pt>
                <c:pt idx="873">
                  <c:v>44.606700000000544</c:v>
                </c:pt>
                <c:pt idx="874">
                  <c:v>44.606800000000547</c:v>
                </c:pt>
                <c:pt idx="875">
                  <c:v>44.60690000000055</c:v>
                </c:pt>
                <c:pt idx="876">
                  <c:v>44.607000000000554</c:v>
                </c:pt>
                <c:pt idx="877">
                  <c:v>44.607100000000557</c:v>
                </c:pt>
                <c:pt idx="878">
                  <c:v>44.60720000000056</c:v>
                </c:pt>
                <c:pt idx="879">
                  <c:v>44.607300000000564</c:v>
                </c:pt>
                <c:pt idx="880">
                  <c:v>44.607400000000567</c:v>
                </c:pt>
                <c:pt idx="881">
                  <c:v>44.60750000000057</c:v>
                </c:pt>
                <c:pt idx="882">
                  <c:v>44.607600000000573</c:v>
                </c:pt>
                <c:pt idx="883">
                  <c:v>44.607700000000577</c:v>
                </c:pt>
                <c:pt idx="884">
                  <c:v>44.60780000000058</c:v>
                </c:pt>
                <c:pt idx="885">
                  <c:v>44.607900000000583</c:v>
                </c:pt>
                <c:pt idx="886">
                  <c:v>44.608000000000587</c:v>
                </c:pt>
                <c:pt idx="887">
                  <c:v>44.60810000000059</c:v>
                </c:pt>
                <c:pt idx="888">
                  <c:v>44.608200000000593</c:v>
                </c:pt>
                <c:pt idx="889">
                  <c:v>44.608300000000597</c:v>
                </c:pt>
                <c:pt idx="890">
                  <c:v>44.6084000000006</c:v>
                </c:pt>
                <c:pt idx="891">
                  <c:v>44.608500000000603</c:v>
                </c:pt>
                <c:pt idx="892">
                  <c:v>44.608600000000607</c:v>
                </c:pt>
                <c:pt idx="893">
                  <c:v>44.60870000000061</c:v>
                </c:pt>
                <c:pt idx="894">
                  <c:v>44.608800000000613</c:v>
                </c:pt>
                <c:pt idx="895">
                  <c:v>44.608900000000617</c:v>
                </c:pt>
                <c:pt idx="896">
                  <c:v>44.60900000000062</c:v>
                </c:pt>
                <c:pt idx="897">
                  <c:v>44.609100000000623</c:v>
                </c:pt>
                <c:pt idx="898">
                  <c:v>44.609200000000627</c:v>
                </c:pt>
                <c:pt idx="899">
                  <c:v>44.60930000000063</c:v>
                </c:pt>
                <c:pt idx="900">
                  <c:v>44.609400000000633</c:v>
                </c:pt>
                <c:pt idx="901">
                  <c:v>44.609500000000637</c:v>
                </c:pt>
                <c:pt idx="902">
                  <c:v>44.60960000000064</c:v>
                </c:pt>
                <c:pt idx="903">
                  <c:v>44.609700000000643</c:v>
                </c:pt>
                <c:pt idx="904">
                  <c:v>44.609800000000646</c:v>
                </c:pt>
                <c:pt idx="905">
                  <c:v>44.60990000000065</c:v>
                </c:pt>
                <c:pt idx="906">
                  <c:v>44.610000000000653</c:v>
                </c:pt>
                <c:pt idx="907">
                  <c:v>44.610100000000656</c:v>
                </c:pt>
                <c:pt idx="908">
                  <c:v>44.61020000000066</c:v>
                </c:pt>
                <c:pt idx="909">
                  <c:v>44.610300000000663</c:v>
                </c:pt>
                <c:pt idx="910">
                  <c:v>44.610400000000666</c:v>
                </c:pt>
                <c:pt idx="911">
                  <c:v>44.61050000000067</c:v>
                </c:pt>
                <c:pt idx="912">
                  <c:v>44.610600000000673</c:v>
                </c:pt>
                <c:pt idx="913">
                  <c:v>44.610700000000676</c:v>
                </c:pt>
                <c:pt idx="914">
                  <c:v>44.61080000000068</c:v>
                </c:pt>
                <c:pt idx="915">
                  <c:v>44.610900000000683</c:v>
                </c:pt>
                <c:pt idx="916">
                  <c:v>44.611000000000686</c:v>
                </c:pt>
                <c:pt idx="917">
                  <c:v>44.61110000000069</c:v>
                </c:pt>
                <c:pt idx="918">
                  <c:v>44.611200000000693</c:v>
                </c:pt>
                <c:pt idx="919">
                  <c:v>44.611300000000696</c:v>
                </c:pt>
                <c:pt idx="920">
                  <c:v>44.6114000000007</c:v>
                </c:pt>
                <c:pt idx="921">
                  <c:v>44.611500000000703</c:v>
                </c:pt>
                <c:pt idx="922">
                  <c:v>44.611600000000706</c:v>
                </c:pt>
                <c:pt idx="923">
                  <c:v>44.61170000000071</c:v>
                </c:pt>
                <c:pt idx="924">
                  <c:v>44.611800000000713</c:v>
                </c:pt>
                <c:pt idx="925">
                  <c:v>44.611900000000716</c:v>
                </c:pt>
                <c:pt idx="926">
                  <c:v>44.61200000000072</c:v>
                </c:pt>
                <c:pt idx="927">
                  <c:v>44.612100000000723</c:v>
                </c:pt>
                <c:pt idx="928">
                  <c:v>44.612200000000726</c:v>
                </c:pt>
                <c:pt idx="929">
                  <c:v>44.612300000000729</c:v>
                </c:pt>
                <c:pt idx="930">
                  <c:v>44.612400000000733</c:v>
                </c:pt>
                <c:pt idx="931">
                  <c:v>44.612500000000736</c:v>
                </c:pt>
                <c:pt idx="932">
                  <c:v>44.612600000000739</c:v>
                </c:pt>
                <c:pt idx="933">
                  <c:v>44.612700000000743</c:v>
                </c:pt>
                <c:pt idx="934">
                  <c:v>44.612800000000746</c:v>
                </c:pt>
                <c:pt idx="935">
                  <c:v>44.612900000000749</c:v>
                </c:pt>
                <c:pt idx="936">
                  <c:v>44.613000000000753</c:v>
                </c:pt>
                <c:pt idx="937">
                  <c:v>44.613100000000756</c:v>
                </c:pt>
                <c:pt idx="938">
                  <c:v>44.613200000000759</c:v>
                </c:pt>
                <c:pt idx="939">
                  <c:v>44.613300000000763</c:v>
                </c:pt>
                <c:pt idx="940">
                  <c:v>44.613400000000766</c:v>
                </c:pt>
                <c:pt idx="941">
                  <c:v>44.613500000000769</c:v>
                </c:pt>
                <c:pt idx="942">
                  <c:v>44.613600000000773</c:v>
                </c:pt>
                <c:pt idx="943">
                  <c:v>44.613700000000776</c:v>
                </c:pt>
                <c:pt idx="944">
                  <c:v>44.613800000000779</c:v>
                </c:pt>
                <c:pt idx="945">
                  <c:v>44.613900000000783</c:v>
                </c:pt>
                <c:pt idx="946">
                  <c:v>44.614000000000786</c:v>
                </c:pt>
                <c:pt idx="947">
                  <c:v>44.614100000000789</c:v>
                </c:pt>
                <c:pt idx="948">
                  <c:v>44.614200000000793</c:v>
                </c:pt>
                <c:pt idx="949">
                  <c:v>44.614300000000796</c:v>
                </c:pt>
                <c:pt idx="950">
                  <c:v>44.614400000000799</c:v>
                </c:pt>
                <c:pt idx="951">
                  <c:v>44.614500000000803</c:v>
                </c:pt>
                <c:pt idx="952">
                  <c:v>44.614600000000806</c:v>
                </c:pt>
                <c:pt idx="953">
                  <c:v>44.614700000000809</c:v>
                </c:pt>
                <c:pt idx="954">
                  <c:v>44.614800000000812</c:v>
                </c:pt>
                <c:pt idx="955">
                  <c:v>44.614900000000816</c:v>
                </c:pt>
                <c:pt idx="956">
                  <c:v>44.615000000000819</c:v>
                </c:pt>
                <c:pt idx="957">
                  <c:v>44.615100000000822</c:v>
                </c:pt>
                <c:pt idx="958">
                  <c:v>44.615200000000826</c:v>
                </c:pt>
                <c:pt idx="959">
                  <c:v>44.615300000000829</c:v>
                </c:pt>
                <c:pt idx="960">
                  <c:v>44.615400000000832</c:v>
                </c:pt>
                <c:pt idx="961">
                  <c:v>44.615500000000836</c:v>
                </c:pt>
                <c:pt idx="962">
                  <c:v>44.615600000000839</c:v>
                </c:pt>
                <c:pt idx="963">
                  <c:v>44.615700000000842</c:v>
                </c:pt>
                <c:pt idx="964">
                  <c:v>44.615800000000846</c:v>
                </c:pt>
                <c:pt idx="965">
                  <c:v>44.615900000000849</c:v>
                </c:pt>
                <c:pt idx="966">
                  <c:v>44.616000000000852</c:v>
                </c:pt>
                <c:pt idx="967">
                  <c:v>44.616100000000856</c:v>
                </c:pt>
                <c:pt idx="968">
                  <c:v>44.616200000000859</c:v>
                </c:pt>
                <c:pt idx="969">
                  <c:v>44.616300000000862</c:v>
                </c:pt>
                <c:pt idx="970">
                  <c:v>44.616400000000866</c:v>
                </c:pt>
                <c:pt idx="971">
                  <c:v>44.616500000000869</c:v>
                </c:pt>
                <c:pt idx="972">
                  <c:v>44.616600000000872</c:v>
                </c:pt>
                <c:pt idx="973">
                  <c:v>44.616700000000876</c:v>
                </c:pt>
                <c:pt idx="974">
                  <c:v>44.616800000000879</c:v>
                </c:pt>
                <c:pt idx="975">
                  <c:v>44.616900000000882</c:v>
                </c:pt>
                <c:pt idx="976">
                  <c:v>44.617000000000886</c:v>
                </c:pt>
                <c:pt idx="977">
                  <c:v>44.617100000000889</c:v>
                </c:pt>
                <c:pt idx="978">
                  <c:v>44.617200000000892</c:v>
                </c:pt>
                <c:pt idx="979">
                  <c:v>44.617300000000895</c:v>
                </c:pt>
                <c:pt idx="980">
                  <c:v>44.617400000000899</c:v>
                </c:pt>
                <c:pt idx="981">
                  <c:v>44.617500000000902</c:v>
                </c:pt>
                <c:pt idx="982">
                  <c:v>44.617600000000905</c:v>
                </c:pt>
                <c:pt idx="983">
                  <c:v>44.617700000000909</c:v>
                </c:pt>
                <c:pt idx="984">
                  <c:v>44.617800000000912</c:v>
                </c:pt>
                <c:pt idx="985">
                  <c:v>44.617900000000915</c:v>
                </c:pt>
                <c:pt idx="986">
                  <c:v>44.618000000000919</c:v>
                </c:pt>
                <c:pt idx="987">
                  <c:v>44.618100000000922</c:v>
                </c:pt>
                <c:pt idx="988">
                  <c:v>44.618200000000925</c:v>
                </c:pt>
                <c:pt idx="989">
                  <c:v>44.618300000000929</c:v>
                </c:pt>
                <c:pt idx="990">
                  <c:v>44.618400000000932</c:v>
                </c:pt>
                <c:pt idx="991">
                  <c:v>44.618500000000935</c:v>
                </c:pt>
                <c:pt idx="992">
                  <c:v>44.618600000000939</c:v>
                </c:pt>
                <c:pt idx="993">
                  <c:v>44.618700000000942</c:v>
                </c:pt>
                <c:pt idx="994">
                  <c:v>44.618800000000945</c:v>
                </c:pt>
                <c:pt idx="995">
                  <c:v>44.618900000000949</c:v>
                </c:pt>
                <c:pt idx="996">
                  <c:v>44.619000000000952</c:v>
                </c:pt>
                <c:pt idx="997">
                  <c:v>44.619100000000955</c:v>
                </c:pt>
                <c:pt idx="998">
                  <c:v>44.619200000000959</c:v>
                </c:pt>
                <c:pt idx="999">
                  <c:v>44.619300000000962</c:v>
                </c:pt>
                <c:pt idx="1000">
                  <c:v>44.619400000000965</c:v>
                </c:pt>
              </c:numCache>
            </c:numRef>
          </c:xVal>
          <c:yVal>
            <c:numRef>
              <c:f>Calculs!$T$4:$T$1004</c:f>
              <c:numCache>
                <c:formatCode>0.00</c:formatCode>
                <c:ptCount val="1001"/>
                <c:pt idx="0">
                  <c:v>59.997959999999999</c:v>
                </c:pt>
                <c:pt idx="1">
                  <c:v>59.99356359853185</c:v>
                </c:pt>
                <c:pt idx="2">
                  <c:v>59.980374394127388</c:v>
                </c:pt>
                <c:pt idx="3">
                  <c:v>59.958392386786628</c:v>
                </c:pt>
                <c:pt idx="4">
                  <c:v>59.927617576509562</c:v>
                </c:pt>
                <c:pt idx="5">
                  <c:v>59.888049963296197</c:v>
                </c:pt>
                <c:pt idx="6">
                  <c:v>59.844137915535107</c:v>
                </c:pt>
                <c:pt idx="7">
                  <c:v>59.800329801614865</c:v>
                </c:pt>
                <c:pt idx="8">
                  <c:v>59.756625621535484</c:v>
                </c:pt>
                <c:pt idx="9">
                  <c:v>59.713025375296958</c:v>
                </c:pt>
                <c:pt idx="10">
                  <c:v>59.669529062899279</c:v>
                </c:pt>
                <c:pt idx="11">
                  <c:v>59.626136684342463</c:v>
                </c:pt>
                <c:pt idx="12">
                  <c:v>59.582848239626493</c:v>
                </c:pt>
                <c:pt idx="13">
                  <c:v>59.539663728751385</c:v>
                </c:pt>
                <c:pt idx="14">
                  <c:v>59.496583151717125</c:v>
                </c:pt>
                <c:pt idx="15">
                  <c:v>59.453606508523734</c:v>
                </c:pt>
                <c:pt idx="16">
                  <c:v>59.410733799171183</c:v>
                </c:pt>
                <c:pt idx="17">
                  <c:v>59.367965023659487</c:v>
                </c:pt>
                <c:pt idx="18">
                  <c:v>59.325300181988652</c:v>
                </c:pt>
                <c:pt idx="19">
                  <c:v>59.282739274158672</c:v>
                </c:pt>
                <c:pt idx="20">
                  <c:v>59.240282300169547</c:v>
                </c:pt>
                <c:pt idx="21">
                  <c:v>59.197929260021276</c:v>
                </c:pt>
                <c:pt idx="22">
                  <c:v>59.15568015371386</c:v>
                </c:pt>
                <c:pt idx="23">
                  <c:v>59.113534981247298</c:v>
                </c:pt>
                <c:pt idx="24">
                  <c:v>59.071493742621584</c:v>
                </c:pt>
                <c:pt idx="25">
                  <c:v>59.029556437836732</c:v>
                </c:pt>
                <c:pt idx="26">
                  <c:v>58.987723066892734</c:v>
                </c:pt>
                <c:pt idx="27">
                  <c:v>58.945993629789591</c:v>
                </c:pt>
                <c:pt idx="28">
                  <c:v>58.904368126527302</c:v>
                </c:pt>
                <c:pt idx="29">
                  <c:v>58.862846557105861</c:v>
                </c:pt>
                <c:pt idx="30">
                  <c:v>58.821428921525282</c:v>
                </c:pt>
                <c:pt idx="31">
                  <c:v>58.78011521978555</c:v>
                </c:pt>
                <c:pt idx="32">
                  <c:v>58.73890545188668</c:v>
                </c:pt>
                <c:pt idx="33">
                  <c:v>58.697799617828665</c:v>
                </c:pt>
                <c:pt idx="34">
                  <c:v>58.656797717611504</c:v>
                </c:pt>
                <c:pt idx="35">
                  <c:v>58.615899751235197</c:v>
                </c:pt>
                <c:pt idx="36">
                  <c:v>58.575105718699746</c:v>
                </c:pt>
                <c:pt idx="37">
                  <c:v>58.534415620005149</c:v>
                </c:pt>
                <c:pt idx="38">
                  <c:v>58.493829455151399</c:v>
                </c:pt>
                <c:pt idx="39">
                  <c:v>58.453347224138518</c:v>
                </c:pt>
                <c:pt idx="40">
                  <c:v>58.412968926966478</c:v>
                </c:pt>
                <c:pt idx="41">
                  <c:v>58.372694563635299</c:v>
                </c:pt>
                <c:pt idx="42">
                  <c:v>58.332524134144975</c:v>
                </c:pt>
                <c:pt idx="43">
                  <c:v>58.292457638495499</c:v>
                </c:pt>
                <c:pt idx="44">
                  <c:v>58.252495076686884</c:v>
                </c:pt>
                <c:pt idx="45">
                  <c:v>58.212636448719124</c:v>
                </c:pt>
                <c:pt idx="46">
                  <c:v>58.172881754592218</c:v>
                </c:pt>
                <c:pt idx="47">
                  <c:v>58.133230994306167</c:v>
                </c:pt>
                <c:pt idx="48">
                  <c:v>58.093684167860971</c:v>
                </c:pt>
                <c:pt idx="49">
                  <c:v>58.054241275256629</c:v>
                </c:pt>
                <c:pt idx="50">
                  <c:v>58.014902316493135</c:v>
                </c:pt>
                <c:pt idx="51">
                  <c:v>57.975644371423499</c:v>
                </c:pt>
                <c:pt idx="52">
                  <c:v>57.936444519900689</c:v>
                </c:pt>
                <c:pt idx="53">
                  <c:v>57.89730276192472</c:v>
                </c:pt>
                <c:pt idx="54">
                  <c:v>57.858219097495585</c:v>
                </c:pt>
                <c:pt idx="55">
                  <c:v>57.819193526613283</c:v>
                </c:pt>
                <c:pt idx="56">
                  <c:v>57.780226049277822</c:v>
                </c:pt>
                <c:pt idx="57">
                  <c:v>57.741316665489187</c:v>
                </c:pt>
                <c:pt idx="58">
                  <c:v>57.702465375247399</c:v>
                </c:pt>
                <c:pt idx="59">
                  <c:v>57.663672178552439</c:v>
                </c:pt>
                <c:pt idx="60">
                  <c:v>57.624937075404318</c:v>
                </c:pt>
                <c:pt idx="61">
                  <c:v>57.586260065803032</c:v>
                </c:pt>
                <c:pt idx="62">
                  <c:v>57.547641149748586</c:v>
                </c:pt>
                <c:pt idx="63">
                  <c:v>57.509080327240973</c:v>
                </c:pt>
                <c:pt idx="64">
                  <c:v>57.470577598280187</c:v>
                </c:pt>
                <c:pt idx="65">
                  <c:v>57.432132962866248</c:v>
                </c:pt>
                <c:pt idx="66">
                  <c:v>57.393746420999136</c:v>
                </c:pt>
                <c:pt idx="67">
                  <c:v>57.355417972678865</c:v>
                </c:pt>
                <c:pt idx="68">
                  <c:v>57.317147617905427</c:v>
                </c:pt>
                <c:pt idx="69">
                  <c:v>57.278935356678829</c:v>
                </c:pt>
                <c:pt idx="70">
                  <c:v>57.240781188999058</c:v>
                </c:pt>
                <c:pt idx="71">
                  <c:v>57.202685114866128</c:v>
                </c:pt>
                <c:pt idx="72">
                  <c:v>57.164647134280031</c:v>
                </c:pt>
                <c:pt idx="73">
                  <c:v>57.126667247240768</c:v>
                </c:pt>
                <c:pt idx="74">
                  <c:v>57.088745453748352</c:v>
                </c:pt>
                <c:pt idx="75">
                  <c:v>57.050881753802756</c:v>
                </c:pt>
                <c:pt idx="76">
                  <c:v>57.013076147404007</c:v>
                </c:pt>
                <c:pt idx="77">
                  <c:v>56.975328634552092</c:v>
                </c:pt>
                <c:pt idx="78">
                  <c:v>56.937639215247017</c:v>
                </c:pt>
                <c:pt idx="79">
                  <c:v>56.900007889488769</c:v>
                </c:pt>
                <c:pt idx="80">
                  <c:v>56.862434657277355</c:v>
                </c:pt>
                <c:pt idx="81">
                  <c:v>56.824919518612781</c:v>
                </c:pt>
                <c:pt idx="82">
                  <c:v>56.78746247349504</c:v>
                </c:pt>
                <c:pt idx="83">
                  <c:v>56.75006352192414</c:v>
                </c:pt>
                <c:pt idx="84">
                  <c:v>56.712722663900074</c:v>
                </c:pt>
                <c:pt idx="85">
                  <c:v>56.675439899422841</c:v>
                </c:pt>
                <c:pt idx="86">
                  <c:v>56.638215228492449</c:v>
                </c:pt>
                <c:pt idx="87">
                  <c:v>56.601048651108883</c:v>
                </c:pt>
                <c:pt idx="88">
                  <c:v>56.563940167272158</c:v>
                </c:pt>
                <c:pt idx="89">
                  <c:v>56.526889776982266</c:v>
                </c:pt>
                <c:pt idx="90">
                  <c:v>56.489897480239215</c:v>
                </c:pt>
                <c:pt idx="91">
                  <c:v>56.45296327704299</c:v>
                </c:pt>
                <c:pt idx="92">
                  <c:v>56.416087167393613</c:v>
                </c:pt>
                <c:pt idx="93">
                  <c:v>56.379269151291062</c:v>
                </c:pt>
                <c:pt idx="94">
                  <c:v>56.342509228735359</c:v>
                </c:pt>
                <c:pt idx="95">
                  <c:v>56.305807399726483</c:v>
                </c:pt>
                <c:pt idx="96">
                  <c:v>56.269163664264433</c:v>
                </c:pt>
                <c:pt idx="97">
                  <c:v>56.23257802234923</c:v>
                </c:pt>
                <c:pt idx="98">
                  <c:v>56.196050473980861</c:v>
                </c:pt>
                <c:pt idx="99">
                  <c:v>56.159581019159326</c:v>
                </c:pt>
                <c:pt idx="100">
                  <c:v>56.123169657884631</c:v>
                </c:pt>
                <c:pt idx="101">
                  <c:v>56.08682672883883</c:v>
                </c:pt>
                <c:pt idx="102">
                  <c:v>56.050562570703995</c:v>
                </c:pt>
                <c:pt idx="103">
                  <c:v>56.014377183480129</c:v>
                </c:pt>
                <c:pt idx="104">
                  <c:v>55.978270567167222</c:v>
                </c:pt>
                <c:pt idx="105">
                  <c:v>55.942242721765282</c:v>
                </c:pt>
                <c:pt idx="106">
                  <c:v>55.906293647274303</c:v>
                </c:pt>
                <c:pt idx="107">
                  <c:v>55.870423343694284</c:v>
                </c:pt>
                <c:pt idx="108">
                  <c:v>55.834631811025233</c:v>
                </c:pt>
                <c:pt idx="109">
                  <c:v>55.798919049267141</c:v>
                </c:pt>
                <c:pt idx="110">
                  <c:v>55.76328505842001</c:v>
                </c:pt>
                <c:pt idx="111">
                  <c:v>55.727729838483846</c:v>
                </c:pt>
                <c:pt idx="112">
                  <c:v>55.692253389458642</c:v>
                </c:pt>
                <c:pt idx="113">
                  <c:v>55.656855711344399</c:v>
                </c:pt>
                <c:pt idx="114">
                  <c:v>55.621536804141137</c:v>
                </c:pt>
                <c:pt idx="115">
                  <c:v>55.586296667848828</c:v>
                </c:pt>
                <c:pt idx="116">
                  <c:v>55.551135302467486</c:v>
                </c:pt>
                <c:pt idx="117">
                  <c:v>55.516052707997105</c:v>
                </c:pt>
                <c:pt idx="118">
                  <c:v>55.481048884437683</c:v>
                </c:pt>
                <c:pt idx="119">
                  <c:v>55.44612383178923</c:v>
                </c:pt>
                <c:pt idx="120">
                  <c:v>55.411277550051736</c:v>
                </c:pt>
                <c:pt idx="121">
                  <c:v>55.376510039225209</c:v>
                </c:pt>
                <c:pt idx="122">
                  <c:v>55.341821299309643</c:v>
                </c:pt>
                <c:pt idx="123">
                  <c:v>55.307211330305037</c:v>
                </c:pt>
                <c:pt idx="124">
                  <c:v>55.272680132211399</c:v>
                </c:pt>
                <c:pt idx="125">
                  <c:v>55.238227705028727</c:v>
                </c:pt>
                <c:pt idx="126">
                  <c:v>55.203854048757023</c:v>
                </c:pt>
                <c:pt idx="127">
                  <c:v>55.169559163396279</c:v>
                </c:pt>
                <c:pt idx="128">
                  <c:v>55.135343048946496</c:v>
                </c:pt>
                <c:pt idx="129">
                  <c:v>55.101205705407679</c:v>
                </c:pt>
                <c:pt idx="130">
                  <c:v>55.067147132779823</c:v>
                </c:pt>
                <c:pt idx="131">
                  <c:v>55.033167331062934</c:v>
                </c:pt>
                <c:pt idx="132">
                  <c:v>54.999266300256998</c:v>
                </c:pt>
                <c:pt idx="133">
                  <c:v>54.965444040362037</c:v>
                </c:pt>
                <c:pt idx="134">
                  <c:v>54.931700551378029</c:v>
                </c:pt>
                <c:pt idx="135">
                  <c:v>54.898035833304988</c:v>
                </c:pt>
                <c:pt idx="136">
                  <c:v>54.864449886142907</c:v>
                </c:pt>
                <c:pt idx="137">
                  <c:v>54.830942709891801</c:v>
                </c:pt>
                <c:pt idx="138">
                  <c:v>54.797514304551655</c:v>
                </c:pt>
                <c:pt idx="139">
                  <c:v>54.764164670122476</c:v>
                </c:pt>
                <c:pt idx="140">
                  <c:v>54.730893806604257</c:v>
                </c:pt>
                <c:pt idx="141">
                  <c:v>54.697701713996999</c:v>
                </c:pt>
                <c:pt idx="142">
                  <c:v>54.664588392300708</c:v>
                </c:pt>
                <c:pt idx="143">
                  <c:v>54.631553841515377</c:v>
                </c:pt>
                <c:pt idx="144">
                  <c:v>54.598598061641006</c:v>
                </c:pt>
                <c:pt idx="145">
                  <c:v>54.565721052677603</c:v>
                </c:pt>
                <c:pt idx="146">
                  <c:v>54.532922814625159</c:v>
                </c:pt>
                <c:pt idx="147">
                  <c:v>54.500203347483684</c:v>
                </c:pt>
                <c:pt idx="148">
                  <c:v>54.467562651253175</c:v>
                </c:pt>
                <c:pt idx="149">
                  <c:v>54.435000725933627</c:v>
                </c:pt>
                <c:pt idx="150">
                  <c:v>54.402517571525046</c:v>
                </c:pt>
                <c:pt idx="151">
                  <c:v>54.370109741800071</c:v>
                </c:pt>
                <c:pt idx="152">
                  <c:v>54.337773790531344</c:v>
                </c:pt>
                <c:pt idx="153">
                  <c:v>54.305509717718877</c:v>
                </c:pt>
                <c:pt idx="154">
                  <c:v>54.273317523362657</c:v>
                </c:pt>
                <c:pt idx="155">
                  <c:v>54.241197207462704</c:v>
                </c:pt>
                <c:pt idx="156">
                  <c:v>54.209148770018999</c:v>
                </c:pt>
                <c:pt idx="157">
                  <c:v>54.177172211031547</c:v>
                </c:pt>
                <c:pt idx="158">
                  <c:v>54.145267530500348</c:v>
                </c:pt>
                <c:pt idx="159">
                  <c:v>54.113434728425403</c:v>
                </c:pt>
                <c:pt idx="160">
                  <c:v>54.081673804806712</c:v>
                </c:pt>
                <c:pt idx="161">
                  <c:v>54.049984759644282</c:v>
                </c:pt>
                <c:pt idx="162">
                  <c:v>54.018367592938105</c:v>
                </c:pt>
                <c:pt idx="163">
                  <c:v>53.986822304688175</c:v>
                </c:pt>
                <c:pt idx="164">
                  <c:v>53.955348894894499</c:v>
                </c:pt>
                <c:pt idx="165">
                  <c:v>53.923947363557083</c:v>
                </c:pt>
                <c:pt idx="166">
                  <c:v>53.892617710675921</c:v>
                </c:pt>
                <c:pt idx="167">
                  <c:v>53.861359936251013</c:v>
                </c:pt>
                <c:pt idx="168">
                  <c:v>53.830174040282351</c:v>
                </c:pt>
                <c:pt idx="169">
                  <c:v>53.79906002276995</c:v>
                </c:pt>
                <c:pt idx="170">
                  <c:v>53.768017883713803</c:v>
                </c:pt>
                <c:pt idx="171">
                  <c:v>53.737047623113916</c:v>
                </c:pt>
                <c:pt idx="172">
                  <c:v>53.706149240970277</c:v>
                </c:pt>
                <c:pt idx="173">
                  <c:v>53.67532273728289</c:v>
                </c:pt>
                <c:pt idx="174">
                  <c:v>53.644568112051765</c:v>
                </c:pt>
                <c:pt idx="175">
                  <c:v>53.613885365276893</c:v>
                </c:pt>
                <c:pt idx="176">
                  <c:v>53.583274496958275</c:v>
                </c:pt>
                <c:pt idx="177">
                  <c:v>53.552735507095903</c:v>
                </c:pt>
                <c:pt idx="178">
                  <c:v>53.522268395689785</c:v>
                </c:pt>
                <c:pt idx="179">
                  <c:v>53.491873162739935</c:v>
                </c:pt>
                <c:pt idx="180">
                  <c:v>53.461549808246332</c:v>
                </c:pt>
                <c:pt idx="181">
                  <c:v>53.431298332208982</c:v>
                </c:pt>
                <c:pt idx="182">
                  <c:v>53.401118734627886</c:v>
                </c:pt>
                <c:pt idx="183">
                  <c:v>53.371011015503043</c:v>
                </c:pt>
                <c:pt idx="184">
                  <c:v>53.340975174834462</c:v>
                </c:pt>
                <c:pt idx="185">
                  <c:v>53.311011212622127</c:v>
                </c:pt>
                <c:pt idx="186">
                  <c:v>53.281119128866052</c:v>
                </c:pt>
                <c:pt idx="187">
                  <c:v>53.251298923566225</c:v>
                </c:pt>
                <c:pt idx="188">
                  <c:v>53.221550596722651</c:v>
                </c:pt>
                <c:pt idx="189">
                  <c:v>53.191874148335337</c:v>
                </c:pt>
                <c:pt idx="190">
                  <c:v>53.162269578404278</c:v>
                </c:pt>
                <c:pt idx="191">
                  <c:v>53.132736886929472</c:v>
                </c:pt>
                <c:pt idx="192">
                  <c:v>53.103276073910912</c:v>
                </c:pt>
                <c:pt idx="193">
                  <c:v>53.073887139348614</c:v>
                </c:pt>
                <c:pt idx="194">
                  <c:v>53.044570083242569</c:v>
                </c:pt>
                <c:pt idx="195">
                  <c:v>53.015324905592784</c:v>
                </c:pt>
                <c:pt idx="196">
                  <c:v>52.986151606399247</c:v>
                </c:pt>
                <c:pt idx="197">
                  <c:v>52.957050185661963</c:v>
                </c:pt>
                <c:pt idx="198">
                  <c:v>52.928020643380933</c:v>
                </c:pt>
                <c:pt idx="199">
                  <c:v>52.899062979556163</c:v>
                </c:pt>
                <c:pt idx="200">
                  <c:v>52.87017719418764</c:v>
                </c:pt>
                <c:pt idx="201">
                  <c:v>52.841363287275378</c:v>
                </c:pt>
                <c:pt idx="202">
                  <c:v>52.812621258819362</c:v>
                </c:pt>
                <c:pt idx="203">
                  <c:v>52.783951108819601</c:v>
                </c:pt>
                <c:pt idx="204">
                  <c:v>52.755352837276099</c:v>
                </c:pt>
                <c:pt idx="205">
                  <c:v>52.726826444188859</c:v>
                </c:pt>
                <c:pt idx="206">
                  <c:v>52.698371929557858</c:v>
                </c:pt>
                <c:pt idx="207">
                  <c:v>52.669989293383118</c:v>
                </c:pt>
                <c:pt idx="208">
                  <c:v>52.641678535664632</c:v>
                </c:pt>
                <c:pt idx="209">
                  <c:v>52.613439656402399</c:v>
                </c:pt>
                <c:pt idx="210">
                  <c:v>52.585272655596427</c:v>
                </c:pt>
                <c:pt idx="211">
                  <c:v>52.557177533246701</c:v>
                </c:pt>
                <c:pt idx="212">
                  <c:v>52.52915428935323</c:v>
                </c:pt>
                <c:pt idx="213">
                  <c:v>52.501202923916011</c:v>
                </c:pt>
                <c:pt idx="214">
                  <c:v>52.473323436935054</c:v>
                </c:pt>
                <c:pt idx="215">
                  <c:v>52.44551582841035</c:v>
                </c:pt>
                <c:pt idx="216">
                  <c:v>52.417780098341893</c:v>
                </c:pt>
                <c:pt idx="217">
                  <c:v>52.390116246729697</c:v>
                </c:pt>
                <c:pt idx="218">
                  <c:v>52.362524273573747</c:v>
                </c:pt>
                <c:pt idx="219">
                  <c:v>52.335004178874058</c:v>
                </c:pt>
                <c:pt idx="220">
                  <c:v>52.307555962630623</c:v>
                </c:pt>
                <c:pt idx="221">
                  <c:v>52.280179624843441</c:v>
                </c:pt>
                <c:pt idx="222">
                  <c:v>52.252875165512513</c:v>
                </c:pt>
                <c:pt idx="223">
                  <c:v>52.225642584637839</c:v>
                </c:pt>
                <c:pt idx="224">
                  <c:v>52.198481882219426</c:v>
                </c:pt>
                <c:pt idx="225">
                  <c:v>52.171393058257259</c:v>
                </c:pt>
                <c:pt idx="226">
                  <c:v>52.144376112751345</c:v>
                </c:pt>
                <c:pt idx="227">
                  <c:v>52.117431045701693</c:v>
                </c:pt>
                <c:pt idx="228">
                  <c:v>52.090557857108287</c:v>
                </c:pt>
                <c:pt idx="229">
                  <c:v>52.063756546971142</c:v>
                </c:pt>
                <c:pt idx="230">
                  <c:v>52.037027115290243</c:v>
                </c:pt>
                <c:pt idx="231">
                  <c:v>52.010369562065605</c:v>
                </c:pt>
                <c:pt idx="232">
                  <c:v>51.983783887297221</c:v>
                </c:pt>
                <c:pt idx="233">
                  <c:v>51.957270090985091</c:v>
                </c:pt>
                <c:pt idx="234">
                  <c:v>51.930828173129221</c:v>
                </c:pt>
                <c:pt idx="235">
                  <c:v>51.904458133729598</c:v>
                </c:pt>
                <c:pt idx="236">
                  <c:v>51.878159972786229</c:v>
                </c:pt>
                <c:pt idx="237">
                  <c:v>51.851933690299113</c:v>
                </c:pt>
                <c:pt idx="238">
                  <c:v>51.825779286268258</c:v>
                </c:pt>
                <c:pt idx="239">
                  <c:v>51.799696760693656</c:v>
                </c:pt>
                <c:pt idx="240">
                  <c:v>51.773686113575302</c:v>
                </c:pt>
                <c:pt idx="241">
                  <c:v>51.747747344913208</c:v>
                </c:pt>
                <c:pt idx="242">
                  <c:v>51.72188045470736</c:v>
                </c:pt>
                <c:pt idx="243">
                  <c:v>51.696085442957774</c:v>
                </c:pt>
                <c:pt idx="244">
                  <c:v>51.670362309664441</c:v>
                </c:pt>
                <c:pt idx="245">
                  <c:v>51.644711054827361</c:v>
                </c:pt>
                <c:pt idx="246">
                  <c:v>51.619131678446536</c:v>
                </c:pt>
                <c:pt idx="247">
                  <c:v>51.593624180521964</c:v>
                </c:pt>
                <c:pt idx="248">
                  <c:v>51.568188561053645</c:v>
                </c:pt>
                <c:pt idx="249">
                  <c:v>51.542824820041588</c:v>
                </c:pt>
                <c:pt idx="250">
                  <c:v>51.517532957485777</c:v>
                </c:pt>
                <c:pt idx="251">
                  <c:v>51.492327313462965</c:v>
                </c:pt>
                <c:pt idx="252">
                  <c:v>51.467222228049899</c:v>
                </c:pt>
                <c:pt idx="253">
                  <c:v>51.44221770124657</c:v>
                </c:pt>
                <c:pt idx="254">
                  <c:v>51.417313733052978</c:v>
                </c:pt>
                <c:pt idx="255">
                  <c:v>51.392510323469132</c:v>
                </c:pt>
                <c:pt idx="256">
                  <c:v>51.367807472495024</c:v>
                </c:pt>
                <c:pt idx="257">
                  <c:v>51.34320518013066</c:v>
                </c:pt>
                <c:pt idx="258">
                  <c:v>51.318703446376041</c:v>
                </c:pt>
                <c:pt idx="259">
                  <c:v>51.294302271231153</c:v>
                </c:pt>
                <c:pt idx="260">
                  <c:v>51.270001654696017</c:v>
                </c:pt>
                <c:pt idx="261">
                  <c:v>51.245801596770605</c:v>
                </c:pt>
                <c:pt idx="262">
                  <c:v>51.221702097454937</c:v>
                </c:pt>
                <c:pt idx="263">
                  <c:v>51.197703156749014</c:v>
                </c:pt>
                <c:pt idx="264">
                  <c:v>51.17380477465283</c:v>
                </c:pt>
                <c:pt idx="265">
                  <c:v>51.150006951166382</c:v>
                </c:pt>
                <c:pt idx="266">
                  <c:v>51.12630968628968</c:v>
                </c:pt>
                <c:pt idx="267">
                  <c:v>51.102712980022723</c:v>
                </c:pt>
                <c:pt idx="268">
                  <c:v>51.079216832365503</c:v>
                </c:pt>
                <c:pt idx="269">
                  <c:v>51.055821243318022</c:v>
                </c:pt>
                <c:pt idx="270">
                  <c:v>51.032526212880285</c:v>
                </c:pt>
                <c:pt idx="271">
                  <c:v>51.009331741052286</c:v>
                </c:pt>
                <c:pt idx="272">
                  <c:v>50.986237827834032</c:v>
                </c:pt>
                <c:pt idx="273">
                  <c:v>50.963244473225515</c:v>
                </c:pt>
                <c:pt idx="274">
                  <c:v>50.940351677226744</c:v>
                </c:pt>
                <c:pt idx="275">
                  <c:v>50.917559439837717</c:v>
                </c:pt>
                <c:pt idx="276">
                  <c:v>50.894867761058421</c:v>
                </c:pt>
                <c:pt idx="277">
                  <c:v>50.872276640888863</c:v>
                </c:pt>
                <c:pt idx="278">
                  <c:v>50.84978607932905</c:v>
                </c:pt>
                <c:pt idx="279">
                  <c:v>50.827396076378974</c:v>
                </c:pt>
                <c:pt idx="280">
                  <c:v>50.805106632038637</c:v>
                </c:pt>
                <c:pt idx="281">
                  <c:v>50.782917746308044</c:v>
                </c:pt>
                <c:pt idx="282">
                  <c:v>50.760829419187196</c:v>
                </c:pt>
                <c:pt idx="283">
                  <c:v>50.738841650676079</c:v>
                </c:pt>
                <c:pt idx="284">
                  <c:v>50.716954440774714</c:v>
                </c:pt>
                <c:pt idx="285">
                  <c:v>50.695167789483087</c:v>
                </c:pt>
                <c:pt idx="286">
                  <c:v>50.673481696801197</c:v>
                </c:pt>
                <c:pt idx="287">
                  <c:v>50.651896162729052</c:v>
                </c:pt>
                <c:pt idx="288">
                  <c:v>50.630411187266645</c:v>
                </c:pt>
                <c:pt idx="289">
                  <c:v>50.609026770413983</c:v>
                </c:pt>
                <c:pt idx="290">
                  <c:v>50.587742912171059</c:v>
                </c:pt>
                <c:pt idx="291">
                  <c:v>50.56655961253788</c:v>
                </c:pt>
                <c:pt idx="292">
                  <c:v>50.545476871514438</c:v>
                </c:pt>
                <c:pt idx="293">
                  <c:v>50.524494689100742</c:v>
                </c:pt>
                <c:pt idx="294">
                  <c:v>50.503613065296776</c:v>
                </c:pt>
                <c:pt idx="295">
                  <c:v>50.482832000102547</c:v>
                </c:pt>
                <c:pt idx="296">
                  <c:v>50.462151493518064</c:v>
                </c:pt>
                <c:pt idx="297">
                  <c:v>50.441571545543319</c:v>
                </c:pt>
                <c:pt idx="298">
                  <c:v>50.421247366206401</c:v>
                </c:pt>
                <c:pt idx="299">
                  <c:v>50.401334165535374</c:v>
                </c:pt>
                <c:pt idx="300">
                  <c:v>50.381831943530244</c:v>
                </c:pt>
                <c:pt idx="301">
                  <c:v>50.362740700191004</c:v>
                </c:pt>
                <c:pt idx="302">
                  <c:v>50.344060435517669</c:v>
                </c:pt>
                <c:pt idx="303">
                  <c:v>50.325791149510231</c:v>
                </c:pt>
                <c:pt idx="304">
                  <c:v>50.30793284216869</c:v>
                </c:pt>
                <c:pt idx="305">
                  <c:v>50.290485513493039</c:v>
                </c:pt>
                <c:pt idx="306">
                  <c:v>50.273449163483292</c:v>
                </c:pt>
                <c:pt idx="307">
                  <c:v>50.256823792139436</c:v>
                </c:pt>
                <c:pt idx="308">
                  <c:v>50.240609399461484</c:v>
                </c:pt>
                <c:pt idx="309">
                  <c:v>50.224805985449422</c:v>
                </c:pt>
                <c:pt idx="310">
                  <c:v>50.209413550103257</c:v>
                </c:pt>
                <c:pt idx="311">
                  <c:v>50.194432093422989</c:v>
                </c:pt>
                <c:pt idx="312">
                  <c:v>50.179861615408626</c:v>
                </c:pt>
                <c:pt idx="313">
                  <c:v>50.165702116060146</c:v>
                </c:pt>
                <c:pt idx="314">
                  <c:v>50.151953595377577</c:v>
                </c:pt>
                <c:pt idx="315">
                  <c:v>50.138616053360892</c:v>
                </c:pt>
                <c:pt idx="316">
                  <c:v>50.12568949001011</c:v>
                </c:pt>
                <c:pt idx="317">
                  <c:v>50.113173905325226</c:v>
                </c:pt>
                <c:pt idx="318">
                  <c:v>50.101069299306239</c:v>
                </c:pt>
                <c:pt idx="319">
                  <c:v>50.089375671953142</c:v>
                </c:pt>
                <c:pt idx="320">
                  <c:v>50.07809302326595</c:v>
                </c:pt>
                <c:pt idx="321">
                  <c:v>50.067159912568329</c:v>
                </c:pt>
                <c:pt idx="322">
                  <c:v>50.056514899183952</c:v>
                </c:pt>
                <c:pt idx="323">
                  <c:v>50.046157983112828</c:v>
                </c:pt>
                <c:pt idx="324">
                  <c:v>50.036089164354941</c:v>
                </c:pt>
                <c:pt idx="325">
                  <c:v>50.026308442910306</c:v>
                </c:pt>
                <c:pt idx="326">
                  <c:v>50.016815818778909</c:v>
                </c:pt>
                <c:pt idx="327">
                  <c:v>50.007611291960764</c:v>
                </c:pt>
                <c:pt idx="328">
                  <c:v>49.998694862455864</c:v>
                </c:pt>
                <c:pt idx="329">
                  <c:v>49.990066530264208</c:v>
                </c:pt>
                <c:pt idx="330">
                  <c:v>49.981726295385798</c:v>
                </c:pt>
                <c:pt idx="331">
                  <c:v>49.973674157820632</c:v>
                </c:pt>
                <c:pt idx="332">
                  <c:v>49.965910117568718</c:v>
                </c:pt>
                <c:pt idx="333">
                  <c:v>49.958434174630042</c:v>
                </c:pt>
                <c:pt idx="334">
                  <c:v>49.951246329004626</c:v>
                </c:pt>
                <c:pt idx="335">
                  <c:v>49.944346580692454</c:v>
                </c:pt>
                <c:pt idx="336">
                  <c:v>49.937734929693526</c:v>
                </c:pt>
                <c:pt idx="337">
                  <c:v>49.931411376007844</c:v>
                </c:pt>
                <c:pt idx="338">
                  <c:v>49.925375919635407</c:v>
                </c:pt>
                <c:pt idx="339">
                  <c:v>49.919628560576214</c:v>
                </c:pt>
                <c:pt idx="340">
                  <c:v>49.914169298830267</c:v>
                </c:pt>
                <c:pt idx="341">
                  <c:v>49.908998134397571</c:v>
                </c:pt>
                <c:pt idx="342">
                  <c:v>49.904115067278113</c:v>
                </c:pt>
                <c:pt idx="343">
                  <c:v>49.899520097471907</c:v>
                </c:pt>
                <c:pt idx="344">
                  <c:v>49.895213224978946</c:v>
                </c:pt>
                <c:pt idx="345">
                  <c:v>49.891194449799229</c:v>
                </c:pt>
                <c:pt idx="346">
                  <c:v>49.887463771932758</c:v>
                </c:pt>
                <c:pt idx="347">
                  <c:v>49.884021191379539</c:v>
                </c:pt>
                <c:pt idx="348">
                  <c:v>49.880860098311963</c:v>
                </c:pt>
                <c:pt idx="349">
                  <c:v>49.877973882902438</c:v>
                </c:pt>
                <c:pt idx="350">
                  <c:v>49.875362545150963</c:v>
                </c:pt>
                <c:pt idx="351">
                  <c:v>49.873026085057539</c:v>
                </c:pt>
                <c:pt idx="352">
                  <c:v>49.870964502622165</c:v>
                </c:pt>
                <c:pt idx="353">
                  <c:v>49.869177797844834</c:v>
                </c:pt>
                <c:pt idx="354">
                  <c:v>49.867665970725561</c:v>
                </c:pt>
                <c:pt idx="355">
                  <c:v>49.866429021264331</c:v>
                </c:pt>
                <c:pt idx="356">
                  <c:v>49.865466949461151</c:v>
                </c:pt>
                <c:pt idx="357">
                  <c:v>49.864779755316022</c:v>
                </c:pt>
                <c:pt idx="358">
                  <c:v>49.86436743882895</c:v>
                </c:pt>
                <c:pt idx="359">
                  <c:v>49.864229999999914</c:v>
                </c:pt>
                <c:pt idx="360">
                  <c:v>49.864229999999914</c:v>
                </c:pt>
                <c:pt idx="361">
                  <c:v>49.864229999999914</c:v>
                </c:pt>
                <c:pt idx="362">
                  <c:v>49.864229999999914</c:v>
                </c:pt>
                <c:pt idx="363">
                  <c:v>49.864229999999914</c:v>
                </c:pt>
                <c:pt idx="364">
                  <c:v>49.864229999999914</c:v>
                </c:pt>
                <c:pt idx="365">
                  <c:v>49.864229999999914</c:v>
                </c:pt>
                <c:pt idx="366">
                  <c:v>49.864229999999914</c:v>
                </c:pt>
                <c:pt idx="367">
                  <c:v>49.864229999999914</c:v>
                </c:pt>
                <c:pt idx="368">
                  <c:v>49.864229999999914</c:v>
                </c:pt>
                <c:pt idx="369">
                  <c:v>49.864229999999914</c:v>
                </c:pt>
                <c:pt idx="370">
                  <c:v>49.864229999999914</c:v>
                </c:pt>
                <c:pt idx="371">
                  <c:v>49.864229999999914</c:v>
                </c:pt>
                <c:pt idx="372">
                  <c:v>49.864229999999914</c:v>
                </c:pt>
                <c:pt idx="373">
                  <c:v>49.864229999999914</c:v>
                </c:pt>
                <c:pt idx="374">
                  <c:v>49.864229999999914</c:v>
                </c:pt>
                <c:pt idx="375">
                  <c:v>49.864229999999914</c:v>
                </c:pt>
                <c:pt idx="376">
                  <c:v>49.864229999999914</c:v>
                </c:pt>
                <c:pt idx="377">
                  <c:v>49.864229999999914</c:v>
                </c:pt>
                <c:pt idx="378">
                  <c:v>49.864229999999914</c:v>
                </c:pt>
                <c:pt idx="379">
                  <c:v>49.864229999999914</c:v>
                </c:pt>
                <c:pt idx="380">
                  <c:v>49.864229999999914</c:v>
                </c:pt>
                <c:pt idx="381">
                  <c:v>49.864229999999914</c:v>
                </c:pt>
                <c:pt idx="382">
                  <c:v>49.864229999999914</c:v>
                </c:pt>
                <c:pt idx="383">
                  <c:v>49.864229999999914</c:v>
                </c:pt>
                <c:pt idx="384">
                  <c:v>49.864229999999914</c:v>
                </c:pt>
                <c:pt idx="385">
                  <c:v>49.864229999999914</c:v>
                </c:pt>
                <c:pt idx="386">
                  <c:v>49.864229999999914</c:v>
                </c:pt>
                <c:pt idx="387">
                  <c:v>49.864229999999914</c:v>
                </c:pt>
                <c:pt idx="388">
                  <c:v>49.864229999999914</c:v>
                </c:pt>
                <c:pt idx="389">
                  <c:v>49.864229999999914</c:v>
                </c:pt>
                <c:pt idx="390">
                  <c:v>49.864229999999914</c:v>
                </c:pt>
                <c:pt idx="391">
                  <c:v>49.864229999999914</c:v>
                </c:pt>
                <c:pt idx="392">
                  <c:v>49.864229999999914</c:v>
                </c:pt>
                <c:pt idx="393">
                  <c:v>49.864229999999914</c:v>
                </c:pt>
                <c:pt idx="394">
                  <c:v>49.864229999999914</c:v>
                </c:pt>
                <c:pt idx="395">
                  <c:v>49.864229999999914</c:v>
                </c:pt>
                <c:pt idx="396">
                  <c:v>49.864229999999914</c:v>
                </c:pt>
                <c:pt idx="397">
                  <c:v>49.864229999999914</c:v>
                </c:pt>
                <c:pt idx="398">
                  <c:v>49.864229999999914</c:v>
                </c:pt>
                <c:pt idx="399">
                  <c:v>49.864229999999914</c:v>
                </c:pt>
                <c:pt idx="400">
                  <c:v>49.864229999999914</c:v>
                </c:pt>
                <c:pt idx="401">
                  <c:v>49.864229999999914</c:v>
                </c:pt>
                <c:pt idx="402">
                  <c:v>49.864229999999914</c:v>
                </c:pt>
                <c:pt idx="403">
                  <c:v>49.864229999999914</c:v>
                </c:pt>
                <c:pt idx="404">
                  <c:v>49.864229999999914</c:v>
                </c:pt>
                <c:pt idx="405">
                  <c:v>49.864229999999914</c:v>
                </c:pt>
                <c:pt idx="406">
                  <c:v>49.864229999999914</c:v>
                </c:pt>
                <c:pt idx="407">
                  <c:v>49.864229999999914</c:v>
                </c:pt>
                <c:pt idx="408">
                  <c:v>49.864229999999914</c:v>
                </c:pt>
                <c:pt idx="409">
                  <c:v>49.864229999999914</c:v>
                </c:pt>
                <c:pt idx="410">
                  <c:v>49.864229999999914</c:v>
                </c:pt>
                <c:pt idx="411">
                  <c:v>49.864229999999914</c:v>
                </c:pt>
                <c:pt idx="412">
                  <c:v>49.864229999999914</c:v>
                </c:pt>
                <c:pt idx="413">
                  <c:v>49.864229999999914</c:v>
                </c:pt>
                <c:pt idx="414">
                  <c:v>49.864229999999914</c:v>
                </c:pt>
                <c:pt idx="415">
                  <c:v>49.864229999999914</c:v>
                </c:pt>
                <c:pt idx="416">
                  <c:v>49.864229999999914</c:v>
                </c:pt>
                <c:pt idx="417">
                  <c:v>49.864229999999914</c:v>
                </c:pt>
                <c:pt idx="418">
                  <c:v>49.864229999999914</c:v>
                </c:pt>
                <c:pt idx="419">
                  <c:v>49.864229999999914</c:v>
                </c:pt>
                <c:pt idx="420">
                  <c:v>49.864229999999914</c:v>
                </c:pt>
                <c:pt idx="421">
                  <c:v>49.864229999999914</c:v>
                </c:pt>
                <c:pt idx="422">
                  <c:v>49.864229999999914</c:v>
                </c:pt>
                <c:pt idx="423">
                  <c:v>49.864229999999914</c:v>
                </c:pt>
                <c:pt idx="424">
                  <c:v>49.864229999999914</c:v>
                </c:pt>
                <c:pt idx="425">
                  <c:v>49.864229999999914</c:v>
                </c:pt>
                <c:pt idx="426">
                  <c:v>49.864229999999914</c:v>
                </c:pt>
                <c:pt idx="427">
                  <c:v>49.864229999999914</c:v>
                </c:pt>
                <c:pt idx="428">
                  <c:v>49.864229999999914</c:v>
                </c:pt>
                <c:pt idx="429">
                  <c:v>49.864229999999914</c:v>
                </c:pt>
                <c:pt idx="430">
                  <c:v>49.864229999999914</c:v>
                </c:pt>
                <c:pt idx="431">
                  <c:v>49.864229999999914</c:v>
                </c:pt>
                <c:pt idx="432">
                  <c:v>49.864229999999914</c:v>
                </c:pt>
                <c:pt idx="433">
                  <c:v>49.864229999999914</c:v>
                </c:pt>
                <c:pt idx="434">
                  <c:v>49.864229999999914</c:v>
                </c:pt>
                <c:pt idx="435">
                  <c:v>49.864229999999914</c:v>
                </c:pt>
                <c:pt idx="436">
                  <c:v>49.864229999999914</c:v>
                </c:pt>
                <c:pt idx="437">
                  <c:v>49.864229999999914</c:v>
                </c:pt>
                <c:pt idx="438">
                  <c:v>49.864229999999914</c:v>
                </c:pt>
                <c:pt idx="439">
                  <c:v>49.864229999999914</c:v>
                </c:pt>
                <c:pt idx="440">
                  <c:v>49.864229999999914</c:v>
                </c:pt>
                <c:pt idx="441">
                  <c:v>49.864229999999914</c:v>
                </c:pt>
                <c:pt idx="442">
                  <c:v>49.864229999999914</c:v>
                </c:pt>
                <c:pt idx="443">
                  <c:v>49.864229999999914</c:v>
                </c:pt>
                <c:pt idx="444">
                  <c:v>49.864229999999914</c:v>
                </c:pt>
                <c:pt idx="445">
                  <c:v>49.864229999999914</c:v>
                </c:pt>
                <c:pt idx="446">
                  <c:v>49.864229999999914</c:v>
                </c:pt>
                <c:pt idx="447">
                  <c:v>49.864229999999914</c:v>
                </c:pt>
                <c:pt idx="448">
                  <c:v>49.864229999999914</c:v>
                </c:pt>
                <c:pt idx="449">
                  <c:v>49.864229999999914</c:v>
                </c:pt>
                <c:pt idx="450">
                  <c:v>49.864229999999914</c:v>
                </c:pt>
                <c:pt idx="451">
                  <c:v>49.864229999999914</c:v>
                </c:pt>
                <c:pt idx="452">
                  <c:v>49.864229999999914</c:v>
                </c:pt>
                <c:pt idx="453">
                  <c:v>49.864229999999914</c:v>
                </c:pt>
                <c:pt idx="454">
                  <c:v>49.864229999999914</c:v>
                </c:pt>
                <c:pt idx="455">
                  <c:v>49.864229999999914</c:v>
                </c:pt>
                <c:pt idx="456">
                  <c:v>49.864229999999914</c:v>
                </c:pt>
                <c:pt idx="457">
                  <c:v>49.864229999999914</c:v>
                </c:pt>
                <c:pt idx="458">
                  <c:v>49.864229999999914</c:v>
                </c:pt>
                <c:pt idx="459">
                  <c:v>49.864229999999914</c:v>
                </c:pt>
                <c:pt idx="460">
                  <c:v>49.864229999999914</c:v>
                </c:pt>
                <c:pt idx="461">
                  <c:v>49.864229999999914</c:v>
                </c:pt>
                <c:pt idx="462">
                  <c:v>49.864229999999914</c:v>
                </c:pt>
                <c:pt idx="463">
                  <c:v>49.864229999999914</c:v>
                </c:pt>
                <c:pt idx="464">
                  <c:v>49.864229999999914</c:v>
                </c:pt>
                <c:pt idx="465">
                  <c:v>49.864229999999914</c:v>
                </c:pt>
                <c:pt idx="466">
                  <c:v>49.864229999999914</c:v>
                </c:pt>
                <c:pt idx="467">
                  <c:v>49.864229999999914</c:v>
                </c:pt>
                <c:pt idx="468">
                  <c:v>49.864229999999914</c:v>
                </c:pt>
                <c:pt idx="469">
                  <c:v>49.864229999999914</c:v>
                </c:pt>
                <c:pt idx="470">
                  <c:v>49.864229999999914</c:v>
                </c:pt>
                <c:pt idx="471">
                  <c:v>49.864229999999914</c:v>
                </c:pt>
                <c:pt idx="472">
                  <c:v>49.864229999999914</c:v>
                </c:pt>
                <c:pt idx="473">
                  <c:v>49.864229999999914</c:v>
                </c:pt>
                <c:pt idx="474">
                  <c:v>49.864229999999914</c:v>
                </c:pt>
                <c:pt idx="475">
                  <c:v>49.864229999999914</c:v>
                </c:pt>
                <c:pt idx="476">
                  <c:v>49.864229999999914</c:v>
                </c:pt>
                <c:pt idx="477">
                  <c:v>49.864229999999914</c:v>
                </c:pt>
                <c:pt idx="478">
                  <c:v>49.864229999999914</c:v>
                </c:pt>
                <c:pt idx="479">
                  <c:v>49.864229999999914</c:v>
                </c:pt>
                <c:pt idx="480">
                  <c:v>49.864229999999914</c:v>
                </c:pt>
                <c:pt idx="481">
                  <c:v>49.864229999999914</c:v>
                </c:pt>
                <c:pt idx="482">
                  <c:v>49.864229999999914</c:v>
                </c:pt>
                <c:pt idx="483">
                  <c:v>49.864229999999914</c:v>
                </c:pt>
                <c:pt idx="484">
                  <c:v>49.864229999999914</c:v>
                </c:pt>
                <c:pt idx="485">
                  <c:v>49.864229999999914</c:v>
                </c:pt>
                <c:pt idx="486">
                  <c:v>49.864229999999914</c:v>
                </c:pt>
                <c:pt idx="487">
                  <c:v>49.864229999999914</c:v>
                </c:pt>
                <c:pt idx="488">
                  <c:v>49.864229999999914</c:v>
                </c:pt>
                <c:pt idx="489">
                  <c:v>49.864229999999914</c:v>
                </c:pt>
                <c:pt idx="490">
                  <c:v>49.864229999999914</c:v>
                </c:pt>
                <c:pt idx="491">
                  <c:v>49.864229999999914</c:v>
                </c:pt>
                <c:pt idx="492">
                  <c:v>49.864229999999914</c:v>
                </c:pt>
                <c:pt idx="493">
                  <c:v>49.864229999999914</c:v>
                </c:pt>
                <c:pt idx="494">
                  <c:v>49.864229999999914</c:v>
                </c:pt>
                <c:pt idx="495">
                  <c:v>49.864229999999914</c:v>
                </c:pt>
                <c:pt idx="496">
                  <c:v>49.864229999999914</c:v>
                </c:pt>
                <c:pt idx="497">
                  <c:v>49.864229999999914</c:v>
                </c:pt>
                <c:pt idx="498">
                  <c:v>49.864229999999914</c:v>
                </c:pt>
                <c:pt idx="499">
                  <c:v>49.864229999999914</c:v>
                </c:pt>
                <c:pt idx="500">
                  <c:v>49.864229999999914</c:v>
                </c:pt>
                <c:pt idx="501">
                  <c:v>49.864229999999914</c:v>
                </c:pt>
                <c:pt idx="502">
                  <c:v>49.864229999999914</c:v>
                </c:pt>
                <c:pt idx="503">
                  <c:v>49.864229999999914</c:v>
                </c:pt>
                <c:pt idx="504">
                  <c:v>49.864229999999914</c:v>
                </c:pt>
                <c:pt idx="505">
                  <c:v>49.864229999999914</c:v>
                </c:pt>
                <c:pt idx="506">
                  <c:v>49.864229999999914</c:v>
                </c:pt>
                <c:pt idx="507">
                  <c:v>49.864229999999914</c:v>
                </c:pt>
                <c:pt idx="508">
                  <c:v>49.864229999999914</c:v>
                </c:pt>
                <c:pt idx="509">
                  <c:v>49.864229999999914</c:v>
                </c:pt>
                <c:pt idx="510">
                  <c:v>49.864229999999914</c:v>
                </c:pt>
                <c:pt idx="511">
                  <c:v>49.864229999999914</c:v>
                </c:pt>
                <c:pt idx="512">
                  <c:v>49.864229999999914</c:v>
                </c:pt>
                <c:pt idx="513">
                  <c:v>49.864229999999914</c:v>
                </c:pt>
                <c:pt idx="514">
                  <c:v>49.864229999999914</c:v>
                </c:pt>
                <c:pt idx="515">
                  <c:v>49.864229999999914</c:v>
                </c:pt>
                <c:pt idx="516">
                  <c:v>49.864229999999914</c:v>
                </c:pt>
                <c:pt idx="517">
                  <c:v>49.864229999999914</c:v>
                </c:pt>
                <c:pt idx="518">
                  <c:v>49.864229999999914</c:v>
                </c:pt>
                <c:pt idx="519">
                  <c:v>49.864229999999914</c:v>
                </c:pt>
                <c:pt idx="520">
                  <c:v>49.864229999999914</c:v>
                </c:pt>
                <c:pt idx="521">
                  <c:v>49.864229999999914</c:v>
                </c:pt>
                <c:pt idx="522">
                  <c:v>49.864229999999914</c:v>
                </c:pt>
                <c:pt idx="523">
                  <c:v>49.864229999999914</c:v>
                </c:pt>
                <c:pt idx="524">
                  <c:v>49.864229999999914</c:v>
                </c:pt>
                <c:pt idx="525">
                  <c:v>49.864229999999914</c:v>
                </c:pt>
                <c:pt idx="526">
                  <c:v>49.864229999999914</c:v>
                </c:pt>
                <c:pt idx="527">
                  <c:v>49.864229999999914</c:v>
                </c:pt>
                <c:pt idx="528">
                  <c:v>49.864229999999914</c:v>
                </c:pt>
                <c:pt idx="529">
                  <c:v>49.864229999999914</c:v>
                </c:pt>
                <c:pt idx="530">
                  <c:v>49.864229999999914</c:v>
                </c:pt>
                <c:pt idx="531">
                  <c:v>49.864229999999914</c:v>
                </c:pt>
                <c:pt idx="532">
                  <c:v>49.864229999999914</c:v>
                </c:pt>
                <c:pt idx="533">
                  <c:v>49.864229999999914</c:v>
                </c:pt>
                <c:pt idx="534">
                  <c:v>49.864229999999914</c:v>
                </c:pt>
                <c:pt idx="535">
                  <c:v>49.864229999999914</c:v>
                </c:pt>
                <c:pt idx="536">
                  <c:v>49.864229999999914</c:v>
                </c:pt>
                <c:pt idx="537">
                  <c:v>49.864229999999914</c:v>
                </c:pt>
                <c:pt idx="538">
                  <c:v>49.864229999999914</c:v>
                </c:pt>
                <c:pt idx="539">
                  <c:v>49.864229999999914</c:v>
                </c:pt>
                <c:pt idx="540">
                  <c:v>49.864229999999914</c:v>
                </c:pt>
                <c:pt idx="541">
                  <c:v>49.864229999999914</c:v>
                </c:pt>
                <c:pt idx="542">
                  <c:v>49.864229999999914</c:v>
                </c:pt>
                <c:pt idx="543">
                  <c:v>49.864229999999914</c:v>
                </c:pt>
                <c:pt idx="544">
                  <c:v>49.864229999999914</c:v>
                </c:pt>
                <c:pt idx="545">
                  <c:v>49.864229999999914</c:v>
                </c:pt>
                <c:pt idx="546">
                  <c:v>49.864229999999914</c:v>
                </c:pt>
                <c:pt idx="547">
                  <c:v>49.864229999999914</c:v>
                </c:pt>
                <c:pt idx="548">
                  <c:v>49.864229999999914</c:v>
                </c:pt>
                <c:pt idx="549">
                  <c:v>49.864229999999914</c:v>
                </c:pt>
                <c:pt idx="550">
                  <c:v>49.864229999999914</c:v>
                </c:pt>
                <c:pt idx="551">
                  <c:v>49.864229999999914</c:v>
                </c:pt>
                <c:pt idx="552">
                  <c:v>49.864229999999914</c:v>
                </c:pt>
                <c:pt idx="553">
                  <c:v>49.864229999999914</c:v>
                </c:pt>
                <c:pt idx="554">
                  <c:v>49.864229999999914</c:v>
                </c:pt>
                <c:pt idx="555">
                  <c:v>49.864229999999914</c:v>
                </c:pt>
                <c:pt idx="556">
                  <c:v>49.864229999999914</c:v>
                </c:pt>
                <c:pt idx="557">
                  <c:v>49.864229999999914</c:v>
                </c:pt>
                <c:pt idx="558">
                  <c:v>49.864229999999914</c:v>
                </c:pt>
                <c:pt idx="559">
                  <c:v>49.864229999999914</c:v>
                </c:pt>
                <c:pt idx="560">
                  <c:v>49.864229999999914</c:v>
                </c:pt>
                <c:pt idx="561">
                  <c:v>49.864229999999914</c:v>
                </c:pt>
                <c:pt idx="562">
                  <c:v>49.864229999999914</c:v>
                </c:pt>
                <c:pt idx="563">
                  <c:v>49.864229999999914</c:v>
                </c:pt>
                <c:pt idx="564">
                  <c:v>49.864229999999914</c:v>
                </c:pt>
                <c:pt idx="565">
                  <c:v>49.864229999999914</c:v>
                </c:pt>
                <c:pt idx="566">
                  <c:v>49.864229999999914</c:v>
                </c:pt>
                <c:pt idx="567">
                  <c:v>49.864229999999914</c:v>
                </c:pt>
                <c:pt idx="568">
                  <c:v>49.864229999999914</c:v>
                </c:pt>
                <c:pt idx="569">
                  <c:v>49.864229999999914</c:v>
                </c:pt>
                <c:pt idx="570">
                  <c:v>49.864229999999914</c:v>
                </c:pt>
                <c:pt idx="571">
                  <c:v>49.864229999999914</c:v>
                </c:pt>
                <c:pt idx="572">
                  <c:v>49.864229999999914</c:v>
                </c:pt>
                <c:pt idx="573">
                  <c:v>49.864229999999914</c:v>
                </c:pt>
                <c:pt idx="574">
                  <c:v>49.864229999999914</c:v>
                </c:pt>
                <c:pt idx="575">
                  <c:v>49.864229999999914</c:v>
                </c:pt>
                <c:pt idx="576">
                  <c:v>49.864229999999914</c:v>
                </c:pt>
                <c:pt idx="577">
                  <c:v>49.864229999999914</c:v>
                </c:pt>
                <c:pt idx="578">
                  <c:v>49.864229999999914</c:v>
                </c:pt>
                <c:pt idx="579">
                  <c:v>49.864229999999914</c:v>
                </c:pt>
                <c:pt idx="580">
                  <c:v>49.864229999999914</c:v>
                </c:pt>
                <c:pt idx="581">
                  <c:v>49.864229999999914</c:v>
                </c:pt>
                <c:pt idx="582">
                  <c:v>49.864229999999914</c:v>
                </c:pt>
                <c:pt idx="583">
                  <c:v>49.864229999999914</c:v>
                </c:pt>
                <c:pt idx="584">
                  <c:v>49.864229999999914</c:v>
                </c:pt>
                <c:pt idx="585">
                  <c:v>49.864229999999914</c:v>
                </c:pt>
                <c:pt idx="586">
                  <c:v>49.864229999999914</c:v>
                </c:pt>
                <c:pt idx="587">
                  <c:v>49.864229999999914</c:v>
                </c:pt>
                <c:pt idx="588">
                  <c:v>49.864229999999914</c:v>
                </c:pt>
                <c:pt idx="589">
                  <c:v>49.864229999999914</c:v>
                </c:pt>
                <c:pt idx="590">
                  <c:v>49.864229999999914</c:v>
                </c:pt>
                <c:pt idx="591">
                  <c:v>49.864229999999914</c:v>
                </c:pt>
                <c:pt idx="592">
                  <c:v>49.864229999999914</c:v>
                </c:pt>
                <c:pt idx="593">
                  <c:v>49.864229999999914</c:v>
                </c:pt>
                <c:pt idx="594">
                  <c:v>49.864229999999914</c:v>
                </c:pt>
                <c:pt idx="595">
                  <c:v>49.864229999999914</c:v>
                </c:pt>
                <c:pt idx="596">
                  <c:v>49.864229999999914</c:v>
                </c:pt>
                <c:pt idx="597">
                  <c:v>49.864229999999914</c:v>
                </c:pt>
                <c:pt idx="598">
                  <c:v>49.864229999999914</c:v>
                </c:pt>
                <c:pt idx="599">
                  <c:v>49.864229999999914</c:v>
                </c:pt>
                <c:pt idx="600">
                  <c:v>49.864229999999914</c:v>
                </c:pt>
                <c:pt idx="601">
                  <c:v>49.864229999999914</c:v>
                </c:pt>
                <c:pt idx="602">
                  <c:v>49.864229999999914</c:v>
                </c:pt>
                <c:pt idx="603">
                  <c:v>49.864229999999914</c:v>
                </c:pt>
                <c:pt idx="604">
                  <c:v>49.864229999999914</c:v>
                </c:pt>
                <c:pt idx="605">
                  <c:v>49.864229999999914</c:v>
                </c:pt>
                <c:pt idx="606">
                  <c:v>49.864229999999914</c:v>
                </c:pt>
                <c:pt idx="607">
                  <c:v>49.864229999999914</c:v>
                </c:pt>
                <c:pt idx="608">
                  <c:v>49.864229999999914</c:v>
                </c:pt>
                <c:pt idx="609">
                  <c:v>49.864229999999914</c:v>
                </c:pt>
                <c:pt idx="610">
                  <c:v>49.864229999999914</c:v>
                </c:pt>
                <c:pt idx="611">
                  <c:v>49.864229999999914</c:v>
                </c:pt>
                <c:pt idx="612">
                  <c:v>49.864229999999914</c:v>
                </c:pt>
                <c:pt idx="613">
                  <c:v>49.864229999999914</c:v>
                </c:pt>
                <c:pt idx="614">
                  <c:v>49.864229999999914</c:v>
                </c:pt>
                <c:pt idx="615">
                  <c:v>49.864229999999914</c:v>
                </c:pt>
                <c:pt idx="616">
                  <c:v>49.864229999999914</c:v>
                </c:pt>
                <c:pt idx="617">
                  <c:v>49.864229999999914</c:v>
                </c:pt>
                <c:pt idx="618">
                  <c:v>49.864229999999914</c:v>
                </c:pt>
                <c:pt idx="619">
                  <c:v>49.864229999999914</c:v>
                </c:pt>
                <c:pt idx="620">
                  <c:v>49.864229999999914</c:v>
                </c:pt>
                <c:pt idx="621">
                  <c:v>49.864229999999914</c:v>
                </c:pt>
                <c:pt idx="622">
                  <c:v>49.864229999999914</c:v>
                </c:pt>
                <c:pt idx="623">
                  <c:v>49.864229999999914</c:v>
                </c:pt>
                <c:pt idx="624">
                  <c:v>49.864229999999914</c:v>
                </c:pt>
                <c:pt idx="625">
                  <c:v>49.864229999999914</c:v>
                </c:pt>
                <c:pt idx="626">
                  <c:v>49.864229999999914</c:v>
                </c:pt>
                <c:pt idx="627">
                  <c:v>49.864229999999914</c:v>
                </c:pt>
                <c:pt idx="628">
                  <c:v>49.864229999999914</c:v>
                </c:pt>
                <c:pt idx="629">
                  <c:v>49.864229999999914</c:v>
                </c:pt>
                <c:pt idx="630">
                  <c:v>49.864229999999914</c:v>
                </c:pt>
                <c:pt idx="631">
                  <c:v>49.864229999999914</c:v>
                </c:pt>
                <c:pt idx="632">
                  <c:v>49.864229999999914</c:v>
                </c:pt>
                <c:pt idx="633">
                  <c:v>49.864229999999914</c:v>
                </c:pt>
                <c:pt idx="634">
                  <c:v>49.864229999999914</c:v>
                </c:pt>
                <c:pt idx="635">
                  <c:v>49.864229999999914</c:v>
                </c:pt>
                <c:pt idx="636">
                  <c:v>49.864229999999914</c:v>
                </c:pt>
                <c:pt idx="637">
                  <c:v>49.864229999999914</c:v>
                </c:pt>
                <c:pt idx="638">
                  <c:v>49.864229999999914</c:v>
                </c:pt>
                <c:pt idx="639">
                  <c:v>49.864229999999914</c:v>
                </c:pt>
                <c:pt idx="640">
                  <c:v>49.864229999999914</c:v>
                </c:pt>
                <c:pt idx="641">
                  <c:v>49.864229999999914</c:v>
                </c:pt>
                <c:pt idx="642">
                  <c:v>49.864229999999914</c:v>
                </c:pt>
                <c:pt idx="643">
                  <c:v>49.864229999999914</c:v>
                </c:pt>
                <c:pt idx="644">
                  <c:v>49.864229999999914</c:v>
                </c:pt>
                <c:pt idx="645">
                  <c:v>49.864229999999914</c:v>
                </c:pt>
                <c:pt idx="646">
                  <c:v>49.864229999999914</c:v>
                </c:pt>
                <c:pt idx="647">
                  <c:v>49.864229999999914</c:v>
                </c:pt>
                <c:pt idx="648">
                  <c:v>49.864229999999914</c:v>
                </c:pt>
                <c:pt idx="649">
                  <c:v>49.864229999999914</c:v>
                </c:pt>
                <c:pt idx="650">
                  <c:v>49.864229999999914</c:v>
                </c:pt>
                <c:pt idx="651">
                  <c:v>49.864229999999914</c:v>
                </c:pt>
                <c:pt idx="652">
                  <c:v>49.864229999999914</c:v>
                </c:pt>
                <c:pt idx="653">
                  <c:v>49.864229999999914</c:v>
                </c:pt>
                <c:pt idx="654">
                  <c:v>49.864229999999914</c:v>
                </c:pt>
                <c:pt idx="655">
                  <c:v>49.864229999999914</c:v>
                </c:pt>
                <c:pt idx="656">
                  <c:v>49.864229999999914</c:v>
                </c:pt>
                <c:pt idx="657">
                  <c:v>49.864229999999914</c:v>
                </c:pt>
                <c:pt idx="658">
                  <c:v>49.864229999999914</c:v>
                </c:pt>
                <c:pt idx="659">
                  <c:v>49.864229999999914</c:v>
                </c:pt>
                <c:pt idx="660">
                  <c:v>49.864229999999914</c:v>
                </c:pt>
                <c:pt idx="661">
                  <c:v>49.864229999999914</c:v>
                </c:pt>
                <c:pt idx="662">
                  <c:v>49.864229999999914</c:v>
                </c:pt>
                <c:pt idx="663">
                  <c:v>49.864229999999914</c:v>
                </c:pt>
                <c:pt idx="664">
                  <c:v>49.864229999999914</c:v>
                </c:pt>
                <c:pt idx="665">
                  <c:v>49.864229999999914</c:v>
                </c:pt>
                <c:pt idx="666">
                  <c:v>49.864229999999914</c:v>
                </c:pt>
                <c:pt idx="667">
                  <c:v>49.864229999999914</c:v>
                </c:pt>
                <c:pt idx="668">
                  <c:v>49.864229999999914</c:v>
                </c:pt>
                <c:pt idx="669">
                  <c:v>49.864229999999914</c:v>
                </c:pt>
                <c:pt idx="670">
                  <c:v>49.864229999999914</c:v>
                </c:pt>
                <c:pt idx="671">
                  <c:v>49.864229999999914</c:v>
                </c:pt>
                <c:pt idx="672">
                  <c:v>49.864229999999914</c:v>
                </c:pt>
                <c:pt idx="673">
                  <c:v>49.864229999999914</c:v>
                </c:pt>
                <c:pt idx="674">
                  <c:v>49.864229999999914</c:v>
                </c:pt>
                <c:pt idx="675">
                  <c:v>49.864229999999914</c:v>
                </c:pt>
                <c:pt idx="676">
                  <c:v>49.864229999999914</c:v>
                </c:pt>
                <c:pt idx="677">
                  <c:v>49.864229999999914</c:v>
                </c:pt>
                <c:pt idx="678">
                  <c:v>49.864229999999914</c:v>
                </c:pt>
                <c:pt idx="679">
                  <c:v>49.864229999999914</c:v>
                </c:pt>
                <c:pt idx="680">
                  <c:v>49.864229999999914</c:v>
                </c:pt>
                <c:pt idx="681">
                  <c:v>49.864229999999914</c:v>
                </c:pt>
                <c:pt idx="682">
                  <c:v>49.864229999999914</c:v>
                </c:pt>
                <c:pt idx="683">
                  <c:v>49.864229999999914</c:v>
                </c:pt>
                <c:pt idx="684">
                  <c:v>49.864229999999914</c:v>
                </c:pt>
                <c:pt idx="685">
                  <c:v>49.864229999999914</c:v>
                </c:pt>
                <c:pt idx="686">
                  <c:v>49.864229999999914</c:v>
                </c:pt>
                <c:pt idx="687">
                  <c:v>49.864229999999914</c:v>
                </c:pt>
                <c:pt idx="688">
                  <c:v>49.864229999999914</c:v>
                </c:pt>
                <c:pt idx="689">
                  <c:v>49.864229999999914</c:v>
                </c:pt>
                <c:pt idx="690">
                  <c:v>49.864229999999914</c:v>
                </c:pt>
                <c:pt idx="691">
                  <c:v>49.864229999999914</c:v>
                </c:pt>
                <c:pt idx="692">
                  <c:v>49.864229999999914</c:v>
                </c:pt>
                <c:pt idx="693">
                  <c:v>49.864229999999914</c:v>
                </c:pt>
                <c:pt idx="694">
                  <c:v>49.864229999999914</c:v>
                </c:pt>
                <c:pt idx="695">
                  <c:v>49.864229999999914</c:v>
                </c:pt>
                <c:pt idx="696">
                  <c:v>49.864229999999914</c:v>
                </c:pt>
                <c:pt idx="697">
                  <c:v>49.864229999999914</c:v>
                </c:pt>
                <c:pt idx="698">
                  <c:v>49.864229999999914</c:v>
                </c:pt>
                <c:pt idx="699">
                  <c:v>49.864229999999914</c:v>
                </c:pt>
                <c:pt idx="700">
                  <c:v>49.864229999999914</c:v>
                </c:pt>
                <c:pt idx="701">
                  <c:v>49.864229999999914</c:v>
                </c:pt>
                <c:pt idx="702">
                  <c:v>49.864229999999914</c:v>
                </c:pt>
                <c:pt idx="703">
                  <c:v>49.864229999999914</c:v>
                </c:pt>
                <c:pt idx="704">
                  <c:v>49.864229999999914</c:v>
                </c:pt>
                <c:pt idx="705">
                  <c:v>49.864229999999914</c:v>
                </c:pt>
                <c:pt idx="706">
                  <c:v>49.864229999999914</c:v>
                </c:pt>
                <c:pt idx="707">
                  <c:v>49.864229999999914</c:v>
                </c:pt>
                <c:pt idx="708">
                  <c:v>49.864229999999914</c:v>
                </c:pt>
                <c:pt idx="709">
                  <c:v>49.864229999999914</c:v>
                </c:pt>
                <c:pt idx="710">
                  <c:v>49.864229999999914</c:v>
                </c:pt>
                <c:pt idx="711">
                  <c:v>49.864229999999914</c:v>
                </c:pt>
                <c:pt idx="712">
                  <c:v>49.864229999999914</c:v>
                </c:pt>
                <c:pt idx="713">
                  <c:v>49.864229999999914</c:v>
                </c:pt>
                <c:pt idx="714">
                  <c:v>49.864229999999914</c:v>
                </c:pt>
                <c:pt idx="715">
                  <c:v>49.864229999999914</c:v>
                </c:pt>
                <c:pt idx="716">
                  <c:v>49.864229999999914</c:v>
                </c:pt>
                <c:pt idx="717">
                  <c:v>49.864229999999914</c:v>
                </c:pt>
                <c:pt idx="718">
                  <c:v>49.864229999999914</c:v>
                </c:pt>
                <c:pt idx="719">
                  <c:v>49.864229999999914</c:v>
                </c:pt>
                <c:pt idx="720">
                  <c:v>49.864229999999914</c:v>
                </c:pt>
                <c:pt idx="721">
                  <c:v>49.864229999999914</c:v>
                </c:pt>
                <c:pt idx="722">
                  <c:v>49.864229999999914</c:v>
                </c:pt>
                <c:pt idx="723">
                  <c:v>49.864229999999914</c:v>
                </c:pt>
                <c:pt idx="724">
                  <c:v>49.864229999999914</c:v>
                </c:pt>
                <c:pt idx="725">
                  <c:v>49.864229999999914</c:v>
                </c:pt>
                <c:pt idx="726">
                  <c:v>49.864229999999914</c:v>
                </c:pt>
                <c:pt idx="727">
                  <c:v>49.864229999999914</c:v>
                </c:pt>
                <c:pt idx="728">
                  <c:v>49.864229999999914</c:v>
                </c:pt>
                <c:pt idx="729">
                  <c:v>49.864229999999914</c:v>
                </c:pt>
                <c:pt idx="730">
                  <c:v>49.864229999999914</c:v>
                </c:pt>
                <c:pt idx="731">
                  <c:v>49.864229999999914</c:v>
                </c:pt>
                <c:pt idx="732">
                  <c:v>49.864229999999914</c:v>
                </c:pt>
                <c:pt idx="733">
                  <c:v>49.864229999999914</c:v>
                </c:pt>
                <c:pt idx="734">
                  <c:v>49.864229999999914</c:v>
                </c:pt>
                <c:pt idx="735">
                  <c:v>49.864229999999914</c:v>
                </c:pt>
                <c:pt idx="736">
                  <c:v>49.864229999999914</c:v>
                </c:pt>
                <c:pt idx="737">
                  <c:v>49.864229999999914</c:v>
                </c:pt>
                <c:pt idx="738">
                  <c:v>49.864229999999914</c:v>
                </c:pt>
                <c:pt idx="739">
                  <c:v>49.864229999999914</c:v>
                </c:pt>
                <c:pt idx="740">
                  <c:v>49.864229999999914</c:v>
                </c:pt>
                <c:pt idx="741">
                  <c:v>49.864229999999914</c:v>
                </c:pt>
                <c:pt idx="742">
                  <c:v>49.864229999999914</c:v>
                </c:pt>
                <c:pt idx="743">
                  <c:v>49.864229999999914</c:v>
                </c:pt>
                <c:pt idx="744">
                  <c:v>49.864229999999914</c:v>
                </c:pt>
                <c:pt idx="745">
                  <c:v>49.864229999999914</c:v>
                </c:pt>
                <c:pt idx="746">
                  <c:v>49.864229999999914</c:v>
                </c:pt>
                <c:pt idx="747">
                  <c:v>49.864229999999914</c:v>
                </c:pt>
                <c:pt idx="748">
                  <c:v>49.864229999999914</c:v>
                </c:pt>
                <c:pt idx="749">
                  <c:v>49.864229999999914</c:v>
                </c:pt>
                <c:pt idx="750">
                  <c:v>49.864229999999914</c:v>
                </c:pt>
                <c:pt idx="751">
                  <c:v>49.864229999999914</c:v>
                </c:pt>
                <c:pt idx="752">
                  <c:v>49.864229999999914</c:v>
                </c:pt>
                <c:pt idx="753">
                  <c:v>49.864229999999914</c:v>
                </c:pt>
                <c:pt idx="754">
                  <c:v>49.864229999999914</c:v>
                </c:pt>
                <c:pt idx="755">
                  <c:v>49.864229999999914</c:v>
                </c:pt>
                <c:pt idx="756">
                  <c:v>49.864229999999914</c:v>
                </c:pt>
                <c:pt idx="757">
                  <c:v>49.864229999999914</c:v>
                </c:pt>
                <c:pt idx="758">
                  <c:v>49.864229999999914</c:v>
                </c:pt>
                <c:pt idx="759">
                  <c:v>49.864229999999914</c:v>
                </c:pt>
                <c:pt idx="760">
                  <c:v>49.864229999999914</c:v>
                </c:pt>
                <c:pt idx="761">
                  <c:v>49.864229999999914</c:v>
                </c:pt>
                <c:pt idx="762">
                  <c:v>49.864229999999914</c:v>
                </c:pt>
                <c:pt idx="763">
                  <c:v>49.864229999999914</c:v>
                </c:pt>
                <c:pt idx="764">
                  <c:v>49.864229999999914</c:v>
                </c:pt>
                <c:pt idx="765">
                  <c:v>49.864229999999914</c:v>
                </c:pt>
                <c:pt idx="766">
                  <c:v>49.864229999999914</c:v>
                </c:pt>
                <c:pt idx="767">
                  <c:v>49.864229999999914</c:v>
                </c:pt>
                <c:pt idx="768">
                  <c:v>49.864229999999914</c:v>
                </c:pt>
                <c:pt idx="769">
                  <c:v>49.864229999999914</c:v>
                </c:pt>
                <c:pt idx="770">
                  <c:v>49.864229999999914</c:v>
                </c:pt>
                <c:pt idx="771">
                  <c:v>49.864229999999914</c:v>
                </c:pt>
                <c:pt idx="772">
                  <c:v>49.864229999999914</c:v>
                </c:pt>
                <c:pt idx="773">
                  <c:v>49.864229999999914</c:v>
                </c:pt>
                <c:pt idx="774">
                  <c:v>49.864229999999914</c:v>
                </c:pt>
                <c:pt idx="775">
                  <c:v>49.864229999999914</c:v>
                </c:pt>
                <c:pt idx="776">
                  <c:v>49.864229999999914</c:v>
                </c:pt>
                <c:pt idx="777">
                  <c:v>49.864229999999914</c:v>
                </c:pt>
                <c:pt idx="778">
                  <c:v>49.864229999999914</c:v>
                </c:pt>
                <c:pt idx="779">
                  <c:v>49.864229999999914</c:v>
                </c:pt>
                <c:pt idx="780">
                  <c:v>49.864229999999914</c:v>
                </c:pt>
                <c:pt idx="781">
                  <c:v>49.864229999999914</c:v>
                </c:pt>
                <c:pt idx="782">
                  <c:v>49.864229999999914</c:v>
                </c:pt>
                <c:pt idx="783">
                  <c:v>49.864229999999914</c:v>
                </c:pt>
                <c:pt idx="784">
                  <c:v>49.864229999999914</c:v>
                </c:pt>
                <c:pt idx="785">
                  <c:v>49.864229999999914</c:v>
                </c:pt>
                <c:pt idx="786">
                  <c:v>49.864229999999914</c:v>
                </c:pt>
                <c:pt idx="787">
                  <c:v>49.864229999999914</c:v>
                </c:pt>
                <c:pt idx="788">
                  <c:v>49.864229999999914</c:v>
                </c:pt>
                <c:pt idx="789">
                  <c:v>49.864229999999914</c:v>
                </c:pt>
                <c:pt idx="790">
                  <c:v>49.864229999999914</c:v>
                </c:pt>
                <c:pt idx="791">
                  <c:v>49.864229999999914</c:v>
                </c:pt>
                <c:pt idx="792">
                  <c:v>49.864229999999914</c:v>
                </c:pt>
                <c:pt idx="793">
                  <c:v>49.864229999999914</c:v>
                </c:pt>
                <c:pt idx="794">
                  <c:v>49.864229999999914</c:v>
                </c:pt>
                <c:pt idx="795">
                  <c:v>49.864229999999914</c:v>
                </c:pt>
                <c:pt idx="796">
                  <c:v>49.864229999999914</c:v>
                </c:pt>
                <c:pt idx="797">
                  <c:v>49.864229999999914</c:v>
                </c:pt>
                <c:pt idx="798">
                  <c:v>49.864229999999914</c:v>
                </c:pt>
                <c:pt idx="799">
                  <c:v>49.864229999999914</c:v>
                </c:pt>
                <c:pt idx="800">
                  <c:v>49.864229999999914</c:v>
                </c:pt>
                <c:pt idx="801">
                  <c:v>49.864229999999914</c:v>
                </c:pt>
                <c:pt idx="802">
                  <c:v>49.864229999999914</c:v>
                </c:pt>
                <c:pt idx="803">
                  <c:v>49.864229999999914</c:v>
                </c:pt>
                <c:pt idx="804">
                  <c:v>49.864229999999914</c:v>
                </c:pt>
                <c:pt idx="805">
                  <c:v>49.864229999999914</c:v>
                </c:pt>
                <c:pt idx="806">
                  <c:v>49.864229999999914</c:v>
                </c:pt>
                <c:pt idx="807">
                  <c:v>49.864229999999914</c:v>
                </c:pt>
                <c:pt idx="808">
                  <c:v>49.864229999999914</c:v>
                </c:pt>
                <c:pt idx="809">
                  <c:v>49.864229999999914</c:v>
                </c:pt>
                <c:pt idx="810">
                  <c:v>49.864229999999914</c:v>
                </c:pt>
                <c:pt idx="811">
                  <c:v>49.864229999999914</c:v>
                </c:pt>
                <c:pt idx="812">
                  <c:v>49.864229999999914</c:v>
                </c:pt>
                <c:pt idx="813">
                  <c:v>49.864229999999914</c:v>
                </c:pt>
                <c:pt idx="814">
                  <c:v>49.864229999999914</c:v>
                </c:pt>
                <c:pt idx="815">
                  <c:v>49.864229999999914</c:v>
                </c:pt>
                <c:pt idx="816">
                  <c:v>49.864229999999914</c:v>
                </c:pt>
                <c:pt idx="817">
                  <c:v>49.864229999999914</c:v>
                </c:pt>
                <c:pt idx="818">
                  <c:v>49.864229999999914</c:v>
                </c:pt>
                <c:pt idx="819">
                  <c:v>49.864229999999914</c:v>
                </c:pt>
                <c:pt idx="820">
                  <c:v>49.864229999999914</c:v>
                </c:pt>
                <c:pt idx="821">
                  <c:v>49.864229999999914</c:v>
                </c:pt>
                <c:pt idx="822">
                  <c:v>49.864229999999914</c:v>
                </c:pt>
                <c:pt idx="823">
                  <c:v>49.864229999999914</c:v>
                </c:pt>
                <c:pt idx="824">
                  <c:v>49.864229999999914</c:v>
                </c:pt>
                <c:pt idx="825">
                  <c:v>49.864229999999914</c:v>
                </c:pt>
                <c:pt idx="826">
                  <c:v>49.864229999999914</c:v>
                </c:pt>
                <c:pt idx="827">
                  <c:v>49.864229999999914</c:v>
                </c:pt>
                <c:pt idx="828">
                  <c:v>49.864229999999914</c:v>
                </c:pt>
                <c:pt idx="829">
                  <c:v>49.864229999999914</c:v>
                </c:pt>
                <c:pt idx="830">
                  <c:v>49.864229999999914</c:v>
                </c:pt>
                <c:pt idx="831">
                  <c:v>49.864229999999914</c:v>
                </c:pt>
                <c:pt idx="832">
                  <c:v>49.864229999999914</c:v>
                </c:pt>
                <c:pt idx="833">
                  <c:v>49.864229999999914</c:v>
                </c:pt>
                <c:pt idx="834">
                  <c:v>49.864229999999914</c:v>
                </c:pt>
                <c:pt idx="835">
                  <c:v>49.864229999999914</c:v>
                </c:pt>
                <c:pt idx="836">
                  <c:v>49.864229999999914</c:v>
                </c:pt>
                <c:pt idx="837">
                  <c:v>49.864229999999914</c:v>
                </c:pt>
                <c:pt idx="838">
                  <c:v>49.864229999999914</c:v>
                </c:pt>
                <c:pt idx="839">
                  <c:v>49.864229999999914</c:v>
                </c:pt>
                <c:pt idx="840">
                  <c:v>49.864229999999914</c:v>
                </c:pt>
                <c:pt idx="841">
                  <c:v>49.864229999999914</c:v>
                </c:pt>
                <c:pt idx="842">
                  <c:v>49.864229999999914</c:v>
                </c:pt>
                <c:pt idx="843">
                  <c:v>49.864229999999914</c:v>
                </c:pt>
                <c:pt idx="844">
                  <c:v>49.864229999999914</c:v>
                </c:pt>
                <c:pt idx="845">
                  <c:v>49.864229999999914</c:v>
                </c:pt>
                <c:pt idx="846">
                  <c:v>49.864229999999914</c:v>
                </c:pt>
                <c:pt idx="847">
                  <c:v>49.864229999999914</c:v>
                </c:pt>
                <c:pt idx="848">
                  <c:v>49.864229999999914</c:v>
                </c:pt>
                <c:pt idx="849">
                  <c:v>49.864229999999914</c:v>
                </c:pt>
                <c:pt idx="850">
                  <c:v>49.864229999999914</c:v>
                </c:pt>
                <c:pt idx="851">
                  <c:v>49.864229999999914</c:v>
                </c:pt>
                <c:pt idx="852">
                  <c:v>49.864229999999914</c:v>
                </c:pt>
                <c:pt idx="853">
                  <c:v>49.864229999999914</c:v>
                </c:pt>
                <c:pt idx="854">
                  <c:v>49.864229999999914</c:v>
                </c:pt>
                <c:pt idx="855">
                  <c:v>49.864229999999914</c:v>
                </c:pt>
                <c:pt idx="856">
                  <c:v>49.864229999999914</c:v>
                </c:pt>
                <c:pt idx="857">
                  <c:v>49.864229999999914</c:v>
                </c:pt>
                <c:pt idx="858">
                  <c:v>49.864229999999914</c:v>
                </c:pt>
                <c:pt idx="859">
                  <c:v>49.864229999999914</c:v>
                </c:pt>
                <c:pt idx="860">
                  <c:v>49.864229999999914</c:v>
                </c:pt>
                <c:pt idx="861">
                  <c:v>49.864229999999914</c:v>
                </c:pt>
                <c:pt idx="862">
                  <c:v>49.864229999999914</c:v>
                </c:pt>
                <c:pt idx="863">
                  <c:v>49.864229999999914</c:v>
                </c:pt>
                <c:pt idx="864">
                  <c:v>49.864229999999914</c:v>
                </c:pt>
                <c:pt idx="865">
                  <c:v>49.864229999999914</c:v>
                </c:pt>
                <c:pt idx="866">
                  <c:v>49.864229999999914</c:v>
                </c:pt>
                <c:pt idx="867">
                  <c:v>49.864229999999914</c:v>
                </c:pt>
                <c:pt idx="868">
                  <c:v>49.864229999999914</c:v>
                </c:pt>
                <c:pt idx="869">
                  <c:v>49.864229999999914</c:v>
                </c:pt>
                <c:pt idx="870">
                  <c:v>49.864229999999914</c:v>
                </c:pt>
                <c:pt idx="871">
                  <c:v>49.864229999999914</c:v>
                </c:pt>
                <c:pt idx="872">
                  <c:v>49.864229999999914</c:v>
                </c:pt>
                <c:pt idx="873">
                  <c:v>49.864229999999914</c:v>
                </c:pt>
                <c:pt idx="874">
                  <c:v>49.864229999999914</c:v>
                </c:pt>
                <c:pt idx="875">
                  <c:v>49.864229999999914</c:v>
                </c:pt>
                <c:pt idx="876">
                  <c:v>49.864229999999914</c:v>
                </c:pt>
                <c:pt idx="877">
                  <c:v>49.864229999999914</c:v>
                </c:pt>
                <c:pt idx="878">
                  <c:v>49.864229999999914</c:v>
                </c:pt>
                <c:pt idx="879">
                  <c:v>49.864229999999914</c:v>
                </c:pt>
                <c:pt idx="880">
                  <c:v>49.864229999999914</c:v>
                </c:pt>
                <c:pt idx="881">
                  <c:v>49.864229999999914</c:v>
                </c:pt>
                <c:pt idx="882">
                  <c:v>49.864229999999914</c:v>
                </c:pt>
                <c:pt idx="883">
                  <c:v>49.864229999999914</c:v>
                </c:pt>
                <c:pt idx="884">
                  <c:v>49.864229999999914</c:v>
                </c:pt>
                <c:pt idx="885">
                  <c:v>49.864229999999914</c:v>
                </c:pt>
                <c:pt idx="886">
                  <c:v>49.864229999999914</c:v>
                </c:pt>
                <c:pt idx="887">
                  <c:v>49.864229999999914</c:v>
                </c:pt>
                <c:pt idx="888">
                  <c:v>49.864229999999914</c:v>
                </c:pt>
                <c:pt idx="889">
                  <c:v>49.864229999999914</c:v>
                </c:pt>
                <c:pt idx="890">
                  <c:v>49.864229999999914</c:v>
                </c:pt>
                <c:pt idx="891">
                  <c:v>49.864229999999914</c:v>
                </c:pt>
                <c:pt idx="892">
                  <c:v>49.864229999999914</c:v>
                </c:pt>
                <c:pt idx="893">
                  <c:v>49.864229999999914</c:v>
                </c:pt>
                <c:pt idx="894">
                  <c:v>49.864229999999914</c:v>
                </c:pt>
                <c:pt idx="895">
                  <c:v>49.864229999999914</c:v>
                </c:pt>
                <c:pt idx="896">
                  <c:v>49.864229999999914</c:v>
                </c:pt>
                <c:pt idx="897">
                  <c:v>49.864229999999914</c:v>
                </c:pt>
                <c:pt idx="898">
                  <c:v>49.864229999999914</c:v>
                </c:pt>
                <c:pt idx="899">
                  <c:v>49.864229999999914</c:v>
                </c:pt>
                <c:pt idx="900">
                  <c:v>49.864229999999914</c:v>
                </c:pt>
                <c:pt idx="901">
                  <c:v>49.864229999999914</c:v>
                </c:pt>
                <c:pt idx="902">
                  <c:v>49.864229999999914</c:v>
                </c:pt>
                <c:pt idx="903">
                  <c:v>49.864229999999914</c:v>
                </c:pt>
                <c:pt idx="904">
                  <c:v>49.864229999999914</c:v>
                </c:pt>
                <c:pt idx="905">
                  <c:v>49.864229999999914</c:v>
                </c:pt>
                <c:pt idx="906">
                  <c:v>49.864229999999914</c:v>
                </c:pt>
                <c:pt idx="907">
                  <c:v>49.864229999999914</c:v>
                </c:pt>
                <c:pt idx="908">
                  <c:v>49.864229999999914</c:v>
                </c:pt>
                <c:pt idx="909">
                  <c:v>49.864229999999914</c:v>
                </c:pt>
                <c:pt idx="910">
                  <c:v>49.864229999999914</c:v>
                </c:pt>
                <c:pt idx="911">
                  <c:v>49.864229999999914</c:v>
                </c:pt>
                <c:pt idx="912">
                  <c:v>49.864229999999914</c:v>
                </c:pt>
                <c:pt idx="913">
                  <c:v>49.864229999999914</c:v>
                </c:pt>
                <c:pt idx="914">
                  <c:v>49.864229999999914</c:v>
                </c:pt>
                <c:pt idx="915">
                  <c:v>49.864229999999914</c:v>
                </c:pt>
                <c:pt idx="916">
                  <c:v>49.864229999999914</c:v>
                </c:pt>
                <c:pt idx="917">
                  <c:v>49.864229999999914</c:v>
                </c:pt>
                <c:pt idx="918">
                  <c:v>49.864229999999914</c:v>
                </c:pt>
                <c:pt idx="919">
                  <c:v>49.864229999999914</c:v>
                </c:pt>
                <c:pt idx="920">
                  <c:v>49.864229999999914</c:v>
                </c:pt>
                <c:pt idx="921">
                  <c:v>49.864229999999914</c:v>
                </c:pt>
                <c:pt idx="922">
                  <c:v>49.864229999999914</c:v>
                </c:pt>
                <c:pt idx="923">
                  <c:v>49.864229999999914</c:v>
                </c:pt>
                <c:pt idx="924">
                  <c:v>49.864229999999914</c:v>
                </c:pt>
                <c:pt idx="925">
                  <c:v>49.864229999999914</c:v>
                </c:pt>
                <c:pt idx="926">
                  <c:v>49.864229999999914</c:v>
                </c:pt>
                <c:pt idx="927">
                  <c:v>49.864229999999914</c:v>
                </c:pt>
                <c:pt idx="928">
                  <c:v>49.864229999999914</c:v>
                </c:pt>
                <c:pt idx="929">
                  <c:v>49.864229999999914</c:v>
                </c:pt>
                <c:pt idx="930">
                  <c:v>49.864229999999914</c:v>
                </c:pt>
                <c:pt idx="931">
                  <c:v>49.864229999999914</c:v>
                </c:pt>
                <c:pt idx="932">
                  <c:v>49.864229999999914</c:v>
                </c:pt>
                <c:pt idx="933">
                  <c:v>49.864229999999914</c:v>
                </c:pt>
                <c:pt idx="934">
                  <c:v>49.864229999999914</c:v>
                </c:pt>
                <c:pt idx="935">
                  <c:v>49.864229999999914</c:v>
                </c:pt>
                <c:pt idx="936">
                  <c:v>49.864229999999914</c:v>
                </c:pt>
                <c:pt idx="937">
                  <c:v>49.864229999999914</c:v>
                </c:pt>
                <c:pt idx="938">
                  <c:v>49.864229999999914</c:v>
                </c:pt>
                <c:pt idx="939">
                  <c:v>49.864229999999914</c:v>
                </c:pt>
                <c:pt idx="940">
                  <c:v>49.864229999999914</c:v>
                </c:pt>
                <c:pt idx="941">
                  <c:v>49.864229999999914</c:v>
                </c:pt>
                <c:pt idx="942">
                  <c:v>49.864229999999914</c:v>
                </c:pt>
                <c:pt idx="943">
                  <c:v>49.864229999999914</c:v>
                </c:pt>
                <c:pt idx="944">
                  <c:v>49.864229999999914</c:v>
                </c:pt>
                <c:pt idx="945">
                  <c:v>49.864229999999914</c:v>
                </c:pt>
                <c:pt idx="946">
                  <c:v>49.864229999999914</c:v>
                </c:pt>
                <c:pt idx="947">
                  <c:v>49.864229999999914</c:v>
                </c:pt>
                <c:pt idx="948">
                  <c:v>49.864229999999914</c:v>
                </c:pt>
                <c:pt idx="949">
                  <c:v>49.864229999999914</c:v>
                </c:pt>
                <c:pt idx="950">
                  <c:v>49.864229999999914</c:v>
                </c:pt>
                <c:pt idx="951">
                  <c:v>49.864229999999914</c:v>
                </c:pt>
                <c:pt idx="952">
                  <c:v>49.864229999999914</c:v>
                </c:pt>
                <c:pt idx="953">
                  <c:v>49.864229999999914</c:v>
                </c:pt>
                <c:pt idx="954">
                  <c:v>49.864229999999914</c:v>
                </c:pt>
                <c:pt idx="955">
                  <c:v>49.864229999999914</c:v>
                </c:pt>
                <c:pt idx="956">
                  <c:v>49.864229999999914</c:v>
                </c:pt>
                <c:pt idx="957">
                  <c:v>49.864229999999914</c:v>
                </c:pt>
                <c:pt idx="958">
                  <c:v>49.864229999999914</c:v>
                </c:pt>
                <c:pt idx="959">
                  <c:v>49.864229999999914</c:v>
                </c:pt>
                <c:pt idx="960">
                  <c:v>49.864229999999914</c:v>
                </c:pt>
                <c:pt idx="961">
                  <c:v>49.864229999999914</c:v>
                </c:pt>
                <c:pt idx="962">
                  <c:v>49.864229999999914</c:v>
                </c:pt>
                <c:pt idx="963">
                  <c:v>49.864229999999914</c:v>
                </c:pt>
                <c:pt idx="964">
                  <c:v>49.864229999999914</c:v>
                </c:pt>
                <c:pt idx="965">
                  <c:v>49.864229999999914</c:v>
                </c:pt>
                <c:pt idx="966">
                  <c:v>49.864229999999914</c:v>
                </c:pt>
                <c:pt idx="967">
                  <c:v>49.864229999999914</c:v>
                </c:pt>
                <c:pt idx="968">
                  <c:v>49.864229999999914</c:v>
                </c:pt>
                <c:pt idx="969">
                  <c:v>49.864229999999914</c:v>
                </c:pt>
                <c:pt idx="970">
                  <c:v>49.864229999999914</c:v>
                </c:pt>
                <c:pt idx="971">
                  <c:v>49.864229999999914</c:v>
                </c:pt>
                <c:pt idx="972">
                  <c:v>49.864229999999914</c:v>
                </c:pt>
                <c:pt idx="973">
                  <c:v>49.864229999999914</c:v>
                </c:pt>
                <c:pt idx="974">
                  <c:v>49.864229999999914</c:v>
                </c:pt>
                <c:pt idx="975">
                  <c:v>49.864229999999914</c:v>
                </c:pt>
                <c:pt idx="976">
                  <c:v>49.864229999999914</c:v>
                </c:pt>
                <c:pt idx="977">
                  <c:v>49.864229999999914</c:v>
                </c:pt>
                <c:pt idx="978">
                  <c:v>49.864229999999914</c:v>
                </c:pt>
                <c:pt idx="979">
                  <c:v>49.864229999999914</c:v>
                </c:pt>
                <c:pt idx="980">
                  <c:v>49.864229999999914</c:v>
                </c:pt>
                <c:pt idx="981">
                  <c:v>49.864229999999914</c:v>
                </c:pt>
                <c:pt idx="982">
                  <c:v>49.864229999999914</c:v>
                </c:pt>
                <c:pt idx="983">
                  <c:v>49.864229999999914</c:v>
                </c:pt>
                <c:pt idx="984">
                  <c:v>49.864229999999914</c:v>
                </c:pt>
                <c:pt idx="985">
                  <c:v>49.864229999999914</c:v>
                </c:pt>
                <c:pt idx="986">
                  <c:v>49.864229999999914</c:v>
                </c:pt>
                <c:pt idx="987">
                  <c:v>49.864229999999914</c:v>
                </c:pt>
                <c:pt idx="988">
                  <c:v>49.864229999999914</c:v>
                </c:pt>
                <c:pt idx="989">
                  <c:v>49.864229999999914</c:v>
                </c:pt>
                <c:pt idx="990">
                  <c:v>49.864229999999914</c:v>
                </c:pt>
                <c:pt idx="991">
                  <c:v>49.864229999999914</c:v>
                </c:pt>
                <c:pt idx="992">
                  <c:v>49.864229999999914</c:v>
                </c:pt>
                <c:pt idx="993">
                  <c:v>49.864229999999914</c:v>
                </c:pt>
                <c:pt idx="994">
                  <c:v>49.864229999999914</c:v>
                </c:pt>
                <c:pt idx="995">
                  <c:v>49.864229999999914</c:v>
                </c:pt>
                <c:pt idx="996">
                  <c:v>49.864229999999914</c:v>
                </c:pt>
                <c:pt idx="997">
                  <c:v>49.864229999999914</c:v>
                </c:pt>
                <c:pt idx="998">
                  <c:v>49.864229999999914</c:v>
                </c:pt>
                <c:pt idx="999">
                  <c:v>49.864229999999914</c:v>
                </c:pt>
                <c:pt idx="1000">
                  <c:v>49.864229999999914</c:v>
                </c:pt>
              </c:numCache>
            </c:numRef>
          </c:yVal>
          <c:smooth val="0"/>
          <c:extLst>
            <c:ext xmlns:c16="http://schemas.microsoft.com/office/drawing/2014/chart" uri="{C3380CC4-5D6E-409C-BE32-E72D297353CC}">
              <c16:uniqueId val="{00000001-B98B-46BB-BB51-DAAA2071230C}"/>
            </c:ext>
          </c:extLst>
        </c:ser>
        <c:ser>
          <c:idx val="0"/>
          <c:order val="2"/>
          <c:tx>
            <c:strRef>
              <c:f>Courbes!$B$133</c:f>
              <c:strCache>
                <c:ptCount val="1"/>
                <c:pt idx="0">
                  <c:v>Traînée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34.800000000000182</c:v>
                </c:pt>
                <c:pt idx="709">
                  <c:v>34.900000000000183</c:v>
                </c:pt>
                <c:pt idx="710">
                  <c:v>35.000000000000185</c:v>
                </c:pt>
                <c:pt idx="711">
                  <c:v>35.100000000000186</c:v>
                </c:pt>
                <c:pt idx="712">
                  <c:v>35.200000000000188</c:v>
                </c:pt>
                <c:pt idx="713">
                  <c:v>35.300000000000189</c:v>
                </c:pt>
                <c:pt idx="714">
                  <c:v>35.40000000000019</c:v>
                </c:pt>
                <c:pt idx="715">
                  <c:v>35.500000000000192</c:v>
                </c:pt>
                <c:pt idx="716">
                  <c:v>35.600000000000193</c:v>
                </c:pt>
                <c:pt idx="717">
                  <c:v>35.700000000000195</c:v>
                </c:pt>
                <c:pt idx="718">
                  <c:v>35.800000000000196</c:v>
                </c:pt>
                <c:pt idx="719">
                  <c:v>35.900000000000198</c:v>
                </c:pt>
                <c:pt idx="720">
                  <c:v>36.000000000000199</c:v>
                </c:pt>
                <c:pt idx="721">
                  <c:v>36.1000000000002</c:v>
                </c:pt>
                <c:pt idx="722">
                  <c:v>36.200000000000202</c:v>
                </c:pt>
                <c:pt idx="723">
                  <c:v>36.300000000000203</c:v>
                </c:pt>
                <c:pt idx="724">
                  <c:v>36.400000000000205</c:v>
                </c:pt>
                <c:pt idx="725">
                  <c:v>36.500000000000206</c:v>
                </c:pt>
                <c:pt idx="726">
                  <c:v>36.600000000000207</c:v>
                </c:pt>
                <c:pt idx="727">
                  <c:v>36.700000000000209</c:v>
                </c:pt>
                <c:pt idx="728">
                  <c:v>36.80000000000021</c:v>
                </c:pt>
                <c:pt idx="729">
                  <c:v>36.900000000000212</c:v>
                </c:pt>
                <c:pt idx="730">
                  <c:v>37.000000000000213</c:v>
                </c:pt>
                <c:pt idx="731">
                  <c:v>37.100000000000215</c:v>
                </c:pt>
                <c:pt idx="732">
                  <c:v>37.200000000000216</c:v>
                </c:pt>
                <c:pt idx="733">
                  <c:v>37.300000000000217</c:v>
                </c:pt>
                <c:pt idx="734">
                  <c:v>37.400000000000219</c:v>
                </c:pt>
                <c:pt idx="735">
                  <c:v>37.50000000000022</c:v>
                </c:pt>
                <c:pt idx="736">
                  <c:v>37.600000000000222</c:v>
                </c:pt>
                <c:pt idx="737">
                  <c:v>37.700000000000223</c:v>
                </c:pt>
                <c:pt idx="738">
                  <c:v>37.800000000000225</c:v>
                </c:pt>
                <c:pt idx="739">
                  <c:v>37.900000000000226</c:v>
                </c:pt>
                <c:pt idx="740">
                  <c:v>38.000000000000227</c:v>
                </c:pt>
                <c:pt idx="741">
                  <c:v>38.100000000000229</c:v>
                </c:pt>
                <c:pt idx="742">
                  <c:v>38.20000000000023</c:v>
                </c:pt>
                <c:pt idx="743">
                  <c:v>38.300000000000232</c:v>
                </c:pt>
                <c:pt idx="744">
                  <c:v>38.400000000000233</c:v>
                </c:pt>
                <c:pt idx="745">
                  <c:v>38.500000000000234</c:v>
                </c:pt>
                <c:pt idx="746">
                  <c:v>38.600000000000236</c:v>
                </c:pt>
                <c:pt idx="747">
                  <c:v>38.700000000000237</c:v>
                </c:pt>
                <c:pt idx="748">
                  <c:v>38.800000000000239</c:v>
                </c:pt>
                <c:pt idx="749">
                  <c:v>38.90000000000024</c:v>
                </c:pt>
                <c:pt idx="750">
                  <c:v>39.000000000000242</c:v>
                </c:pt>
                <c:pt idx="751">
                  <c:v>39.100000000000243</c:v>
                </c:pt>
                <c:pt idx="752">
                  <c:v>39.200000000000244</c:v>
                </c:pt>
                <c:pt idx="753">
                  <c:v>39.300000000000246</c:v>
                </c:pt>
                <c:pt idx="754">
                  <c:v>39.400000000000247</c:v>
                </c:pt>
                <c:pt idx="755">
                  <c:v>39.500000000000249</c:v>
                </c:pt>
                <c:pt idx="756">
                  <c:v>39.60000000000025</c:v>
                </c:pt>
                <c:pt idx="757">
                  <c:v>39.700000000000252</c:v>
                </c:pt>
                <c:pt idx="758">
                  <c:v>39.800000000000253</c:v>
                </c:pt>
                <c:pt idx="759">
                  <c:v>39.900000000000254</c:v>
                </c:pt>
                <c:pt idx="760">
                  <c:v>40.000000000000256</c:v>
                </c:pt>
                <c:pt idx="761">
                  <c:v>40.100000000000257</c:v>
                </c:pt>
                <c:pt idx="762">
                  <c:v>40.200000000000259</c:v>
                </c:pt>
                <c:pt idx="763">
                  <c:v>40.30000000000026</c:v>
                </c:pt>
                <c:pt idx="764">
                  <c:v>40.400000000000261</c:v>
                </c:pt>
                <c:pt idx="765">
                  <c:v>40.500000000000263</c:v>
                </c:pt>
                <c:pt idx="766">
                  <c:v>40.600000000000264</c:v>
                </c:pt>
                <c:pt idx="767">
                  <c:v>40.700000000000266</c:v>
                </c:pt>
                <c:pt idx="768">
                  <c:v>40.800000000000267</c:v>
                </c:pt>
                <c:pt idx="769">
                  <c:v>40.900000000000269</c:v>
                </c:pt>
                <c:pt idx="770">
                  <c:v>41.00000000000027</c:v>
                </c:pt>
                <c:pt idx="771">
                  <c:v>41.100000000000271</c:v>
                </c:pt>
                <c:pt idx="772">
                  <c:v>41.200000000000273</c:v>
                </c:pt>
                <c:pt idx="773">
                  <c:v>41.300000000000274</c:v>
                </c:pt>
                <c:pt idx="774">
                  <c:v>41.400000000000276</c:v>
                </c:pt>
                <c:pt idx="775">
                  <c:v>41.500000000000277</c:v>
                </c:pt>
                <c:pt idx="776">
                  <c:v>41.600000000000279</c:v>
                </c:pt>
                <c:pt idx="777">
                  <c:v>41.70000000000028</c:v>
                </c:pt>
                <c:pt idx="778">
                  <c:v>41.800000000000281</c:v>
                </c:pt>
                <c:pt idx="779">
                  <c:v>41.900000000000283</c:v>
                </c:pt>
                <c:pt idx="780">
                  <c:v>42.000000000000284</c:v>
                </c:pt>
                <c:pt idx="781">
                  <c:v>42.100000000000286</c:v>
                </c:pt>
                <c:pt idx="782">
                  <c:v>42.200000000000287</c:v>
                </c:pt>
                <c:pt idx="783">
                  <c:v>42.300000000000288</c:v>
                </c:pt>
                <c:pt idx="784">
                  <c:v>42.40000000000029</c:v>
                </c:pt>
                <c:pt idx="785">
                  <c:v>42.500000000000291</c:v>
                </c:pt>
                <c:pt idx="786">
                  <c:v>42.600000000000293</c:v>
                </c:pt>
                <c:pt idx="787">
                  <c:v>42.700000000000294</c:v>
                </c:pt>
                <c:pt idx="788">
                  <c:v>42.800000000000296</c:v>
                </c:pt>
                <c:pt idx="789">
                  <c:v>42.900000000000297</c:v>
                </c:pt>
                <c:pt idx="790">
                  <c:v>43.000000000000298</c:v>
                </c:pt>
                <c:pt idx="791">
                  <c:v>43.1000000000003</c:v>
                </c:pt>
                <c:pt idx="792">
                  <c:v>43.200000000000301</c:v>
                </c:pt>
                <c:pt idx="793">
                  <c:v>43.300000000000303</c:v>
                </c:pt>
                <c:pt idx="794">
                  <c:v>43.400000000000304</c:v>
                </c:pt>
                <c:pt idx="795">
                  <c:v>43.500000000000306</c:v>
                </c:pt>
                <c:pt idx="796">
                  <c:v>43.600000000000307</c:v>
                </c:pt>
                <c:pt idx="797">
                  <c:v>43.700000000000308</c:v>
                </c:pt>
                <c:pt idx="798">
                  <c:v>43.80000000000031</c:v>
                </c:pt>
                <c:pt idx="799">
                  <c:v>43.900000000000311</c:v>
                </c:pt>
                <c:pt idx="800">
                  <c:v>44.000000000000313</c:v>
                </c:pt>
                <c:pt idx="801">
                  <c:v>44.100000000000314</c:v>
                </c:pt>
                <c:pt idx="802">
                  <c:v>44.200000000000315</c:v>
                </c:pt>
                <c:pt idx="803">
                  <c:v>44.300000000000317</c:v>
                </c:pt>
                <c:pt idx="804">
                  <c:v>44.400000000000318</c:v>
                </c:pt>
                <c:pt idx="805">
                  <c:v>44.50000000000032</c:v>
                </c:pt>
                <c:pt idx="806">
                  <c:v>44.600000000000321</c:v>
                </c:pt>
                <c:pt idx="807">
                  <c:v>44.600100000000324</c:v>
                </c:pt>
                <c:pt idx="808">
                  <c:v>44.600200000000328</c:v>
                </c:pt>
                <c:pt idx="809">
                  <c:v>44.600300000000331</c:v>
                </c:pt>
                <c:pt idx="810">
                  <c:v>44.600400000000334</c:v>
                </c:pt>
                <c:pt idx="811">
                  <c:v>44.600500000000338</c:v>
                </c:pt>
                <c:pt idx="812">
                  <c:v>44.600600000000341</c:v>
                </c:pt>
                <c:pt idx="813">
                  <c:v>44.600700000000344</c:v>
                </c:pt>
                <c:pt idx="814">
                  <c:v>44.600800000000348</c:v>
                </c:pt>
                <c:pt idx="815">
                  <c:v>44.600900000000351</c:v>
                </c:pt>
                <c:pt idx="816">
                  <c:v>44.601000000000354</c:v>
                </c:pt>
                <c:pt idx="817">
                  <c:v>44.601100000000358</c:v>
                </c:pt>
                <c:pt idx="818">
                  <c:v>44.601200000000361</c:v>
                </c:pt>
                <c:pt idx="819">
                  <c:v>44.601300000000364</c:v>
                </c:pt>
                <c:pt idx="820">
                  <c:v>44.601400000000368</c:v>
                </c:pt>
                <c:pt idx="821">
                  <c:v>44.601500000000371</c:v>
                </c:pt>
                <c:pt idx="822">
                  <c:v>44.601600000000374</c:v>
                </c:pt>
                <c:pt idx="823">
                  <c:v>44.601700000000378</c:v>
                </c:pt>
                <c:pt idx="824">
                  <c:v>44.601800000000381</c:v>
                </c:pt>
                <c:pt idx="825">
                  <c:v>44.601900000000384</c:v>
                </c:pt>
                <c:pt idx="826">
                  <c:v>44.602000000000388</c:v>
                </c:pt>
                <c:pt idx="827">
                  <c:v>44.602100000000391</c:v>
                </c:pt>
                <c:pt idx="828">
                  <c:v>44.602200000000394</c:v>
                </c:pt>
                <c:pt idx="829">
                  <c:v>44.602300000000398</c:v>
                </c:pt>
                <c:pt idx="830">
                  <c:v>44.602400000000401</c:v>
                </c:pt>
                <c:pt idx="831">
                  <c:v>44.602500000000404</c:v>
                </c:pt>
                <c:pt idx="832">
                  <c:v>44.602600000000407</c:v>
                </c:pt>
                <c:pt idx="833">
                  <c:v>44.602700000000411</c:v>
                </c:pt>
                <c:pt idx="834">
                  <c:v>44.602800000000414</c:v>
                </c:pt>
                <c:pt idx="835">
                  <c:v>44.602900000000417</c:v>
                </c:pt>
                <c:pt idx="836">
                  <c:v>44.603000000000421</c:v>
                </c:pt>
                <c:pt idx="837">
                  <c:v>44.603100000000424</c:v>
                </c:pt>
                <c:pt idx="838">
                  <c:v>44.603200000000427</c:v>
                </c:pt>
                <c:pt idx="839">
                  <c:v>44.603300000000431</c:v>
                </c:pt>
                <c:pt idx="840">
                  <c:v>44.603400000000434</c:v>
                </c:pt>
                <c:pt idx="841">
                  <c:v>44.603500000000437</c:v>
                </c:pt>
                <c:pt idx="842">
                  <c:v>44.603600000000441</c:v>
                </c:pt>
                <c:pt idx="843">
                  <c:v>44.603700000000444</c:v>
                </c:pt>
                <c:pt idx="844">
                  <c:v>44.603800000000447</c:v>
                </c:pt>
                <c:pt idx="845">
                  <c:v>44.603900000000451</c:v>
                </c:pt>
                <c:pt idx="846">
                  <c:v>44.604000000000454</c:v>
                </c:pt>
                <c:pt idx="847">
                  <c:v>44.604100000000457</c:v>
                </c:pt>
                <c:pt idx="848">
                  <c:v>44.604200000000461</c:v>
                </c:pt>
                <c:pt idx="849">
                  <c:v>44.604300000000464</c:v>
                </c:pt>
                <c:pt idx="850">
                  <c:v>44.604400000000467</c:v>
                </c:pt>
                <c:pt idx="851">
                  <c:v>44.604500000000471</c:v>
                </c:pt>
                <c:pt idx="852">
                  <c:v>44.604600000000474</c:v>
                </c:pt>
                <c:pt idx="853">
                  <c:v>44.604700000000477</c:v>
                </c:pt>
                <c:pt idx="854">
                  <c:v>44.604800000000481</c:v>
                </c:pt>
                <c:pt idx="855">
                  <c:v>44.604900000000484</c:v>
                </c:pt>
                <c:pt idx="856">
                  <c:v>44.605000000000487</c:v>
                </c:pt>
                <c:pt idx="857">
                  <c:v>44.60510000000049</c:v>
                </c:pt>
                <c:pt idx="858">
                  <c:v>44.605200000000494</c:v>
                </c:pt>
                <c:pt idx="859">
                  <c:v>44.605300000000497</c:v>
                </c:pt>
                <c:pt idx="860">
                  <c:v>44.6054000000005</c:v>
                </c:pt>
                <c:pt idx="861">
                  <c:v>44.605500000000504</c:v>
                </c:pt>
                <c:pt idx="862">
                  <c:v>44.605600000000507</c:v>
                </c:pt>
                <c:pt idx="863">
                  <c:v>44.60570000000051</c:v>
                </c:pt>
                <c:pt idx="864">
                  <c:v>44.605800000000514</c:v>
                </c:pt>
                <c:pt idx="865">
                  <c:v>44.605900000000517</c:v>
                </c:pt>
                <c:pt idx="866">
                  <c:v>44.60600000000052</c:v>
                </c:pt>
                <c:pt idx="867">
                  <c:v>44.606100000000524</c:v>
                </c:pt>
                <c:pt idx="868">
                  <c:v>44.606200000000527</c:v>
                </c:pt>
                <c:pt idx="869">
                  <c:v>44.60630000000053</c:v>
                </c:pt>
                <c:pt idx="870">
                  <c:v>44.606400000000534</c:v>
                </c:pt>
                <c:pt idx="871">
                  <c:v>44.606500000000537</c:v>
                </c:pt>
                <c:pt idx="872">
                  <c:v>44.60660000000054</c:v>
                </c:pt>
                <c:pt idx="873">
                  <c:v>44.606700000000544</c:v>
                </c:pt>
                <c:pt idx="874">
                  <c:v>44.606800000000547</c:v>
                </c:pt>
                <c:pt idx="875">
                  <c:v>44.60690000000055</c:v>
                </c:pt>
                <c:pt idx="876">
                  <c:v>44.607000000000554</c:v>
                </c:pt>
                <c:pt idx="877">
                  <c:v>44.607100000000557</c:v>
                </c:pt>
                <c:pt idx="878">
                  <c:v>44.60720000000056</c:v>
                </c:pt>
                <c:pt idx="879">
                  <c:v>44.607300000000564</c:v>
                </c:pt>
                <c:pt idx="880">
                  <c:v>44.607400000000567</c:v>
                </c:pt>
                <c:pt idx="881">
                  <c:v>44.60750000000057</c:v>
                </c:pt>
                <c:pt idx="882">
                  <c:v>44.607600000000573</c:v>
                </c:pt>
                <c:pt idx="883">
                  <c:v>44.607700000000577</c:v>
                </c:pt>
                <c:pt idx="884">
                  <c:v>44.60780000000058</c:v>
                </c:pt>
                <c:pt idx="885">
                  <c:v>44.607900000000583</c:v>
                </c:pt>
                <c:pt idx="886">
                  <c:v>44.608000000000587</c:v>
                </c:pt>
                <c:pt idx="887">
                  <c:v>44.60810000000059</c:v>
                </c:pt>
                <c:pt idx="888">
                  <c:v>44.608200000000593</c:v>
                </c:pt>
                <c:pt idx="889">
                  <c:v>44.608300000000597</c:v>
                </c:pt>
                <c:pt idx="890">
                  <c:v>44.6084000000006</c:v>
                </c:pt>
                <c:pt idx="891">
                  <c:v>44.608500000000603</c:v>
                </c:pt>
                <c:pt idx="892">
                  <c:v>44.608600000000607</c:v>
                </c:pt>
                <c:pt idx="893">
                  <c:v>44.60870000000061</c:v>
                </c:pt>
                <c:pt idx="894">
                  <c:v>44.608800000000613</c:v>
                </c:pt>
                <c:pt idx="895">
                  <c:v>44.608900000000617</c:v>
                </c:pt>
                <c:pt idx="896">
                  <c:v>44.60900000000062</c:v>
                </c:pt>
                <c:pt idx="897">
                  <c:v>44.609100000000623</c:v>
                </c:pt>
                <c:pt idx="898">
                  <c:v>44.609200000000627</c:v>
                </c:pt>
                <c:pt idx="899">
                  <c:v>44.60930000000063</c:v>
                </c:pt>
                <c:pt idx="900">
                  <c:v>44.609400000000633</c:v>
                </c:pt>
                <c:pt idx="901">
                  <c:v>44.609500000000637</c:v>
                </c:pt>
                <c:pt idx="902">
                  <c:v>44.60960000000064</c:v>
                </c:pt>
                <c:pt idx="903">
                  <c:v>44.609700000000643</c:v>
                </c:pt>
                <c:pt idx="904">
                  <c:v>44.609800000000646</c:v>
                </c:pt>
                <c:pt idx="905">
                  <c:v>44.60990000000065</c:v>
                </c:pt>
                <c:pt idx="906">
                  <c:v>44.610000000000653</c:v>
                </c:pt>
                <c:pt idx="907">
                  <c:v>44.610100000000656</c:v>
                </c:pt>
                <c:pt idx="908">
                  <c:v>44.61020000000066</c:v>
                </c:pt>
                <c:pt idx="909">
                  <c:v>44.610300000000663</c:v>
                </c:pt>
                <c:pt idx="910">
                  <c:v>44.610400000000666</c:v>
                </c:pt>
                <c:pt idx="911">
                  <c:v>44.61050000000067</c:v>
                </c:pt>
                <c:pt idx="912">
                  <c:v>44.610600000000673</c:v>
                </c:pt>
                <c:pt idx="913">
                  <c:v>44.610700000000676</c:v>
                </c:pt>
                <c:pt idx="914">
                  <c:v>44.61080000000068</c:v>
                </c:pt>
                <c:pt idx="915">
                  <c:v>44.610900000000683</c:v>
                </c:pt>
                <c:pt idx="916">
                  <c:v>44.611000000000686</c:v>
                </c:pt>
                <c:pt idx="917">
                  <c:v>44.61110000000069</c:v>
                </c:pt>
                <c:pt idx="918">
                  <c:v>44.611200000000693</c:v>
                </c:pt>
                <c:pt idx="919">
                  <c:v>44.611300000000696</c:v>
                </c:pt>
                <c:pt idx="920">
                  <c:v>44.6114000000007</c:v>
                </c:pt>
                <c:pt idx="921">
                  <c:v>44.611500000000703</c:v>
                </c:pt>
                <c:pt idx="922">
                  <c:v>44.611600000000706</c:v>
                </c:pt>
                <c:pt idx="923">
                  <c:v>44.61170000000071</c:v>
                </c:pt>
                <c:pt idx="924">
                  <c:v>44.611800000000713</c:v>
                </c:pt>
                <c:pt idx="925">
                  <c:v>44.611900000000716</c:v>
                </c:pt>
                <c:pt idx="926">
                  <c:v>44.61200000000072</c:v>
                </c:pt>
                <c:pt idx="927">
                  <c:v>44.612100000000723</c:v>
                </c:pt>
                <c:pt idx="928">
                  <c:v>44.612200000000726</c:v>
                </c:pt>
                <c:pt idx="929">
                  <c:v>44.612300000000729</c:v>
                </c:pt>
                <c:pt idx="930">
                  <c:v>44.612400000000733</c:v>
                </c:pt>
                <c:pt idx="931">
                  <c:v>44.612500000000736</c:v>
                </c:pt>
                <c:pt idx="932">
                  <c:v>44.612600000000739</c:v>
                </c:pt>
                <c:pt idx="933">
                  <c:v>44.612700000000743</c:v>
                </c:pt>
                <c:pt idx="934">
                  <c:v>44.612800000000746</c:v>
                </c:pt>
                <c:pt idx="935">
                  <c:v>44.612900000000749</c:v>
                </c:pt>
                <c:pt idx="936">
                  <c:v>44.613000000000753</c:v>
                </c:pt>
                <c:pt idx="937">
                  <c:v>44.613100000000756</c:v>
                </c:pt>
                <c:pt idx="938">
                  <c:v>44.613200000000759</c:v>
                </c:pt>
                <c:pt idx="939">
                  <c:v>44.613300000000763</c:v>
                </c:pt>
                <c:pt idx="940">
                  <c:v>44.613400000000766</c:v>
                </c:pt>
                <c:pt idx="941">
                  <c:v>44.613500000000769</c:v>
                </c:pt>
                <c:pt idx="942">
                  <c:v>44.613600000000773</c:v>
                </c:pt>
                <c:pt idx="943">
                  <c:v>44.613700000000776</c:v>
                </c:pt>
                <c:pt idx="944">
                  <c:v>44.613800000000779</c:v>
                </c:pt>
                <c:pt idx="945">
                  <c:v>44.613900000000783</c:v>
                </c:pt>
                <c:pt idx="946">
                  <c:v>44.614000000000786</c:v>
                </c:pt>
                <c:pt idx="947">
                  <c:v>44.614100000000789</c:v>
                </c:pt>
                <c:pt idx="948">
                  <c:v>44.614200000000793</c:v>
                </c:pt>
                <c:pt idx="949">
                  <c:v>44.614300000000796</c:v>
                </c:pt>
                <c:pt idx="950">
                  <c:v>44.614400000000799</c:v>
                </c:pt>
                <c:pt idx="951">
                  <c:v>44.614500000000803</c:v>
                </c:pt>
                <c:pt idx="952">
                  <c:v>44.614600000000806</c:v>
                </c:pt>
                <c:pt idx="953">
                  <c:v>44.614700000000809</c:v>
                </c:pt>
                <c:pt idx="954">
                  <c:v>44.614800000000812</c:v>
                </c:pt>
                <c:pt idx="955">
                  <c:v>44.614900000000816</c:v>
                </c:pt>
                <c:pt idx="956">
                  <c:v>44.615000000000819</c:v>
                </c:pt>
                <c:pt idx="957">
                  <c:v>44.615100000000822</c:v>
                </c:pt>
                <c:pt idx="958">
                  <c:v>44.615200000000826</c:v>
                </c:pt>
                <c:pt idx="959">
                  <c:v>44.615300000000829</c:v>
                </c:pt>
                <c:pt idx="960">
                  <c:v>44.615400000000832</c:v>
                </c:pt>
                <c:pt idx="961">
                  <c:v>44.615500000000836</c:v>
                </c:pt>
                <c:pt idx="962">
                  <c:v>44.615600000000839</c:v>
                </c:pt>
                <c:pt idx="963">
                  <c:v>44.615700000000842</c:v>
                </c:pt>
                <c:pt idx="964">
                  <c:v>44.615800000000846</c:v>
                </c:pt>
                <c:pt idx="965">
                  <c:v>44.615900000000849</c:v>
                </c:pt>
                <c:pt idx="966">
                  <c:v>44.616000000000852</c:v>
                </c:pt>
                <c:pt idx="967">
                  <c:v>44.616100000000856</c:v>
                </c:pt>
                <c:pt idx="968">
                  <c:v>44.616200000000859</c:v>
                </c:pt>
                <c:pt idx="969">
                  <c:v>44.616300000000862</c:v>
                </c:pt>
                <c:pt idx="970">
                  <c:v>44.616400000000866</c:v>
                </c:pt>
                <c:pt idx="971">
                  <c:v>44.616500000000869</c:v>
                </c:pt>
                <c:pt idx="972">
                  <c:v>44.616600000000872</c:v>
                </c:pt>
                <c:pt idx="973">
                  <c:v>44.616700000000876</c:v>
                </c:pt>
                <c:pt idx="974">
                  <c:v>44.616800000000879</c:v>
                </c:pt>
                <c:pt idx="975">
                  <c:v>44.616900000000882</c:v>
                </c:pt>
                <c:pt idx="976">
                  <c:v>44.617000000000886</c:v>
                </c:pt>
                <c:pt idx="977">
                  <c:v>44.617100000000889</c:v>
                </c:pt>
                <c:pt idx="978">
                  <c:v>44.617200000000892</c:v>
                </c:pt>
                <c:pt idx="979">
                  <c:v>44.617300000000895</c:v>
                </c:pt>
                <c:pt idx="980">
                  <c:v>44.617400000000899</c:v>
                </c:pt>
                <c:pt idx="981">
                  <c:v>44.617500000000902</c:v>
                </c:pt>
                <c:pt idx="982">
                  <c:v>44.617600000000905</c:v>
                </c:pt>
                <c:pt idx="983">
                  <c:v>44.617700000000909</c:v>
                </c:pt>
                <c:pt idx="984">
                  <c:v>44.617800000000912</c:v>
                </c:pt>
                <c:pt idx="985">
                  <c:v>44.617900000000915</c:v>
                </c:pt>
                <c:pt idx="986">
                  <c:v>44.618000000000919</c:v>
                </c:pt>
                <c:pt idx="987">
                  <c:v>44.618100000000922</c:v>
                </c:pt>
                <c:pt idx="988">
                  <c:v>44.618200000000925</c:v>
                </c:pt>
                <c:pt idx="989">
                  <c:v>44.618300000000929</c:v>
                </c:pt>
                <c:pt idx="990">
                  <c:v>44.618400000000932</c:v>
                </c:pt>
                <c:pt idx="991">
                  <c:v>44.618500000000935</c:v>
                </c:pt>
                <c:pt idx="992">
                  <c:v>44.618600000000939</c:v>
                </c:pt>
                <c:pt idx="993">
                  <c:v>44.618700000000942</c:v>
                </c:pt>
                <c:pt idx="994">
                  <c:v>44.618800000000945</c:v>
                </c:pt>
                <c:pt idx="995">
                  <c:v>44.618900000000949</c:v>
                </c:pt>
                <c:pt idx="996">
                  <c:v>44.619000000000952</c:v>
                </c:pt>
                <c:pt idx="997">
                  <c:v>44.619100000000955</c:v>
                </c:pt>
                <c:pt idx="998">
                  <c:v>44.619200000000959</c:v>
                </c:pt>
                <c:pt idx="999">
                  <c:v>44.619300000000962</c:v>
                </c:pt>
                <c:pt idx="1000">
                  <c:v>44.619400000000965</c:v>
                </c:pt>
              </c:numCache>
            </c:numRef>
          </c:xVal>
          <c:yVal>
            <c:numRef>
              <c:f>Calculs!$W$4:$W$1004</c:f>
              <c:numCache>
                <c:formatCode>0.00</c:formatCode>
                <c:ptCount val="1001"/>
                <c:pt idx="0">
                  <c:v>37.61313451725249</c:v>
                </c:pt>
                <c:pt idx="1">
                  <c:v>37.600335425148991</c:v>
                </c:pt>
                <c:pt idx="2">
                  <c:v>37.807529726023894</c:v>
                </c:pt>
                <c:pt idx="3">
                  <c:v>38.236386030190438</c:v>
                </c:pt>
                <c:pt idx="4">
                  <c:v>38.890589374562794</c:v>
                </c:pt>
                <c:pt idx="5">
                  <c:v>39.77584084515744</c:v>
                </c:pt>
                <c:pt idx="6">
                  <c:v>40.783700823464009</c:v>
                </c:pt>
                <c:pt idx="7">
                  <c:v>41.800769415681366</c:v>
                </c:pt>
                <c:pt idx="8">
                  <c:v>42.826901537803998</c:v>
                </c:pt>
                <c:pt idx="9">
                  <c:v>43.861951746747458</c:v>
                </c:pt>
                <c:pt idx="10">
                  <c:v>44.905774261369551</c:v>
                </c:pt>
                <c:pt idx="11">
                  <c:v>45.958222983474094</c:v>
                </c:pt>
                <c:pt idx="12">
                  <c:v>47.019151518792228</c:v>
                </c:pt>
                <c:pt idx="13">
                  <c:v>48.088413197935914</c:v>
                </c:pt>
                <c:pt idx="14">
                  <c:v>49.165861097318306</c:v>
                </c:pt>
                <c:pt idx="15">
                  <c:v>50.251348060036229</c:v>
                </c:pt>
                <c:pt idx="16">
                  <c:v>51.344726716708941</c:v>
                </c:pt>
                <c:pt idx="17">
                  <c:v>52.445849506269255</c:v>
                </c:pt>
                <c:pt idx="18">
                  <c:v>53.554568696700585</c:v>
                </c:pt>
                <c:pt idx="19">
                  <c:v>54.670736405715992</c:v>
                </c:pt>
                <c:pt idx="20">
                  <c:v>55.794204621373851</c:v>
                </c:pt>
                <c:pt idx="21">
                  <c:v>56.924825222625401</c:v>
                </c:pt>
                <c:pt idx="22">
                  <c:v>58.062449999789024</c:v>
                </c:pt>
                <c:pt idx="23">
                  <c:v>59.206930674946811</c:v>
                </c:pt>
                <c:pt idx="24">
                  <c:v>60.358118922258491</c:v>
                </c:pt>
                <c:pt idx="25">
                  <c:v>61.515866388188115</c:v>
                </c:pt>
                <c:pt idx="26">
                  <c:v>62.680024711638552</c:v>
                </c:pt>
                <c:pt idx="27">
                  <c:v>63.850445543990055</c:v>
                </c:pt>
                <c:pt idx="28">
                  <c:v>65.026980569037065</c:v>
                </c:pt>
                <c:pt idx="29">
                  <c:v>66.209481522820013</c:v>
                </c:pt>
                <c:pt idx="30">
                  <c:v>67.397800213347026</c:v>
                </c:pt>
                <c:pt idx="31">
                  <c:v>68.591788540201634</c:v>
                </c:pt>
                <c:pt idx="32">
                  <c:v>69.791298514031681</c:v>
                </c:pt>
                <c:pt idx="33">
                  <c:v>70.996182275915672</c:v>
                </c:pt>
                <c:pt idx="34">
                  <c:v>72.206292116602526</c:v>
                </c:pt>
                <c:pt idx="35">
                  <c:v>73.421480495620017</c:v>
                </c:pt>
                <c:pt idx="36">
                  <c:v>74.641600060248493</c:v>
                </c:pt>
                <c:pt idx="37">
                  <c:v>75.866503664356088</c:v>
                </c:pt>
                <c:pt idx="38">
                  <c:v>77.096044387090743</c:v>
                </c:pt>
                <c:pt idx="39">
                  <c:v>78.330075551425978</c:v>
                </c:pt>
                <c:pt idx="40">
                  <c:v>79.568450742556806</c:v>
                </c:pt>
                <c:pt idx="41">
                  <c:v>80.811023826141323</c:v>
                </c:pt>
                <c:pt idx="42">
                  <c:v>82.057648966385358</c:v>
                </c:pt>
                <c:pt idx="43">
                  <c:v>83.308180643966125</c:v>
                </c:pt>
                <c:pt idx="44">
                  <c:v>84.562473673791629</c:v>
                </c:pt>
                <c:pt idx="45">
                  <c:v>85.820383222592639</c:v>
                </c:pt>
                <c:pt idx="46">
                  <c:v>87.081764826343658</c:v>
                </c:pt>
                <c:pt idx="47">
                  <c:v>88.346474407510257</c:v>
                </c:pt>
                <c:pt idx="48">
                  <c:v>89.614368292118996</c:v>
                </c:pt>
                <c:pt idx="49">
                  <c:v>90.885303226647522</c:v>
                </c:pt>
                <c:pt idx="50">
                  <c:v>92.159136394731661</c:v>
                </c:pt>
                <c:pt idx="51">
                  <c:v>93.436656963385332</c:v>
                </c:pt>
                <c:pt idx="52">
                  <c:v>94.718680229133966</c:v>
                </c:pt>
                <c:pt idx="53">
                  <c:v>96.005101956273776</c:v>
                </c:pt>
                <c:pt idx="54">
                  <c:v>97.2958179713942</c:v>
                </c:pt>
                <c:pt idx="55">
                  <c:v>98.590724174979684</c:v>
                </c:pt>
                <c:pt idx="56">
                  <c:v>99.889716552940428</c:v>
                </c:pt>
                <c:pt idx="57">
                  <c:v>101.19269118807095</c:v>
                </c:pt>
                <c:pt idx="58">
                  <c:v>102.49954427143348</c:v>
                </c:pt>
                <c:pt idx="59">
                  <c:v>103.81017211366444</c:v>
                </c:pt>
                <c:pt idx="60">
                  <c:v>105.12447115620259</c:v>
                </c:pt>
                <c:pt idx="61">
                  <c:v>106.44233798243643</c:v>
                </c:pt>
                <c:pt idx="62">
                  <c:v>107.76366932876863</c:v>
                </c:pt>
                <c:pt idx="63">
                  <c:v>109.08836209559615</c:v>
                </c:pt>
                <c:pt idx="64">
                  <c:v>110.41631335820463</c:v>
                </c:pt>
                <c:pt idx="65">
                  <c:v>111.74742037757383</c:v>
                </c:pt>
                <c:pt idx="66">
                  <c:v>113.08158061109364</c:v>
                </c:pt>
                <c:pt idx="67">
                  <c:v>114.41869172318906</c:v>
                </c:pt>
                <c:pt idx="68">
                  <c:v>115.75865159585088</c:v>
                </c:pt>
                <c:pt idx="69">
                  <c:v>117.10135833907253</c:v>
                </c:pt>
                <c:pt idx="70">
                  <c:v>118.44671030118991</c:v>
                </c:pt>
                <c:pt idx="71">
                  <c:v>119.79460607912301</c:v>
                </c:pt>
                <c:pt idx="72">
                  <c:v>121.14494452851878</c:v>
                </c:pt>
                <c:pt idx="73">
                  <c:v>122.49762477379167</c:v>
                </c:pt>
                <c:pt idx="74">
                  <c:v>123.85254621806322</c:v>
                </c:pt>
                <c:pt idx="75">
                  <c:v>125.2096085529963</c:v>
                </c:pt>
                <c:pt idx="76">
                  <c:v>126.56871176852503</c:v>
                </c:pt>
                <c:pt idx="77">
                  <c:v>127.92975616247737</c:v>
                </c:pt>
                <c:pt idx="78">
                  <c:v>129.29264235009066</c:v>
                </c:pt>
                <c:pt idx="79">
                  <c:v>130.65727127341702</c:v>
                </c:pt>
                <c:pt idx="80">
                  <c:v>132.02354421061898</c:v>
                </c:pt>
                <c:pt idx="81">
                  <c:v>133.39136278515355</c:v>
                </c:pt>
                <c:pt idx="82">
                  <c:v>134.76062897484297</c:v>
                </c:pt>
                <c:pt idx="83">
                  <c:v>136.1312451208328</c:v>
                </c:pt>
                <c:pt idx="84">
                  <c:v>137.50311393643398</c:v>
                </c:pt>
                <c:pt idx="85">
                  <c:v>138.87613851584953</c:v>
                </c:pt>
                <c:pt idx="86">
                  <c:v>140.25022234278487</c:v>
                </c:pt>
                <c:pt idx="87">
                  <c:v>141.6252692989396</c:v>
                </c:pt>
                <c:pt idx="88">
                  <c:v>143.00118367238082</c:v>
                </c:pt>
                <c:pt idx="89">
                  <c:v>144.37787016579739</c:v>
                </c:pt>
                <c:pt idx="90">
                  <c:v>145.75523390463326</c:v>
                </c:pt>
                <c:pt idx="91">
                  <c:v>147.13318044509964</c:v>
                </c:pt>
                <c:pt idx="92">
                  <c:v>148.51161578206606</c:v>
                </c:pt>
                <c:pt idx="93">
                  <c:v>149.89044635682833</c:v>
                </c:pt>
                <c:pt idx="94">
                  <c:v>151.26957906475283</c:v>
                </c:pt>
                <c:pt idx="95">
                  <c:v>152.64892126279798</c:v>
                </c:pt>
                <c:pt idx="96">
                  <c:v>154.02838077691052</c:v>
                </c:pt>
                <c:pt idx="97">
                  <c:v>155.40786590929702</c:v>
                </c:pt>
                <c:pt idx="98">
                  <c:v>156.78728544557012</c:v>
                </c:pt>
                <c:pt idx="99">
                  <c:v>158.1665486617685</c:v>
                </c:pt>
                <c:pt idx="100">
                  <c:v>159.54556533125046</c:v>
                </c:pt>
                <c:pt idx="101">
                  <c:v>160.92367835319658</c:v>
                </c:pt>
                <c:pt idx="102">
                  <c:v>162.30022188711385</c:v>
                </c:pt>
                <c:pt idx="103">
                  <c:v>163.67509436075309</c:v>
                </c:pt>
                <c:pt idx="104">
                  <c:v>165.04819495082222</c:v>
                </c:pt>
                <c:pt idx="105">
                  <c:v>166.41942358965781</c:v>
                </c:pt>
                <c:pt idx="106">
                  <c:v>167.78868097171699</c:v>
                </c:pt>
                <c:pt idx="107">
                  <c:v>169.15586855988917</c:v>
                </c:pt>
                <c:pt idx="108">
                  <c:v>170.52088859162902</c:v>
                </c:pt>
                <c:pt idx="109">
                  <c:v>171.88364408491</c:v>
                </c:pt>
                <c:pt idx="110">
                  <c:v>173.24403884399868</c:v>
                </c:pt>
                <c:pt idx="111">
                  <c:v>174.60197746505148</c:v>
                </c:pt>
                <c:pt idx="112">
                  <c:v>175.95736534153346</c:v>
                </c:pt>
                <c:pt idx="113">
                  <c:v>177.31010866945954</c:v>
                </c:pt>
                <c:pt idx="114">
                  <c:v>178.66011445245914</c:v>
                </c:pt>
                <c:pt idx="115">
                  <c:v>180.00729050666459</c:v>
                </c:pt>
                <c:pt idx="116">
                  <c:v>181.35154546542429</c:v>
                </c:pt>
                <c:pt idx="117">
                  <c:v>182.69278878384131</c:v>
                </c:pt>
                <c:pt idx="118">
                  <c:v>184.03093074313691</c:v>
                </c:pt>
                <c:pt idx="119">
                  <c:v>185.36588245484216</c:v>
                </c:pt>
                <c:pt idx="120">
                  <c:v>186.69755586481659</c:v>
                </c:pt>
                <c:pt idx="121">
                  <c:v>188.02586375709473</c:v>
                </c:pt>
                <c:pt idx="122">
                  <c:v>189.3507197575629</c:v>
                </c:pt>
                <c:pt idx="123">
                  <c:v>190.67203833746586</c:v>
                </c:pt>
                <c:pt idx="124">
                  <c:v>191.98973481674446</c:v>
                </c:pt>
                <c:pt idx="125">
                  <c:v>193.3037253672058</c:v>
                </c:pt>
                <c:pt idx="126">
                  <c:v>194.61392701552728</c:v>
                </c:pt>
                <c:pt idx="127">
                  <c:v>195.92025764609366</c:v>
                </c:pt>
                <c:pt idx="128">
                  <c:v>197.22263600367108</c:v>
                </c:pt>
                <c:pt idx="129">
                  <c:v>198.52098169591682</c:v>
                </c:pt>
                <c:pt idx="130">
                  <c:v>199.81521519572709</c:v>
                </c:pt>
                <c:pt idx="131">
                  <c:v>201.10525784342414</c:v>
                </c:pt>
                <c:pt idx="132">
                  <c:v>202.39103184878337</c:v>
                </c:pt>
                <c:pt idx="133">
                  <c:v>203.67246029290231</c:v>
                </c:pt>
                <c:pt idx="134">
                  <c:v>204.94946712991191</c:v>
                </c:pt>
                <c:pt idx="135">
                  <c:v>206.22197718853255</c:v>
                </c:pt>
                <c:pt idx="136">
                  <c:v>207.48991617347554</c:v>
                </c:pt>
                <c:pt idx="137">
                  <c:v>208.75321066669136</c:v>
                </c:pt>
                <c:pt idx="138">
                  <c:v>210.01178812846635</c:v>
                </c:pt>
                <c:pt idx="139">
                  <c:v>211.26557689836909</c:v>
                </c:pt>
                <c:pt idx="140">
                  <c:v>212.51450619604842</c:v>
                </c:pt>
                <c:pt idx="141">
                  <c:v>213.75850612188316</c:v>
                </c:pt>
                <c:pt idx="142">
                  <c:v>214.99750765748752</c:v>
                </c:pt>
                <c:pt idx="143">
                  <c:v>216.23144266607093</c:v>
                </c:pt>
                <c:pt idx="144">
                  <c:v>217.46024389265614</c:v>
                </c:pt>
                <c:pt idx="145">
                  <c:v>218.68384496415518</c:v>
                </c:pt>
                <c:pt idx="146">
                  <c:v>219.90218038930698</c:v>
                </c:pt>
                <c:pt idx="147">
                  <c:v>221.11518555847573</c:v>
                </c:pt>
                <c:pt idx="148">
                  <c:v>222.32279674331403</c:v>
                </c:pt>
                <c:pt idx="149">
                  <c:v>223.52495109629035</c:v>
                </c:pt>
                <c:pt idx="150">
                  <c:v>224.72158665008456</c:v>
                </c:pt>
                <c:pt idx="151">
                  <c:v>225.91287214902601</c:v>
                </c:pt>
                <c:pt idx="152">
                  <c:v>227.09897922766689</c:v>
                </c:pt>
                <c:pt idx="153">
                  <c:v>228.27985109943154</c:v>
                </c:pt>
                <c:pt idx="154">
                  <c:v>229.45543177591566</c:v>
                </c:pt>
                <c:pt idx="155">
                  <c:v>230.62566606600254</c:v>
                </c:pt>
                <c:pt idx="156">
                  <c:v>231.79049957486811</c:v>
                </c:pt>
                <c:pt idx="157">
                  <c:v>232.94987870287667</c:v>
                </c:pt>
                <c:pt idx="158">
                  <c:v>234.10375064436786</c:v>
                </c:pt>
                <c:pt idx="159">
                  <c:v>235.25206338633782</c:v>
                </c:pt>
                <c:pt idx="160">
                  <c:v>236.39476570701433</c:v>
                </c:pt>
                <c:pt idx="161">
                  <c:v>237.53180717432903</c:v>
                </c:pt>
                <c:pt idx="162">
                  <c:v>238.66313814428787</c:v>
                </c:pt>
                <c:pt idx="163">
                  <c:v>239.78870975923974</c:v>
                </c:pt>
                <c:pt idx="164">
                  <c:v>240.90847394604728</c:v>
                </c:pt>
                <c:pt idx="165">
                  <c:v>242.02238341416029</c:v>
                </c:pt>
                <c:pt idx="166">
                  <c:v>243.13039165359203</c:v>
                </c:pt>
                <c:pt idx="167">
                  <c:v>244.23245293280269</c:v>
                </c:pt>
                <c:pt idx="168">
                  <c:v>245.3285222964893</c:v>
                </c:pt>
                <c:pt idx="169">
                  <c:v>246.4185555632838</c:v>
                </c:pt>
                <c:pt idx="170">
                  <c:v>247.50250932336348</c:v>
                </c:pt>
                <c:pt idx="171">
                  <c:v>248.58034093597092</c:v>
                </c:pt>
                <c:pt idx="172">
                  <c:v>249.65200852684862</c:v>
                </c:pt>
                <c:pt idx="173">
                  <c:v>250.71747098558913</c:v>
                </c:pt>
                <c:pt idx="174">
                  <c:v>251.77668796290052</c:v>
                </c:pt>
                <c:pt idx="175">
                  <c:v>252.82961986779137</c:v>
                </c:pt>
                <c:pt idx="176">
                  <c:v>253.87622786467381</c:v>
                </c:pt>
                <c:pt idx="177">
                  <c:v>254.91647387039038</c:v>
                </c:pt>
                <c:pt idx="178">
                  <c:v>255.95032055116064</c:v>
                </c:pt>
                <c:pt idx="179">
                  <c:v>256.97773131945507</c:v>
                </c:pt>
                <c:pt idx="180">
                  <c:v>257.99867033079272</c:v>
                </c:pt>
                <c:pt idx="181">
                  <c:v>259.01310248046889</c:v>
                </c:pt>
                <c:pt idx="182">
                  <c:v>260.020993400208</c:v>
                </c:pt>
                <c:pt idx="183">
                  <c:v>261.02230945475208</c:v>
                </c:pt>
                <c:pt idx="184">
                  <c:v>262.01701773837704</c:v>
                </c:pt>
                <c:pt idx="185">
                  <c:v>263.00508607134515</c:v>
                </c:pt>
                <c:pt idx="186">
                  <c:v>263.9864829962923</c:v>
                </c:pt>
                <c:pt idx="187">
                  <c:v>264.96117777455152</c:v>
                </c:pt>
                <c:pt idx="188">
                  <c:v>265.92914038241508</c:v>
                </c:pt>
                <c:pt idx="189">
                  <c:v>266.89034150733681</c:v>
                </c:pt>
                <c:pt idx="190">
                  <c:v>267.84475254407522</c:v>
                </c:pt>
                <c:pt idx="191">
                  <c:v>268.79234559077969</c:v>
                </c:pt>
                <c:pt idx="192">
                  <c:v>269.73309344502024</c:v>
                </c:pt>
                <c:pt idx="193">
                  <c:v>270.66696959976548</c:v>
                </c:pt>
                <c:pt idx="194">
                  <c:v>271.59394823930438</c:v>
                </c:pt>
                <c:pt idx="195">
                  <c:v>272.51400423511927</c:v>
                </c:pt>
                <c:pt idx="196">
                  <c:v>273.42711314170884</c:v>
                </c:pt>
                <c:pt idx="197">
                  <c:v>274.33325119236201</c:v>
                </c:pt>
                <c:pt idx="198">
                  <c:v>275.2323952948849</c:v>
                </c:pt>
                <c:pt idx="199">
                  <c:v>276.12452302728303</c:v>
                </c:pt>
                <c:pt idx="200">
                  <c:v>277.00961263339929</c:v>
                </c:pt>
                <c:pt idx="201">
                  <c:v>277.8876430185091</c:v>
                </c:pt>
                <c:pt idx="202">
                  <c:v>278.75859374487419</c:v>
                </c:pt>
                <c:pt idx="203">
                  <c:v>279.6224450272573</c:v>
                </c:pt>
                <c:pt idx="204">
                  <c:v>280.47917772839747</c:v>
                </c:pt>
                <c:pt idx="205">
                  <c:v>281.32877335444846</c:v>
                </c:pt>
                <c:pt idx="206">
                  <c:v>282.17121405038296</c:v>
                </c:pt>
                <c:pt idx="207">
                  <c:v>283.00648259535984</c:v>
                </c:pt>
                <c:pt idx="208">
                  <c:v>283.83456239806026</c:v>
                </c:pt>
                <c:pt idx="209">
                  <c:v>284.65543749199202</c:v>
                </c:pt>
                <c:pt idx="210">
                  <c:v>285.46909253076188</c:v>
                </c:pt>
                <c:pt idx="211">
                  <c:v>286.27551278332106</c:v>
                </c:pt>
                <c:pt idx="212">
                  <c:v>287.07468412918138</c:v>
                </c:pt>
                <c:pt idx="213">
                  <c:v>287.86659305360473</c:v>
                </c:pt>
                <c:pt idx="214">
                  <c:v>288.65122664276873</c:v>
                </c:pt>
                <c:pt idx="215">
                  <c:v>289.4285725789066</c:v>
                </c:pt>
                <c:pt idx="216">
                  <c:v>290.19861913542519</c:v>
                </c:pt>
                <c:pt idx="217">
                  <c:v>290.96135517200184</c:v>
                </c:pt>
                <c:pt idx="218">
                  <c:v>291.71677012965887</c:v>
                </c:pt>
                <c:pt idx="219">
                  <c:v>292.46485402582238</c:v>
                </c:pt>
                <c:pt idx="220">
                  <c:v>293.20559744935883</c:v>
                </c:pt>
                <c:pt idx="221">
                  <c:v>293.93899155559814</c:v>
                </c:pt>
                <c:pt idx="222">
                  <c:v>294.66502806133906</c:v>
                </c:pt>
                <c:pt idx="223">
                  <c:v>295.38369923984118</c:v>
                </c:pt>
                <c:pt idx="224">
                  <c:v>296.0949979158035</c:v>
                </c:pt>
                <c:pt idx="225">
                  <c:v>296.79891746032837</c:v>
                </c:pt>
                <c:pt idx="226">
                  <c:v>297.49545178587857</c:v>
                </c:pt>
                <c:pt idx="227">
                  <c:v>298.18459534121951</c:v>
                </c:pt>
                <c:pt idx="228">
                  <c:v>298.86634310635571</c:v>
                </c:pt>
                <c:pt idx="229">
                  <c:v>299.54069058745745</c:v>
                </c:pt>
                <c:pt idx="230">
                  <c:v>300.20763381178142</c:v>
                </c:pt>
                <c:pt idx="231">
                  <c:v>300.86716932258383</c:v>
                </c:pt>
                <c:pt idx="232">
                  <c:v>301.51929417403107</c:v>
                </c:pt>
                <c:pt idx="233">
                  <c:v>302.16400592610449</c:v>
                </c:pt>
                <c:pt idx="234">
                  <c:v>302.80130263950116</c:v>
                </c:pt>
                <c:pt idx="235">
                  <c:v>303.43118287053619</c:v>
                </c:pt>
                <c:pt idx="236">
                  <c:v>304.05364566604004</c:v>
                </c:pt>
                <c:pt idx="237">
                  <c:v>304.66869055825754</c:v>
                </c:pt>
                <c:pt idx="238">
                  <c:v>305.27631755974875</c:v>
                </c:pt>
                <c:pt idx="239">
                  <c:v>305.87652715828779</c:v>
                </c:pt>
                <c:pt idx="240">
                  <c:v>306.46932031176868</c:v>
                </c:pt>
                <c:pt idx="241">
                  <c:v>307.05469844311119</c:v>
                </c:pt>
                <c:pt idx="242">
                  <c:v>307.63266343517211</c:v>
                </c:pt>
                <c:pt idx="243">
                  <c:v>308.20321762566209</c:v>
                </c:pt>
                <c:pt idx="244">
                  <c:v>308.76636380206781</c:v>
                </c:pt>
                <c:pt idx="245">
                  <c:v>309.32210519658071</c:v>
                </c:pt>
                <c:pt idx="246">
                  <c:v>309.87044548103364</c:v>
                </c:pt>
                <c:pt idx="247">
                  <c:v>310.41138876184613</c:v>
                </c:pt>
                <c:pt idx="248">
                  <c:v>310.94493957497758</c:v>
                </c:pt>
                <c:pt idx="249">
                  <c:v>311.47110288089129</c:v>
                </c:pt>
                <c:pt idx="250">
                  <c:v>311.98988405952906</c:v>
                </c:pt>
                <c:pt idx="251">
                  <c:v>312.50011745566917</c:v>
                </c:pt>
                <c:pt idx="252">
                  <c:v>313.00063769618237</c:v>
                </c:pt>
                <c:pt idx="253">
                  <c:v>313.49145400622155</c:v>
                </c:pt>
                <c:pt idx="254">
                  <c:v>313.97257625822112</c:v>
                </c:pt>
                <c:pt idx="255">
                  <c:v>314.44401496353845</c:v>
                </c:pt>
                <c:pt idx="256">
                  <c:v>314.9057812641181</c:v>
                </c:pt>
                <c:pt idx="257">
                  <c:v>315.35788692417833</c:v>
                </c:pt>
                <c:pt idx="258">
                  <c:v>315.80034432192508</c:v>
                </c:pt>
                <c:pt idx="259">
                  <c:v>316.23316644129045</c:v>
                </c:pt>
                <c:pt idx="260">
                  <c:v>316.65636686369982</c:v>
                </c:pt>
                <c:pt idx="261">
                  <c:v>317.069959759867</c:v>
                </c:pt>
                <c:pt idx="262">
                  <c:v>317.47395988162174</c:v>
                </c:pt>
                <c:pt idx="263">
                  <c:v>317.86838255376597</c:v>
                </c:pt>
                <c:pt idx="264">
                  <c:v>318.25324366596351</c:v>
                </c:pt>
                <c:pt idx="265">
                  <c:v>318.62855966466429</c:v>
                </c:pt>
                <c:pt idx="266">
                  <c:v>318.99434754506194</c:v>
                </c:pt>
                <c:pt idx="267">
                  <c:v>319.35062484308759</c:v>
                </c:pt>
                <c:pt idx="268">
                  <c:v>319.69740962744055</c:v>
                </c:pt>
                <c:pt idx="269">
                  <c:v>320.03472049165708</c:v>
                </c:pt>
                <c:pt idx="270">
                  <c:v>320.3625765462171</c:v>
                </c:pt>
                <c:pt idx="271">
                  <c:v>320.68099741069085</c:v>
                </c:pt>
                <c:pt idx="272">
                  <c:v>320.99000320592751</c:v>
                </c:pt>
                <c:pt idx="273">
                  <c:v>321.28961454628256</c:v>
                </c:pt>
                <c:pt idx="274">
                  <c:v>321.57985253189048</c:v>
                </c:pt>
                <c:pt idx="275">
                  <c:v>321.86073874097951</c:v>
                </c:pt>
                <c:pt idx="276">
                  <c:v>322.13229522222878</c:v>
                </c:pt>
                <c:pt idx="277">
                  <c:v>322.39454448717368</c:v>
                </c:pt>
                <c:pt idx="278">
                  <c:v>322.64750950265386</c:v>
                </c:pt>
                <c:pt idx="279">
                  <c:v>322.8912136833095</c:v>
                </c:pt>
                <c:pt idx="280">
                  <c:v>323.12568088412326</c:v>
                </c:pt>
                <c:pt idx="281">
                  <c:v>323.35093539301118</c:v>
                </c:pt>
                <c:pt idx="282">
                  <c:v>323.56700192346057</c:v>
                </c:pt>
                <c:pt idx="283">
                  <c:v>323.77390560721909</c:v>
                </c:pt>
                <c:pt idx="284">
                  <c:v>323.97167198703096</c:v>
                </c:pt>
                <c:pt idx="285">
                  <c:v>324.16032700942583</c:v>
                </c:pt>
                <c:pt idx="286">
                  <c:v>324.33989701755661</c:v>
                </c:pt>
                <c:pt idx="287">
                  <c:v>324.51040874409028</c:v>
                </c:pt>
                <c:pt idx="288">
                  <c:v>324.67188930414881</c:v>
                </c:pt>
                <c:pt idx="289">
                  <c:v>324.82436618830428</c:v>
                </c:pt>
                <c:pt idx="290">
                  <c:v>324.96786725562674</c:v>
                </c:pt>
                <c:pt idx="291">
                  <c:v>325.10242072678312</c:v>
                </c:pt>
                <c:pt idx="292">
                  <c:v>325.22805517719348</c:v>
                </c:pt>
                <c:pt idx="293">
                  <c:v>325.34479953023873</c:v>
                </c:pt>
                <c:pt idx="294">
                  <c:v>325.45268305052417</c:v>
                </c:pt>
                <c:pt idx="295">
                  <c:v>325.55173533719767</c:v>
                </c:pt>
                <c:pt idx="296">
                  <c:v>325.64198631732415</c:v>
                </c:pt>
                <c:pt idx="297">
                  <c:v>325.72346623931412</c:v>
                </c:pt>
                <c:pt idx="298">
                  <c:v>325.78307753947377</c:v>
                </c:pt>
                <c:pt idx="299">
                  <c:v>325.80776726484459</c:v>
                </c:pt>
                <c:pt idx="300">
                  <c:v>325.79766781285468</c:v>
                </c:pt>
                <c:pt idx="301">
                  <c:v>325.75291750686159</c:v>
                </c:pt>
                <c:pt idx="302">
                  <c:v>325.6736604904246</c:v>
                </c:pt>
                <c:pt idx="303">
                  <c:v>325.56004662204197</c:v>
                </c:pt>
                <c:pt idx="304">
                  <c:v>325.41223137038804</c:v>
                </c:pt>
                <c:pt idx="305">
                  <c:v>325.23037571009388</c:v>
                </c:pt>
                <c:pt idx="306">
                  <c:v>325.01464601810648</c:v>
                </c:pt>
                <c:pt idx="307">
                  <c:v>324.76521397066188</c:v>
                </c:pt>
                <c:pt idx="308">
                  <c:v>324.48225644091264</c:v>
                </c:pt>
                <c:pt idx="309">
                  <c:v>324.16595539723664</c:v>
                </c:pt>
                <c:pt idx="310">
                  <c:v>323.81649780226689</c:v>
                </c:pt>
                <c:pt idx="311">
                  <c:v>323.43407551266733</c:v>
                </c:pt>
                <c:pt idx="312">
                  <c:v>323.01888517969263</c:v>
                </c:pt>
                <c:pt idx="313">
                  <c:v>322.57112815055416</c:v>
                </c:pt>
                <c:pt idx="314">
                  <c:v>322.09101037062436</c:v>
                </c:pt>
                <c:pt idx="315">
                  <c:v>321.57874228650769</c:v>
                </c:pt>
                <c:pt idx="316">
                  <c:v>321.03453874999775</c:v>
                </c:pt>
                <c:pt idx="317">
                  <c:v>320.45861892295403</c:v>
                </c:pt>
                <c:pt idx="318">
                  <c:v>319.85120618311566</c:v>
                </c:pt>
                <c:pt idx="319">
                  <c:v>319.21252803087663</c:v>
                </c:pt>
                <c:pt idx="320">
                  <c:v>318.54281599704495</c:v>
                </c:pt>
                <c:pt idx="321">
                  <c:v>317.84745629778212</c:v>
                </c:pt>
                <c:pt idx="322">
                  <c:v>317.13179313071794</c:v>
                </c:pt>
                <c:pt idx="323">
                  <c:v>316.3959871094367</c:v>
                </c:pt>
                <c:pt idx="324">
                  <c:v>315.64020017966408</c:v>
                </c:pt>
                <c:pt idx="325">
                  <c:v>314.86459558290943</c:v>
                </c:pt>
                <c:pt idx="326">
                  <c:v>314.0693378206438</c:v>
                </c:pt>
                <c:pt idx="327">
                  <c:v>313.25459261901801</c:v>
                </c:pt>
                <c:pt idx="328">
                  <c:v>312.42052689411906</c:v>
                </c:pt>
                <c:pt idx="329">
                  <c:v>311.56730871776824</c:v>
                </c:pt>
                <c:pt idx="330">
                  <c:v>310.69510728385791</c:v>
                </c:pt>
                <c:pt idx="331">
                  <c:v>309.80409287523048</c:v>
                </c:pt>
                <c:pt idx="332">
                  <c:v>308.89443683109943</c:v>
                </c:pt>
                <c:pt idx="333">
                  <c:v>307.96631151500844</c:v>
                </c:pt>
                <c:pt idx="334">
                  <c:v>307.01989028333384</c:v>
                </c:pt>
                <c:pt idx="335">
                  <c:v>306.05534745432567</c:v>
                </c:pt>
                <c:pt idx="336">
                  <c:v>305.07285827768857</c:v>
                </c:pt>
                <c:pt idx="337">
                  <c:v>304.07259890470033</c:v>
                </c:pt>
                <c:pt idx="338">
                  <c:v>303.05474635886986</c:v>
                </c:pt>
                <c:pt idx="339">
                  <c:v>302.01947850712918</c:v>
                </c:pt>
                <c:pt idx="340">
                  <c:v>300.96697403156168</c:v>
                </c:pt>
                <c:pt idx="341">
                  <c:v>299.89741240166268</c:v>
                </c:pt>
                <c:pt idx="342">
                  <c:v>298.81097384713286</c:v>
                </c:pt>
                <c:pt idx="343">
                  <c:v>297.70783933120043</c:v>
                </c:pt>
                <c:pt idx="344">
                  <c:v>296.58819052447222</c:v>
                </c:pt>
                <c:pt idx="345">
                  <c:v>295.45220977930887</c:v>
                </c:pt>
                <c:pt idx="346">
                  <c:v>294.30008010472608</c:v>
                </c:pt>
                <c:pt idx="347">
                  <c:v>293.13198514181482</c:v>
                </c:pt>
                <c:pt idx="348">
                  <c:v>291.94864003285966</c:v>
                </c:pt>
                <c:pt idx="349">
                  <c:v>290.75075363122198</c:v>
                </c:pt>
                <c:pt idx="350">
                  <c:v>289.53849975110671</c:v>
                </c:pt>
                <c:pt idx="351">
                  <c:v>288.31205261795884</c:v>
                </c:pt>
                <c:pt idx="352">
                  <c:v>287.07158684979316</c:v>
                </c:pt>
                <c:pt idx="353">
                  <c:v>285.81727743896556</c:v>
                </c:pt>
                <c:pt idx="354">
                  <c:v>284.54929973438493</c:v>
                </c:pt>
                <c:pt idx="355">
                  <c:v>283.26782942416452</c:v>
                </c:pt>
                <c:pt idx="356">
                  <c:v>281.97304251870491</c:v>
                </c:pt>
                <c:pt idx="357">
                  <c:v>280.66511533420993</c:v>
                </c:pt>
                <c:pt idx="358">
                  <c:v>279.34422447662973</c:v>
                </c:pt>
                <c:pt idx="359">
                  <c:v>278.01054682602899</c:v>
                </c:pt>
                <c:pt idx="360">
                  <c:v>276.67499062167661</c:v>
                </c:pt>
                <c:pt idx="361">
                  <c:v>275.34830834332303</c:v>
                </c:pt>
                <c:pt idx="362">
                  <c:v>274.03042104967113</c:v>
                </c:pt>
                <c:pt idx="363">
                  <c:v>272.72125068068345</c:v>
                </c:pt>
                <c:pt idx="364">
                  <c:v>271.4207200457613</c:v>
                </c:pt>
                <c:pt idx="365">
                  <c:v>270.128752812107</c:v>
                </c:pt>
                <c:pt idx="366">
                  <c:v>268.84527349326959</c:v>
                </c:pt>
                <c:pt idx="367">
                  <c:v>267.57020743786796</c:v>
                </c:pt>
                <c:pt idx="368">
                  <c:v>266.30348081849036</c:v>
                </c:pt>
                <c:pt idx="369">
                  <c:v>265.04502062076455</c:v>
                </c:pt>
                <c:pt idx="370">
                  <c:v>263.79475463259917</c:v>
                </c:pt>
                <c:pt idx="371">
                  <c:v>262.55261143358979</c:v>
                </c:pt>
                <c:pt idx="372">
                  <c:v>261.3185203845884</c:v>
                </c:pt>
                <c:pt idx="373">
                  <c:v>260.0924116174341</c:v>
                </c:pt>
                <c:pt idx="374">
                  <c:v>258.87421602484045</c:v>
                </c:pt>
                <c:pt idx="375">
                  <c:v>257.66386525043873</c:v>
                </c:pt>
                <c:pt idx="376">
                  <c:v>256.46129167897135</c:v>
                </c:pt>
                <c:pt idx="377">
                  <c:v>255.26642842663725</c:v>
                </c:pt>
                <c:pt idx="378">
                  <c:v>254.07920933158161</c:v>
                </c:pt>
                <c:pt idx="379">
                  <c:v>252.89956894453246</c:v>
                </c:pt>
                <c:pt idx="380">
                  <c:v>251.72744251957624</c:v>
                </c:pt>
                <c:pt idx="381">
                  <c:v>250.56276600507508</c:v>
                </c:pt>
                <c:pt idx="382">
                  <c:v>249.40547603471975</c:v>
                </c:pt>
                <c:pt idx="383">
                  <c:v>248.25550991871788</c:v>
                </c:pt>
                <c:pt idx="384">
                  <c:v>247.11280563511301</c:v>
                </c:pt>
                <c:pt idx="385">
                  <c:v>245.97730182123615</c:v>
                </c:pt>
                <c:pt idx="386">
                  <c:v>244.84893776528236</c:v>
                </c:pt>
                <c:pt idx="387">
                  <c:v>243.72765339801495</c:v>
                </c:pt>
                <c:pt idx="388">
                  <c:v>242.61338928459227</c:v>
                </c:pt>
                <c:pt idx="389">
                  <c:v>241.50608661651557</c:v>
                </c:pt>
                <c:pt idx="390">
                  <c:v>240.40568720369669</c:v>
                </c:pt>
                <c:pt idx="391">
                  <c:v>239.31213346664327</c:v>
                </c:pt>
                <c:pt idx="392">
                  <c:v>238.22536842875792</c:v>
                </c:pt>
                <c:pt idx="393">
                  <c:v>237.14533570875275</c:v>
                </c:pt>
                <c:pt idx="394">
                  <c:v>236.07197951317303</c:v>
                </c:pt>
                <c:pt idx="395">
                  <c:v>235.00524462903277</c:v>
                </c:pt>
                <c:pt idx="396">
                  <c:v>233.94507641655571</c:v>
                </c:pt>
                <c:pt idx="397">
                  <c:v>232.89142080202464</c:v>
                </c:pt>
                <c:pt idx="398">
                  <c:v>231.84422427073267</c:v>
                </c:pt>
                <c:pt idx="399">
                  <c:v>230.80343386003781</c:v>
                </c:pt>
                <c:pt idx="400">
                  <c:v>229.76899715251983</c:v>
                </c:pt>
                <c:pt idx="401">
                  <c:v>219.60801705293088</c:v>
                </c:pt>
                <c:pt idx="402">
                  <c:v>210.04984946872139</c:v>
                </c:pt>
                <c:pt idx="403">
                  <c:v>201.04734997705341</c:v>
                </c:pt>
                <c:pt idx="404">
                  <c:v>192.55793544565259</c:v>
                </c:pt>
                <c:pt idx="405">
                  <c:v>184.54306159715966</c:v>
                </c:pt>
                <c:pt idx="406">
                  <c:v>176.96776937372528</c:v>
                </c:pt>
                <c:pt idx="407">
                  <c:v>169.80028990377934</c:v>
                </c:pt>
                <c:pt idx="408">
                  <c:v>163.01169954718043</c:v>
                </c:pt>
                <c:pt idx="409">
                  <c:v>156.57561786859026</c:v>
                </c:pt>
                <c:pt idx="410">
                  <c:v>150.46794252036582</c:v>
                </c:pt>
                <c:pt idx="411">
                  <c:v>144.66661595176373</c:v>
                </c:pt>
                <c:pt idx="412">
                  <c:v>139.15141963757844</c:v>
                </c:pt>
                <c:pt idx="413">
                  <c:v>133.90379216583105</c:v>
                </c:pt>
                <c:pt idx="414">
                  <c:v>128.90666806432435</c:v>
                </c:pt>
                <c:pt idx="415">
                  <c:v>124.14433469874108</c:v>
                </c:pt>
                <c:pt idx="416">
                  <c:v>119.60230495578554</c:v>
                </c:pt>
                <c:pt idx="417">
                  <c:v>115.26720374610134</c:v>
                </c:pt>
                <c:pt idx="418">
                  <c:v>111.12666663344169</c:v>
                </c:pt>
                <c:pt idx="419">
                  <c:v>107.16924912711296</c:v>
                </c:pt>
                <c:pt idx="420">
                  <c:v>103.38434537082524</c:v>
                </c:pt>
                <c:pt idx="421">
                  <c:v>99.762115128357181</c:v>
                </c:pt>
                <c:pt idx="422">
                  <c:v>96.293418109477855</c:v>
                </c:pt>
                <c:pt idx="423">
                  <c:v>92.96975480218407</c:v>
                </c:pt>
                <c:pt idx="424">
                  <c:v>89.783213082669491</c:v>
                </c:pt>
                <c:pt idx="425">
                  <c:v>86.726419965188271</c:v>
                </c:pt>
                <c:pt idx="426">
                  <c:v>83.792497932306986</c:v>
                </c:pt>
                <c:pt idx="427">
                  <c:v>80.975025353804654</c:v>
                </c:pt>
                <c:pt idx="428">
                  <c:v>78.268000561230494</c:v>
                </c:pt>
                <c:pt idx="429">
                  <c:v>75.66580919616392</c:v>
                </c:pt>
                <c:pt idx="430">
                  <c:v>73.163194494649517</c:v>
                </c:pt>
                <c:pt idx="431">
                  <c:v>70.755230209023082</c:v>
                </c:pt>
                <c:pt idx="432">
                  <c:v>68.437295902204497</c:v>
                </c:pt>
                <c:pt idx="433">
                  <c:v>66.205054379168899</c:v>
                </c:pt>
                <c:pt idx="434">
                  <c:v>64.054431046302739</c:v>
                </c:pt>
                <c:pt idx="435">
                  <c:v>61.981595012182723</c:v>
                </c:pt>
                <c:pt idx="436">
                  <c:v>59.982941763412839</c:v>
                </c:pt>
                <c:pt idx="437">
                  <c:v>58.055077266863982</c:v>
                </c:pt>
                <c:pt idx="438">
                  <c:v>56.194803365299393</c:v>
                </c:pt>
                <c:pt idx="439">
                  <c:v>54.399104347195625</c:v>
                </c:pt>
                <c:pt idx="440">
                  <c:v>52.665134583814641</c:v>
                </c:pt>
                <c:pt idx="441">
                  <c:v>50.990207137442113</c:v>
                </c:pt>
                <c:pt idx="442">
                  <c:v>49.371783254355122</c:v>
                </c:pt>
                <c:pt idx="443">
                  <c:v>47.807462664661124</c:v>
                </c:pt>
                <c:pt idx="444">
                  <c:v>46.294974618794107</c:v>
                </c:pt>
                <c:pt idx="445">
                  <c:v>44.832169597268461</c:v>
                </c:pt>
                <c:pt idx="446">
                  <c:v>43.417011636380742</c:v>
                </c:pt>
                <c:pt idx="447">
                  <c:v>42.047571217991532</c:v>
                </c:pt>
                <c:pt idx="448">
                  <c:v>40.722018676394867</c:v>
                </c:pt>
                <c:pt idx="449">
                  <c:v>39.438618079652436</c:v>
                </c:pt>
                <c:pt idx="450">
                  <c:v>38.195721546690379</c:v>
                </c:pt>
                <c:pt idx="451">
                  <c:v>36.991763964982908</c:v>
                </c:pt>
                <c:pt idx="452">
                  <c:v>35.825258076815828</c:v>
                </c:pt>
                <c:pt idx="453">
                  <c:v>34.694789904979501</c:v>
                </c:pt>
                <c:pt idx="454">
                  <c:v>33.599014491316296</c:v>
                </c:pt>
                <c:pt idx="455">
                  <c:v>32.536651923870238</c:v>
                </c:pt>
                <c:pt idx="456">
                  <c:v>31.506483630488425</c:v>
                </c:pt>
                <c:pt idx="457">
                  <c:v>30.507348918622107</c:v>
                </c:pt>
                <c:pt idx="458">
                  <c:v>29.538141742796245</c:v>
                </c:pt>
                <c:pt idx="459">
                  <c:v>28.597807682774604</c:v>
                </c:pt>
                <c:pt idx="460">
                  <c:v>27.68534111686256</c:v>
                </c:pt>
                <c:pt idx="461">
                  <c:v>26.799782576073383</c:v>
                </c:pt>
                <c:pt idx="462">
                  <c:v>25.94021626605193</c:v>
                </c:pt>
                <c:pt idx="463">
                  <c:v>25.105767744711351</c:v>
                </c:pt>
                <c:pt idx="464">
                  <c:v>24.295601744505788</c:v>
                </c:pt>
                <c:pt idx="465">
                  <c:v>23.508920129143593</c:v>
                </c:pt>
                <c:pt idx="466">
                  <c:v>22.744959975349651</c:v>
                </c:pt>
                <c:pt idx="467">
                  <c:v>22.002991771019595</c:v>
                </c:pt>
                <c:pt idx="468">
                  <c:v>21.28231772177962</c:v>
                </c:pt>
                <c:pt idx="469">
                  <c:v>20.582270158578901</c:v>
                </c:pt>
                <c:pt idx="470">
                  <c:v>19.902210039503309</c:v>
                </c:pt>
                <c:pt idx="471">
                  <c:v>19.241525539513098</c:v>
                </c:pt>
                <c:pt idx="472">
                  <c:v>18.599630722279194</c:v>
                </c:pt>
                <c:pt idx="473">
                  <c:v>17.975964288724359</c:v>
                </c:pt>
                <c:pt idx="474">
                  <c:v>17.369988397273282</c:v>
                </c:pt>
                <c:pt idx="475">
                  <c:v>16.78118755117994</c:v>
                </c:pt>
                <c:pt idx="476">
                  <c:v>16.209067548635876</c:v>
                </c:pt>
                <c:pt idx="477">
                  <c:v>15.653154491671676</c:v>
                </c:pt>
                <c:pt idx="478">
                  <c:v>15.112993850147737</c:v>
                </c:pt>
                <c:pt idx="479">
                  <c:v>14.588149577392127</c:v>
                </c:pt>
                <c:pt idx="480">
                  <c:v>14.078203274284281</c:v>
                </c:pt>
                <c:pt idx="481">
                  <c:v>13.582753398805876</c:v>
                </c:pt>
                <c:pt idx="482">
                  <c:v>13.101414518285324</c:v>
                </c:pt>
                <c:pt idx="483">
                  <c:v>12.633816601751931</c:v>
                </c:pt>
                <c:pt idx="484">
                  <c:v>12.179604349990802</c:v>
                </c:pt>
                <c:pt idx="485">
                  <c:v>11.738436561051479</c:v>
                </c:pt>
                <c:pt idx="486">
                  <c:v>11.309985529112959</c:v>
                </c:pt>
                <c:pt idx="487">
                  <c:v>10.893936474746241</c:v>
                </c:pt>
                <c:pt idx="488">
                  <c:v>10.489987004743707</c:v>
                </c:pt>
                <c:pt idx="489">
                  <c:v>10.097846599803288</c:v>
                </c:pt>
                <c:pt idx="490">
                  <c:v>9.7172361284653466</c:v>
                </c:pt>
                <c:pt idx="491">
                  <c:v>9.3478873858018225</c:v>
                </c:pt>
                <c:pt idx="492">
                  <c:v>8.9895426554516593</c:v>
                </c:pt>
                <c:pt idx="493">
                  <c:v>8.6419542936836837</c:v>
                </c:pt>
                <c:pt idx="494">
                  <c:v>8.3048843342490208</c:v>
                </c:pt>
                <c:pt idx="495">
                  <c:v>7.9781041128600423</c:v>
                </c:pt>
                <c:pt idx="496">
                  <c:v>7.6613939102018902</c:v>
                </c:pt>
                <c:pt idx="497">
                  <c:v>7.3545426124468314</c:v>
                </c:pt>
                <c:pt idx="498">
                  <c:v>7.0573473883006184</c:v>
                </c:pt>
                <c:pt idx="499">
                  <c:v>6.7696133816644908</c:v>
                </c:pt>
                <c:pt idx="500">
                  <c:v>6.4911534190465856</c:v>
                </c:pt>
                <c:pt idx="501">
                  <c:v>6.2217877309023626</c:v>
                </c:pt>
                <c:pt idx="502">
                  <c:v>5.9613436861256233</c:v>
                </c:pt>
                <c:pt idx="503">
                  <c:v>5.70965553894992</c:v>
                </c:pt>
                <c:pt idx="504">
                  <c:v>5.4665641875544813</c:v>
                </c:pt>
                <c:pt idx="505">
                  <c:v>5.2319169436999218</c:v>
                </c:pt>
                <c:pt idx="506">
                  <c:v>5.0055673127462539</c:v>
                </c:pt>
                <c:pt idx="507">
                  <c:v>4.7873747834298186</c:v>
                </c:pt>
                <c:pt idx="508">
                  <c:v>4.5772046267963917</c:v>
                </c:pt>
                <c:pt idx="509">
                  <c:v>4.3749277037049161</c:v>
                </c:pt>
                <c:pt idx="510">
                  <c:v>4.1804202803301092</c:v>
                </c:pt>
                <c:pt idx="511">
                  <c:v>3.9935638511026856</c:v>
                </c:pt>
                <c:pt idx="512">
                  <c:v>3.8142449685328135</c:v>
                </c:pt>
                <c:pt idx="513">
                  <c:v>3.6423550793659438</c:v>
                </c:pt>
                <c:pt idx="514">
                  <c:v>3.4777903665201375</c:v>
                </c:pt>
                <c:pt idx="515">
                  <c:v>3.3204515962504764</c:v>
                </c:pt>
                <c:pt idx="516">
                  <c:v>3.1702439699792504</c:v>
                </c:pt>
                <c:pt idx="517">
                  <c:v>3.0270769802203987</c:v>
                </c:pt>
                <c:pt idx="518">
                  <c:v>2.8908642700133451</c:v>
                </c:pt>
                <c:pt idx="519">
                  <c:v>2.7615234952655379</c:v>
                </c:pt>
                <c:pt idx="520">
                  <c:v>2.6389761893848727</c:v>
                </c:pt>
                <c:pt idx="521">
                  <c:v>2.5231476295639697</c:v>
                </c:pt>
                <c:pt idx="522">
                  <c:v>2.4139667040588737</c:v>
                </c:pt>
                <c:pt idx="523">
                  <c:v>2.3113657797867431</c:v>
                </c:pt>
                <c:pt idx="524">
                  <c:v>2.2152805695524869</c:v>
                </c:pt>
                <c:pt idx="525">
                  <c:v>2.1256499982054833</c:v>
                </c:pt>
                <c:pt idx="526">
                  <c:v>2.0424160670273199</c:v>
                </c:pt>
                <c:pt idx="527">
                  <c:v>1.965523715663565</c:v>
                </c:pt>
                <c:pt idx="528">
                  <c:v>1.8949206809403534</c:v>
                </c:pt>
                <c:pt idx="529">
                  <c:v>1.8305573519543326</c:v>
                </c:pt>
                <c:pt idx="530">
                  <c:v>1.7723866208960071</c:v>
                </c:pt>
                <c:pt idx="531">
                  <c:v>1.7203637291650735</c:v>
                </c:pt>
                <c:pt idx="532">
                  <c:v>1.6744461084646085</c:v>
                </c:pt>
                <c:pt idx="533">
                  <c:v>1.6345932167193962</c:v>
                </c:pt>
                <c:pt idx="534">
                  <c:v>1.6007663688512934</c:v>
                </c:pt>
                <c:pt idx="535">
                  <c:v>1.5729285626567593</c:v>
                </c:pt>
                <c:pt idx="536">
                  <c:v>1.5510443002617815</c:v>
                </c:pt>
                <c:pt idx="537">
                  <c:v>1.5350794058669097</c:v>
                </c:pt>
                <c:pt idx="538">
                  <c:v>1.5250008407273723</c:v>
                </c:pt>
                <c:pt idx="539">
                  <c:v>1.5207765165259168</c:v>
                </c:pt>
                <c:pt idx="540">
                  <c:v>1.5223751084742938</c:v>
                </c:pt>
                <c:pt idx="541">
                  <c:v>1.5297658696101109</c:v>
                </c:pt>
                <c:pt idx="542">
                  <c:v>1.5429184478286908</c:v>
                </c:pt>
                <c:pt idx="543">
                  <c:v>1.5618027071987446</c:v>
                </c:pt>
                <c:pt idx="544">
                  <c:v>1.5863885550555501</c:v>
                </c:pt>
                <c:pt idx="545">
                  <c:v>1.616645776250403</c:v>
                </c:pt>
                <c:pt idx="546">
                  <c:v>1.652543875769898</c:v>
                </c:pt>
                <c:pt idx="547">
                  <c:v>1.6940519307357835</c:v>
                </c:pt>
                <c:pt idx="548">
                  <c:v>1.7411384525704101</c:v>
                </c:pt>
                <c:pt idx="549">
                  <c:v>1.7937712598788518</c:v>
                </c:pt>
                <c:pt idx="550">
                  <c:v>1.8519173623701355</c:v>
                </c:pt>
                <c:pt idx="551">
                  <c:v>1.9155428559276544</c:v>
                </c:pt>
                <c:pt idx="552">
                  <c:v>1.9846128287507803</c:v>
                </c:pt>
                <c:pt idx="553">
                  <c:v>2.059091278330885</c:v>
                </c:pt>
                <c:pt idx="554">
                  <c:v>2.1389410388973862</c:v>
                </c:pt>
                <c:pt idx="555">
                  <c:v>2.2241237188727347</c:v>
                </c:pt>
                <c:pt idx="556">
                  <c:v>2.3145996478072801</c:v>
                </c:pt>
                <c:pt idx="557">
                  <c:v>2.4103278322223831</c:v>
                </c:pt>
                <c:pt idx="558">
                  <c:v>2.5112659197691221</c:v>
                </c:pt>
                <c:pt idx="559">
                  <c:v>2.6173701711063648</c:v>
                </c:pt>
                <c:pt idx="560">
                  <c:v>2.7285954389118876</c:v>
                </c:pt>
                <c:pt idx="561">
                  <c:v>2.844895153460234</c:v>
                </c:pt>
                <c:pt idx="562">
                  <c:v>2.966221314227842</c:v>
                </c:pt>
                <c:pt idx="563">
                  <c:v>3.0925244870173088</c:v>
                </c:pt>
                <c:pt idx="564">
                  <c:v>3.223753806126298</c:v>
                </c:pt>
                <c:pt idx="565">
                  <c:v>3.3598569811210344</c:v>
                </c:pt>
                <c:pt idx="566">
                  <c:v>3.5007803078084905</c:v>
                </c:pt>
                <c:pt idx="567">
                  <c:v>3.6464686830342372</c:v>
                </c:pt>
                <c:pt idx="568">
                  <c:v>3.7968656229640927</c:v>
                </c:pt>
                <c:pt idx="569">
                  <c:v>3.9519132845368823</c:v>
                </c:pt>
                <c:pt idx="570">
                  <c:v>4.1115524898023956</c:v>
                </c:pt>
                <c:pt idx="571">
                  <c:v>4.2757227528832731</c:v>
                </c:pt>
                <c:pt idx="572">
                  <c:v>4.4443623093217788</c:v>
                </c:pt>
                <c:pt idx="573">
                  <c:v>4.6174081475926609</c:v>
                </c:pt>
                <c:pt idx="574">
                  <c:v>4.7947960425812868</c:v>
                </c:pt>
                <c:pt idx="575">
                  <c:v>4.976460590842537</c:v>
                </c:pt>
                <c:pt idx="576">
                  <c:v>5.1623352474704394</c:v>
                </c:pt>
                <c:pt idx="577">
                  <c:v>5.3523523644213764</c:v>
                </c:pt>
                <c:pt idx="578">
                  <c:v>5.5464432301453543</c:v>
                </c:pt>
                <c:pt idx="579">
                  <c:v>5.7445381103899829</c:v>
                </c:pt>
                <c:pt idx="580">
                  <c:v>5.9465662900510674</c:v>
                </c:pt>
                <c:pt idx="581">
                  <c:v>6.1524561159519262</c:v>
                </c:pt>
                <c:pt idx="582">
                  <c:v>6.3621350404407595</c:v>
                </c:pt>
                <c:pt idx="583">
                  <c:v>6.5755296657021427</c:v>
                </c:pt>
                <c:pt idx="584">
                  <c:v>6.7925657886845032</c:v>
                </c:pt>
                <c:pt idx="585">
                  <c:v>7.0131684465508499</c:v>
                </c:pt>
                <c:pt idx="586">
                  <c:v>7.2372619625649044</c:v>
                </c:pt>
                <c:pt idx="587">
                  <c:v>7.4647699923290762</c:v>
                </c:pt>
                <c:pt idx="588">
                  <c:v>7.69561557029495</c:v>
                </c:pt>
                <c:pt idx="589">
                  <c:v>7.9297211564704906</c:v>
                </c:pt>
                <c:pt idx="590">
                  <c:v>8.167008683251801</c:v>
                </c:pt>
                <c:pt idx="591">
                  <c:v>8.4073996023102655</c:v>
                </c:pt>
                <c:pt idx="592">
                  <c:v>8.6508149314691174</c:v>
                </c:pt>
                <c:pt idx="593">
                  <c:v>8.8971753015061701</c:v>
                </c:pt>
                <c:pt idx="594">
                  <c:v>9.1464010028221505</c:v>
                </c:pt>
                <c:pt idx="595">
                  <c:v>9.398412031916628</c:v>
                </c:pt>
                <c:pt idx="596">
                  <c:v>9.6531281376160258</c:v>
                </c:pt>
                <c:pt idx="597">
                  <c:v>9.9104688670003558</c:v>
                </c:pt>
                <c:pt idx="598">
                  <c:v>10.170353610977902</c:v>
                </c:pt>
                <c:pt idx="599">
                  <c:v>10.432701649458886</c:v>
                </c:pt>
                <c:pt idx="600">
                  <c:v>10.697432196081657</c:v>
                </c:pt>
                <c:pt idx="601">
                  <c:v>10.964464442446653</c:v>
                </c:pt>
                <c:pt idx="602">
                  <c:v>11.233717601815842</c:v>
                </c:pt>
                <c:pt idx="603">
                  <c:v>11.505110952236906</c:v>
                </c:pt>
                <c:pt idx="604">
                  <c:v>11.778563879053749</c:v>
                </c:pt>
                <c:pt idx="605">
                  <c:v>12.053995916766679</c:v>
                </c:pt>
                <c:pt idx="606">
                  <c:v>12.331326790207457</c:v>
                </c:pt>
                <c:pt idx="607">
                  <c:v>12.610476454996558</c:v>
                </c:pt>
                <c:pt idx="608">
                  <c:v>12.891365137251404</c:v>
                </c:pt>
                <c:pt idx="609">
                  <c:v>13.173913372516632</c:v>
                </c:pt>
                <c:pt idx="610">
                  <c:v>13.458042043888954</c:v>
                </c:pt>
                <c:pt idx="611">
                  <c:v>13.743672419310961</c:v>
                </c:pt>
                <c:pt idx="612">
                  <c:v>14.030726188010251</c:v>
                </c:pt>
                <c:pt idx="613">
                  <c:v>14.319125496061636</c:v>
                </c:pt>
                <c:pt idx="614">
                  <c:v>14.608792981052137</c:v>
                </c:pt>
                <c:pt idx="615">
                  <c:v>14.899651805830167</c:v>
                </c:pt>
                <c:pt idx="616">
                  <c:v>15.191625691321732</c:v>
                </c:pt>
                <c:pt idx="617">
                  <c:v>15.484638948398519</c:v>
                </c:pt>
                <c:pt idx="618">
                  <c:v>15.778616508783891</c:v>
                </c:pt>
                <c:pt idx="619">
                  <c:v>16.073483954984791</c:v>
                </c:pt>
                <c:pt idx="620">
                  <c:v>16.369167549238838</c:v>
                </c:pt>
                <c:pt idx="621">
                  <c:v>16.665594261467557</c:v>
                </c:pt>
                <c:pt idx="622">
                  <c:v>16.962691796228228</c:v>
                </c:pt>
                <c:pt idx="623">
                  <c:v>17.260388618658002</c:v>
                </c:pt>
                <c:pt idx="624">
                  <c:v>17.558613979405838</c:v>
                </c:pt>
                <c:pt idx="625">
                  <c:v>17.857297938548705</c:v>
                </c:pt>
                <c:pt idx="626">
                  <c:v>18.156371388490243</c:v>
                </c:pt>
                <c:pt idx="627">
                  <c:v>18.455766075841204</c:v>
                </c:pt>
                <c:pt idx="628">
                  <c:v>18.755414622282093</c:v>
                </c:pt>
                <c:pt idx="629">
                  <c:v>19.055250544410342</c:v>
                </c:pt>
                <c:pt idx="630">
                  <c:v>19.355208272574526</c:v>
                </c:pt>
                <c:pt idx="631">
                  <c:v>19.655223168700385</c:v>
                </c:pt>
                <c:pt idx="632">
                  <c:v>19.95523154311363</c:v>
                </c:pt>
                <c:pt idx="633">
                  <c:v>20.25517067036612</c:v>
                </c:pt>
                <c:pt idx="634">
                  <c:v>20.554978804073034</c:v>
                </c:pt>
                <c:pt idx="635">
                  <c:v>20.854595190769153</c:v>
                </c:pt>
                <c:pt idx="636">
                  <c:v>21.153960082794168</c:v>
                </c:pt>
                <c:pt idx="637">
                  <c:v>21.453014750216866</c:v>
                </c:pt>
                <c:pt idx="638">
                  <c:v>21.751701491809833</c:v>
                </c:pt>
                <c:pt idx="639">
                  <c:v>22.049963645086468</c:v>
                </c:pt>
                <c:pt idx="640">
                  <c:v>22.347745595413237</c:v>
                </c:pt>
                <c:pt idx="641">
                  <c:v>22.644992784210729</c:v>
                </c:pt>
                <c:pt idx="642">
                  <c:v>22.94165171625778</c:v>
                </c:pt>
                <c:pt idx="643">
                  <c:v>23.237669966113639</c:v>
                </c:pt>
                <c:pt idx="644">
                  <c:v>23.532996183673717</c:v>
                </c:pt>
                <c:pt idx="645">
                  <c:v>23.827580098874968</c:v>
                </c:pt>
                <c:pt idx="646">
                  <c:v>24.121372525567704</c:v>
                </c:pt>
                <c:pt idx="647">
                  <c:v>24.414325364570981</c:v>
                </c:pt>
                <c:pt idx="648">
                  <c:v>24.706391605928967</c:v>
                </c:pt>
                <c:pt idx="649">
                  <c:v>24.997525330386694</c:v>
                </c:pt>
                <c:pt idx="650">
                  <c:v>25.287681710103165</c:v>
                </c:pt>
                <c:pt idx="651">
                  <c:v>25.576817008620978</c:v>
                </c:pt>
                <c:pt idx="652">
                  <c:v>25.864888580111298</c:v>
                </c:pt>
                <c:pt idx="653">
                  <c:v>26.151854867913251</c:v>
                </c:pt>
                <c:pt idx="654">
                  <c:v>26.437675402387967</c:v>
                </c:pt>
                <c:pt idx="655">
                  <c:v>26.722310798106278</c:v>
                </c:pt>
                <c:pt idx="656">
                  <c:v>27.005722750390373</c:v>
                </c:pt>
                <c:pt idx="657">
                  <c:v>27.287874031229428</c:v>
                </c:pt>
                <c:pt idx="658">
                  <c:v>27.568728484589023</c:v>
                </c:pt>
                <c:pt idx="659">
                  <c:v>27.848251021135187</c:v>
                </c:pt>
                <c:pt idx="660">
                  <c:v>28.126407612392402</c:v>
                </c:pt>
                <c:pt idx="661">
                  <c:v>28.403165284356707</c:v>
                </c:pt>
                <c:pt idx="662">
                  <c:v>28.678492110583488</c:v>
                </c:pt>
                <c:pt idx="663">
                  <c:v>28.952357204770394</c:v>
                </c:pt>
                <c:pt idx="664">
                  <c:v>29.224730712855465</c:v>
                </c:pt>
                <c:pt idx="665">
                  <c:v>29.495583804650497</c:v>
                </c:pt>
                <c:pt idx="666">
                  <c:v>29.76488866502941</c:v>
                </c:pt>
                <c:pt idx="667">
                  <c:v>30.032618484691458</c:v>
                </c:pt>
                <c:pt idx="668">
                  <c:v>30.298747450518889</c:v>
                </c:pt>
                <c:pt idx="669">
                  <c:v>30.563250735548465</c:v>
                </c:pt>
                <c:pt idx="670">
                  <c:v>30.826104488575833</c:v>
                </c:pt>
                <c:pt idx="671">
                  <c:v>31.087285823412106</c:v>
                </c:pt>
                <c:pt idx="672">
                  <c:v>31.346772807811011</c:v>
                </c:pt>
                <c:pt idx="673">
                  <c:v>31.604544452085332</c:v>
                </c:pt>
                <c:pt idx="674">
                  <c:v>31.860580697430823</c:v>
                </c:pt>
                <c:pt idx="675">
                  <c:v>32.114862403975387</c:v>
                </c:pt>
                <c:pt idx="676">
                  <c:v>32.367371338571459</c:v>
                </c:pt>
                <c:pt idx="677">
                  <c:v>32.618090162348558</c:v>
                </c:pt>
                <c:pt idx="678">
                  <c:v>32.867002418043427</c:v>
                </c:pt>
                <c:pt idx="679">
                  <c:v>33.114092517123979</c:v>
                </c:pt>
                <c:pt idx="680">
                  <c:v>33.35934572672393</c:v>
                </c:pt>
                <c:pt idx="681">
                  <c:v>33.602748156403699</c:v>
                </c:pt>
                <c:pt idx="682">
                  <c:v>33.844286744753376</c:v>
                </c:pt>
                <c:pt idx="683">
                  <c:v>34.083949245853169</c:v>
                </c:pt>
                <c:pt idx="684">
                  <c:v>34.321724215606046</c:v>
                </c:pt>
                <c:pt idx="685">
                  <c:v>34.557600997957238</c:v>
                </c:pt>
                <c:pt idx="686">
                  <c:v>34.791569711014823</c:v>
                </c:pt>
                <c:pt idx="687">
                  <c:v>35.02362123308508</c:v>
                </c:pt>
                <c:pt idx="688">
                  <c:v>35.25374718863614</c:v>
                </c:pt>
                <c:pt idx="689">
                  <c:v>35.481939934202835</c:v>
                </c:pt>
                <c:pt idx="690">
                  <c:v>35.708192544245613</c:v>
                </c:pt>
                <c:pt idx="691">
                  <c:v>35.932498796975466</c:v>
                </c:pt>
                <c:pt idx="692">
                  <c:v>36.15485316015711</c:v>
                </c:pt>
                <c:pt idx="693">
                  <c:v>36.375250776901595</c:v>
                </c:pt>
                <c:pt idx="694">
                  <c:v>36.593687451459616</c:v>
                </c:pt>
                <c:pt idx="695">
                  <c:v>36.810159635026253</c:v>
                </c:pt>
                <c:pt idx="696">
                  <c:v>37.02466441156735</c:v>
                </c:pt>
                <c:pt idx="697">
                  <c:v>37.237199483677649</c:v>
                </c:pt>
                <c:pt idx="698">
                  <c:v>37.447763158480136</c:v>
                </c:pt>
                <c:pt idx="699">
                  <c:v>37.656354333575827</c:v>
                </c:pt>
                <c:pt idx="700">
                  <c:v>37.862972483053014</c:v>
                </c:pt>
                <c:pt idx="701">
                  <c:v>38.067617643564077</c:v>
                </c:pt>
                <c:pt idx="702">
                  <c:v>38.270290400478324</c:v>
                </c:pt>
                <c:pt idx="703">
                  <c:v>38.470991874118482</c:v>
                </c:pt>
                <c:pt idx="704">
                  <c:v>38.669723706088092</c:v>
                </c:pt>
                <c:pt idx="705">
                  <c:v>38.866488045697125</c:v>
                </c:pt>
                <c:pt idx="706">
                  <c:v>39.061287536492394</c:v>
                </c:pt>
                <c:pt idx="707">
                  <c:v>39.254125302898977</c:v>
                </c:pt>
                <c:pt idx="708">
                  <c:v>39.445004936979188</c:v>
                </c:pt>
                <c:pt idx="709">
                  <c:v>39.633930485314217</c:v>
                </c:pt>
                <c:pt idx="710">
                  <c:v>39.820906436014134</c:v>
                </c:pt>
                <c:pt idx="711">
                  <c:v>40.005937705861591</c:v>
                </c:pt>
                <c:pt idx="712">
                  <c:v>40.189029627593484</c:v>
                </c:pt>
                <c:pt idx="713">
                  <c:v>40.370187937325468</c:v>
                </c:pt>
                <c:pt idx="714">
                  <c:v>40.549418762123508</c:v>
                </c:pt>
                <c:pt idx="715">
                  <c:v>40.726728607726024</c:v>
                </c:pt>
                <c:pt idx="716">
                  <c:v>40.90212434642077</c:v>
                </c:pt>
                <c:pt idx="717">
                  <c:v>41.075613205079584</c:v>
                </c:pt>
                <c:pt idx="718">
                  <c:v>41.247202753353882</c:v>
                </c:pt>
                <c:pt idx="719">
                  <c:v>41.416900892034285</c:v>
                </c:pt>
                <c:pt idx="720">
                  <c:v>41.584715841576532</c:v>
                </c:pt>
                <c:pt idx="721">
                  <c:v>41.750656130796202</c:v>
                </c:pt>
                <c:pt idx="722">
                  <c:v>41.914730585734482</c:v>
                </c:pt>
                <c:pt idx="723">
                  <c:v>42.076948318696743</c:v>
                </c:pt>
                <c:pt idx="724">
                  <c:v>42.237318717465619</c:v>
                </c:pt>
                <c:pt idx="725">
                  <c:v>42.395851434690222</c:v>
                </c:pt>
                <c:pt idx="726">
                  <c:v>42.552556377452454</c:v>
                </c:pt>
                <c:pt idx="727">
                  <c:v>42.70744369701206</c:v>
                </c:pt>
                <c:pt idx="728">
                  <c:v>42.860523778730524</c:v>
                </c:pt>
                <c:pt idx="729">
                  <c:v>43.011807232175165</c:v>
                </c:pt>
                <c:pt idx="730">
                  <c:v>43.161304881403609</c:v>
                </c:pt>
                <c:pt idx="731">
                  <c:v>43.309027755429263</c:v>
                </c:pt>
                <c:pt idx="732">
                  <c:v>43.454987078867511</c:v>
                </c:pt>
                <c:pt idx="733">
                  <c:v>43.599194262763234</c:v>
                </c:pt>
                <c:pt idx="734">
                  <c:v>43.741660895599182</c:v>
                </c:pt>
                <c:pt idx="735">
                  <c:v>43.882398734484838</c:v>
                </c:pt>
                <c:pt idx="736">
                  <c:v>44.021419696525875</c:v>
                </c:pt>
                <c:pt idx="737">
                  <c:v>44.158735850373027</c:v>
                </c:pt>
                <c:pt idx="738">
                  <c:v>44.294359407950211</c:v>
                </c:pt>
                <c:pt idx="739">
                  <c:v>44.428302716360868</c:v>
                </c:pt>
                <c:pt idx="740">
                  <c:v>44.560578249971741</c:v>
                </c:pt>
                <c:pt idx="741">
                  <c:v>44.691198602673026</c:v>
                </c:pt>
                <c:pt idx="742">
                  <c:v>44.820176480313698</c:v>
                </c:pt>
                <c:pt idx="743">
                  <c:v>44.947524693311117</c:v>
                </c:pt>
                <c:pt idx="744">
                  <c:v>45.073256149433234</c:v>
                </c:pt>
                <c:pt idx="745">
                  <c:v>45.197383846752302</c:v>
                </c:pt>
                <c:pt idx="746">
                  <c:v>45.319920866768435</c:v>
                </c:pt>
                <c:pt idx="747">
                  <c:v>45.440880367701631</c:v>
                </c:pt>
                <c:pt idx="748">
                  <c:v>45.56027557795047</c:v>
                </c:pt>
                <c:pt idx="749">
                  <c:v>45.67811978971595</c:v>
                </c:pt>
                <c:pt idx="750">
                  <c:v>45.794426352788669</c:v>
                </c:pt>
                <c:pt idx="751">
                  <c:v>45.909208668497421</c:v>
                </c:pt>
                <c:pt idx="752">
                  <c:v>46.022480183817642</c:v>
                </c:pt>
                <c:pt idx="753">
                  <c:v>46.134254385637327</c:v>
                </c:pt>
                <c:pt idx="754">
                  <c:v>46.244544795179046</c:v>
                </c:pt>
                <c:pt idx="755">
                  <c:v>46.353364962575405</c:v>
                </c:pt>
                <c:pt idx="756">
                  <c:v>46.460728461596517</c:v>
                </c:pt>
                <c:pt idx="757">
                  <c:v>46.566648884526991</c:v>
                </c:pt>
                <c:pt idx="758">
                  <c:v>46.671139837190367</c:v>
                </c:pt>
                <c:pt idx="759">
                  <c:v>46.7742149341192</c:v>
                </c:pt>
                <c:pt idx="760">
                  <c:v>46.875887793868102</c:v>
                </c:pt>
                <c:pt idx="761">
                  <c:v>46.97617203446795</c:v>
                </c:pt>
                <c:pt idx="762">
                  <c:v>47.075081269018924</c:v>
                </c:pt>
                <c:pt idx="763">
                  <c:v>47.172629101420128</c:v>
                </c:pt>
                <c:pt idx="764">
                  <c:v>47.268829122233427</c:v>
                </c:pt>
                <c:pt idx="765">
                  <c:v>47.363694904679619</c:v>
                </c:pt>
                <c:pt idx="766">
                  <c:v>47.457240000764266</c:v>
                </c:pt>
                <c:pt idx="767">
                  <c:v>47.549477937531108</c:v>
                </c:pt>
                <c:pt idx="768">
                  <c:v>47.6404222134409</c:v>
                </c:pt>
                <c:pt idx="769">
                  <c:v>47.730086294872912</c:v>
                </c:pt>
                <c:pt idx="770">
                  <c:v>47.818483612747663</c:v>
                </c:pt>
                <c:pt idx="771">
                  <c:v>47.9056275592677</c:v>
                </c:pt>
                <c:pt idx="772">
                  <c:v>47.991531484774733</c:v>
                </c:pt>
                <c:pt idx="773">
                  <c:v>48.076208694720627</c:v>
                </c:pt>
                <c:pt idx="774">
                  <c:v>48.159672446750179</c:v>
                </c:pt>
                <c:pt idx="775">
                  <c:v>48.241935947893133</c:v>
                </c:pt>
                <c:pt idx="776">
                  <c:v>48.323012351863483</c:v>
                </c:pt>
                <c:pt idx="777">
                  <c:v>48.402914756463652</c:v>
                </c:pt>
                <c:pt idx="778">
                  <c:v>48.481656201091475</c:v>
                </c:pt>
                <c:pt idx="779">
                  <c:v>48.559249664347661</c:v>
                </c:pt>
                <c:pt idx="780">
                  <c:v>48.635708061741596</c:v>
                </c:pt>
                <c:pt idx="781">
                  <c:v>48.71104424349334</c:v>
                </c:pt>
                <c:pt idx="782">
                  <c:v>48.785270992429673</c:v>
                </c:pt>
                <c:pt idx="783">
                  <c:v>48.858401021972035</c:v>
                </c:pt>
                <c:pt idx="784">
                  <c:v>48.930446974214291</c:v>
                </c:pt>
                <c:pt idx="785">
                  <c:v>49.001421418088121</c:v>
                </c:pt>
                <c:pt idx="786">
                  <c:v>49.07133684761417</c:v>
                </c:pt>
                <c:pt idx="787">
                  <c:v>49.140205680236654</c:v>
                </c:pt>
                <c:pt idx="788">
                  <c:v>49.208040255239766</c:v>
                </c:pt>
                <c:pt idx="789">
                  <c:v>49.274852832243397</c:v>
                </c:pt>
                <c:pt idx="790">
                  <c:v>49.340655589776752</c:v>
                </c:pt>
                <c:pt idx="791">
                  <c:v>49.405460623927375</c:v>
                </c:pt>
                <c:pt idx="792">
                  <c:v>49.469279947064116</c:v>
                </c:pt>
                <c:pt idx="793">
                  <c:v>49.532125486631877</c:v>
                </c:pt>
                <c:pt idx="794">
                  <c:v>49.594009084016442</c:v>
                </c:pt>
                <c:pt idx="795">
                  <c:v>49.654942493477144</c:v>
                </c:pt>
                <c:pt idx="796">
                  <c:v>49.714937381146441</c:v>
                </c:pt>
                <c:pt idx="797">
                  <c:v>49.774005324093352</c:v>
                </c:pt>
                <c:pt idx="798">
                  <c:v>49.832157809450401</c:v>
                </c:pt>
                <c:pt idx="799">
                  <c:v>49.889406233600958</c:v>
                </c:pt>
                <c:pt idx="800">
                  <c:v>49.945761901426373</c:v>
                </c:pt>
                <c:pt idx="801">
                  <c:v>50.001236025610801</c:v>
                </c:pt>
                <c:pt idx="802">
                  <c:v>50.055839726001743</c:v>
                </c:pt>
                <c:pt idx="803">
                  <c:v>50.109584029025342</c:v>
                </c:pt>
                <c:pt idx="804">
                  <c:v>50.162479867154367</c:v>
                </c:pt>
                <c:pt idx="805">
                  <c:v>50.214538078427573</c:v>
                </c:pt>
                <c:pt idx="806">
                  <c:v>50.265769406018613</c:v>
                </c:pt>
                <c:pt idx="807">
                  <c:v>50.265819791390953</c:v>
                </c:pt>
                <c:pt idx="808">
                  <c:v>50.265870175960266</c:v>
                </c:pt>
                <c:pt idx="809">
                  <c:v>50.265920559726581</c:v>
                </c:pt>
                <c:pt idx="810">
                  <c:v>50.265970942689883</c:v>
                </c:pt>
                <c:pt idx="811">
                  <c:v>50.266021324850193</c:v>
                </c:pt>
                <c:pt idx="812">
                  <c:v>50.266071706207548</c:v>
                </c:pt>
                <c:pt idx="813">
                  <c:v>50.266122086761911</c:v>
                </c:pt>
                <c:pt idx="814">
                  <c:v>50.266172466513346</c:v>
                </c:pt>
                <c:pt idx="815">
                  <c:v>50.266222845461797</c:v>
                </c:pt>
                <c:pt idx="816">
                  <c:v>50.266273223607342</c:v>
                </c:pt>
                <c:pt idx="817">
                  <c:v>50.266323600949939</c:v>
                </c:pt>
                <c:pt idx="818">
                  <c:v>50.266373977489621</c:v>
                </c:pt>
                <c:pt idx="819">
                  <c:v>50.266424353226427</c:v>
                </c:pt>
                <c:pt idx="820">
                  <c:v>50.266474728160311</c:v>
                </c:pt>
                <c:pt idx="821">
                  <c:v>50.266525102291311</c:v>
                </c:pt>
                <c:pt idx="822">
                  <c:v>50.266575475619462</c:v>
                </c:pt>
                <c:pt idx="823">
                  <c:v>50.266625848144727</c:v>
                </c:pt>
                <c:pt idx="824">
                  <c:v>50.266676219867144</c:v>
                </c:pt>
                <c:pt idx="825">
                  <c:v>50.266726590786718</c:v>
                </c:pt>
                <c:pt idx="826">
                  <c:v>50.266776960903449</c:v>
                </c:pt>
                <c:pt idx="827">
                  <c:v>50.266827330217403</c:v>
                </c:pt>
                <c:pt idx="828">
                  <c:v>50.266877698728486</c:v>
                </c:pt>
                <c:pt idx="829">
                  <c:v>50.26692806643679</c:v>
                </c:pt>
                <c:pt idx="830">
                  <c:v>50.266978433342317</c:v>
                </c:pt>
                <c:pt idx="831">
                  <c:v>50.26702879944505</c:v>
                </c:pt>
                <c:pt idx="832">
                  <c:v>50.267079164744999</c:v>
                </c:pt>
                <c:pt idx="833">
                  <c:v>50.267129529242219</c:v>
                </c:pt>
                <c:pt idx="834">
                  <c:v>50.267179892936682</c:v>
                </c:pt>
                <c:pt idx="835">
                  <c:v>50.26723025582838</c:v>
                </c:pt>
                <c:pt idx="836">
                  <c:v>50.267280617917351</c:v>
                </c:pt>
                <c:pt idx="837">
                  <c:v>50.267330979203628</c:v>
                </c:pt>
                <c:pt idx="838">
                  <c:v>50.267381339687191</c:v>
                </c:pt>
                <c:pt idx="839">
                  <c:v>50.267431699368046</c:v>
                </c:pt>
                <c:pt idx="840">
                  <c:v>50.26748205824623</c:v>
                </c:pt>
                <c:pt idx="841">
                  <c:v>50.267532416321693</c:v>
                </c:pt>
                <c:pt idx="842">
                  <c:v>50.267582773594526</c:v>
                </c:pt>
                <c:pt idx="843">
                  <c:v>50.267633130064681</c:v>
                </c:pt>
                <c:pt idx="844">
                  <c:v>50.267683485732199</c:v>
                </c:pt>
                <c:pt idx="845">
                  <c:v>50.267733840597089</c:v>
                </c:pt>
                <c:pt idx="846">
                  <c:v>50.267784194659342</c:v>
                </c:pt>
                <c:pt idx="847">
                  <c:v>50.267834547919001</c:v>
                </c:pt>
                <c:pt idx="848">
                  <c:v>50.267884900376039</c:v>
                </c:pt>
                <c:pt idx="849">
                  <c:v>50.267935252030505</c:v>
                </c:pt>
                <c:pt idx="850">
                  <c:v>50.267985602882355</c:v>
                </c:pt>
                <c:pt idx="851">
                  <c:v>50.268035952931641</c:v>
                </c:pt>
                <c:pt idx="852">
                  <c:v>50.268086302178361</c:v>
                </c:pt>
                <c:pt idx="853">
                  <c:v>50.26813665062253</c:v>
                </c:pt>
                <c:pt idx="854">
                  <c:v>50.268186998264142</c:v>
                </c:pt>
                <c:pt idx="855">
                  <c:v>50.268237345103223</c:v>
                </c:pt>
                <c:pt idx="856">
                  <c:v>50.268287691139811</c:v>
                </c:pt>
                <c:pt idx="857">
                  <c:v>50.268338036373855</c:v>
                </c:pt>
                <c:pt idx="858">
                  <c:v>50.268388380805426</c:v>
                </c:pt>
                <c:pt idx="859">
                  <c:v>50.268438724434482</c:v>
                </c:pt>
                <c:pt idx="860">
                  <c:v>50.268489067261065</c:v>
                </c:pt>
                <c:pt idx="861">
                  <c:v>50.268539409285175</c:v>
                </c:pt>
                <c:pt idx="862">
                  <c:v>50.268589750506834</c:v>
                </c:pt>
                <c:pt idx="863">
                  <c:v>50.268640090926041</c:v>
                </c:pt>
                <c:pt idx="864">
                  <c:v>50.268690430542804</c:v>
                </c:pt>
                <c:pt idx="865">
                  <c:v>50.268740769357137</c:v>
                </c:pt>
                <c:pt idx="866">
                  <c:v>50.268791107369069</c:v>
                </c:pt>
                <c:pt idx="867">
                  <c:v>50.268841444578577</c:v>
                </c:pt>
                <c:pt idx="868">
                  <c:v>50.268891780985669</c:v>
                </c:pt>
                <c:pt idx="869">
                  <c:v>50.268942116590395</c:v>
                </c:pt>
                <c:pt idx="870">
                  <c:v>50.268992451392755</c:v>
                </c:pt>
                <c:pt idx="871">
                  <c:v>50.26904278539272</c:v>
                </c:pt>
                <c:pt idx="872">
                  <c:v>50.269093118590341</c:v>
                </c:pt>
                <c:pt idx="873">
                  <c:v>50.269143450985609</c:v>
                </c:pt>
                <c:pt idx="874">
                  <c:v>50.269193782578547</c:v>
                </c:pt>
                <c:pt idx="875">
                  <c:v>50.269244113369169</c:v>
                </c:pt>
                <c:pt idx="876">
                  <c:v>50.26929444335746</c:v>
                </c:pt>
                <c:pt idx="877">
                  <c:v>50.269344772543427</c:v>
                </c:pt>
                <c:pt idx="878">
                  <c:v>50.26939510092712</c:v>
                </c:pt>
                <c:pt idx="879">
                  <c:v>50.269445428508554</c:v>
                </c:pt>
                <c:pt idx="880">
                  <c:v>50.269495755287672</c:v>
                </c:pt>
                <c:pt idx="881">
                  <c:v>50.269546081264551</c:v>
                </c:pt>
                <c:pt idx="882">
                  <c:v>50.269596406439184</c:v>
                </c:pt>
                <c:pt idx="883">
                  <c:v>50.269646730811559</c:v>
                </c:pt>
                <c:pt idx="884">
                  <c:v>50.269697054381695</c:v>
                </c:pt>
                <c:pt idx="885">
                  <c:v>50.269747377149621</c:v>
                </c:pt>
                <c:pt idx="886">
                  <c:v>50.269797699115323</c:v>
                </c:pt>
                <c:pt idx="887">
                  <c:v>50.269848020278843</c:v>
                </c:pt>
                <c:pt idx="888">
                  <c:v>50.269898340640161</c:v>
                </c:pt>
                <c:pt idx="889">
                  <c:v>50.269948660199297</c:v>
                </c:pt>
                <c:pt idx="890">
                  <c:v>50.269998978956259</c:v>
                </c:pt>
                <c:pt idx="891">
                  <c:v>50.270049296911075</c:v>
                </c:pt>
                <c:pt idx="892">
                  <c:v>50.270099614063717</c:v>
                </c:pt>
                <c:pt idx="893">
                  <c:v>50.270149930414242</c:v>
                </c:pt>
                <c:pt idx="894">
                  <c:v>50.270200245962606</c:v>
                </c:pt>
                <c:pt idx="895">
                  <c:v>50.270250560708888</c:v>
                </c:pt>
                <c:pt idx="896">
                  <c:v>50.270300874653032</c:v>
                </c:pt>
                <c:pt idx="897">
                  <c:v>50.270351187795086</c:v>
                </c:pt>
                <c:pt idx="898">
                  <c:v>50.270401500135073</c:v>
                </c:pt>
                <c:pt idx="899">
                  <c:v>50.270451811672949</c:v>
                </c:pt>
                <c:pt idx="900">
                  <c:v>50.270502122408786</c:v>
                </c:pt>
                <c:pt idx="901">
                  <c:v>50.270552432342555</c:v>
                </c:pt>
                <c:pt idx="902">
                  <c:v>50.270602741474278</c:v>
                </c:pt>
                <c:pt idx="903">
                  <c:v>50.270653049803961</c:v>
                </c:pt>
                <c:pt idx="904">
                  <c:v>50.270703357331627</c:v>
                </c:pt>
                <c:pt idx="905">
                  <c:v>50.270753664057288</c:v>
                </c:pt>
                <c:pt idx="906">
                  <c:v>50.270803969980911</c:v>
                </c:pt>
                <c:pt idx="907">
                  <c:v>50.270854275102543</c:v>
                </c:pt>
                <c:pt idx="908">
                  <c:v>50.270904579422201</c:v>
                </c:pt>
                <c:pt idx="909">
                  <c:v>50.270954882939897</c:v>
                </c:pt>
                <c:pt idx="910">
                  <c:v>50.271005185655632</c:v>
                </c:pt>
                <c:pt idx="911">
                  <c:v>50.271055487569377</c:v>
                </c:pt>
                <c:pt idx="912">
                  <c:v>50.271105788681233</c:v>
                </c:pt>
                <c:pt idx="913">
                  <c:v>50.271156088991098</c:v>
                </c:pt>
                <c:pt idx="914">
                  <c:v>50.271206388499088</c:v>
                </c:pt>
                <c:pt idx="915">
                  <c:v>50.271256687205138</c:v>
                </c:pt>
                <c:pt idx="916">
                  <c:v>50.271306985109291</c:v>
                </c:pt>
                <c:pt idx="917">
                  <c:v>50.271357282211575</c:v>
                </c:pt>
                <c:pt idx="918">
                  <c:v>50.271407578511955</c:v>
                </c:pt>
                <c:pt idx="919">
                  <c:v>50.271457874010459</c:v>
                </c:pt>
                <c:pt idx="920">
                  <c:v>50.271508168707093</c:v>
                </c:pt>
                <c:pt idx="921">
                  <c:v>50.271558462601909</c:v>
                </c:pt>
                <c:pt idx="922">
                  <c:v>50.271608755694885</c:v>
                </c:pt>
                <c:pt idx="923">
                  <c:v>50.27165904798602</c:v>
                </c:pt>
                <c:pt idx="924">
                  <c:v>50.271709339475308</c:v>
                </c:pt>
                <c:pt idx="925">
                  <c:v>50.271759630162812</c:v>
                </c:pt>
                <c:pt idx="926">
                  <c:v>50.271809920048526</c:v>
                </c:pt>
                <c:pt idx="927">
                  <c:v>50.271860209132463</c:v>
                </c:pt>
                <c:pt idx="928">
                  <c:v>50.271910497414595</c:v>
                </c:pt>
                <c:pt idx="929">
                  <c:v>50.271960784894972</c:v>
                </c:pt>
                <c:pt idx="930">
                  <c:v>50.272011071573594</c:v>
                </c:pt>
                <c:pt idx="931">
                  <c:v>50.27206135745044</c:v>
                </c:pt>
                <c:pt idx="932">
                  <c:v>50.27211164252558</c:v>
                </c:pt>
                <c:pt idx="933">
                  <c:v>50.272161926798979</c:v>
                </c:pt>
                <c:pt idx="934">
                  <c:v>50.272212210270666</c:v>
                </c:pt>
                <c:pt idx="935">
                  <c:v>50.272262492940669</c:v>
                </c:pt>
                <c:pt idx="936">
                  <c:v>50.272312774808952</c:v>
                </c:pt>
                <c:pt idx="937">
                  <c:v>50.272363055875566</c:v>
                </c:pt>
                <c:pt idx="938">
                  <c:v>50.272413336140524</c:v>
                </c:pt>
                <c:pt idx="939">
                  <c:v>50.272463615603776</c:v>
                </c:pt>
                <c:pt idx="940">
                  <c:v>50.272513894265394</c:v>
                </c:pt>
                <c:pt idx="941">
                  <c:v>50.272564172125364</c:v>
                </c:pt>
                <c:pt idx="942">
                  <c:v>50.27261444918372</c:v>
                </c:pt>
                <c:pt idx="943">
                  <c:v>50.272664725440421</c:v>
                </c:pt>
                <c:pt idx="944">
                  <c:v>50.272715000895509</c:v>
                </c:pt>
                <c:pt idx="945">
                  <c:v>50.272765275549013</c:v>
                </c:pt>
                <c:pt idx="946">
                  <c:v>50.272815549400931</c:v>
                </c:pt>
                <c:pt idx="947">
                  <c:v>50.272865822451244</c:v>
                </c:pt>
                <c:pt idx="948">
                  <c:v>50.272916094700015</c:v>
                </c:pt>
                <c:pt idx="949">
                  <c:v>50.272966366147216</c:v>
                </c:pt>
                <c:pt idx="950">
                  <c:v>50.273016636792846</c:v>
                </c:pt>
                <c:pt idx="951">
                  <c:v>50.273066906636956</c:v>
                </c:pt>
                <c:pt idx="952">
                  <c:v>50.273117175679531</c:v>
                </c:pt>
                <c:pt idx="953">
                  <c:v>50.273167443920592</c:v>
                </c:pt>
                <c:pt idx="954">
                  <c:v>50.273217711360154</c:v>
                </c:pt>
                <c:pt idx="955">
                  <c:v>50.273267977998195</c:v>
                </c:pt>
                <c:pt idx="956">
                  <c:v>50.273318243834765</c:v>
                </c:pt>
                <c:pt idx="957">
                  <c:v>50.273368508869829</c:v>
                </c:pt>
                <c:pt idx="958">
                  <c:v>50.273418773103444</c:v>
                </c:pt>
                <c:pt idx="959">
                  <c:v>50.273469036535595</c:v>
                </c:pt>
                <c:pt idx="960">
                  <c:v>50.27351929916631</c:v>
                </c:pt>
                <c:pt idx="961">
                  <c:v>50.273569560995576</c:v>
                </c:pt>
                <c:pt idx="962">
                  <c:v>50.273619822023434</c:v>
                </c:pt>
                <c:pt idx="963">
                  <c:v>50.273670082249865</c:v>
                </c:pt>
                <c:pt idx="964">
                  <c:v>50.273720341674874</c:v>
                </c:pt>
                <c:pt idx="965">
                  <c:v>50.273770600298519</c:v>
                </c:pt>
                <c:pt idx="966">
                  <c:v>50.273820858120772</c:v>
                </c:pt>
                <c:pt idx="967">
                  <c:v>50.273871115141652</c:v>
                </c:pt>
                <c:pt idx="968">
                  <c:v>50.273921371361119</c:v>
                </c:pt>
                <c:pt idx="969">
                  <c:v>50.273971626779286</c:v>
                </c:pt>
                <c:pt idx="970">
                  <c:v>50.274021881396095</c:v>
                </c:pt>
                <c:pt idx="971">
                  <c:v>50.274072135211583</c:v>
                </c:pt>
                <c:pt idx="972">
                  <c:v>50.274122388225734</c:v>
                </c:pt>
                <c:pt idx="973">
                  <c:v>50.274172640438557</c:v>
                </c:pt>
                <c:pt idx="974">
                  <c:v>50.274222891850108</c:v>
                </c:pt>
                <c:pt idx="975">
                  <c:v>50.274273142460366</c:v>
                </c:pt>
                <c:pt idx="976">
                  <c:v>50.274323392269316</c:v>
                </c:pt>
                <c:pt idx="977">
                  <c:v>50.274373641277002</c:v>
                </c:pt>
                <c:pt idx="978">
                  <c:v>50.274423889483444</c:v>
                </c:pt>
                <c:pt idx="979">
                  <c:v>50.274474136888614</c:v>
                </c:pt>
                <c:pt idx="980">
                  <c:v>50.274524383492547</c:v>
                </c:pt>
                <c:pt idx="981">
                  <c:v>50.274574629295259</c:v>
                </c:pt>
                <c:pt idx="982">
                  <c:v>50.274624874296741</c:v>
                </c:pt>
                <c:pt idx="983">
                  <c:v>50.274675118497044</c:v>
                </c:pt>
                <c:pt idx="984">
                  <c:v>50.274725361896145</c:v>
                </c:pt>
                <c:pt idx="985">
                  <c:v>50.274775604494018</c:v>
                </c:pt>
                <c:pt idx="986">
                  <c:v>50.274825846290717</c:v>
                </c:pt>
                <c:pt idx="987">
                  <c:v>50.274876087286273</c:v>
                </c:pt>
                <c:pt idx="988">
                  <c:v>50.274926327480649</c:v>
                </c:pt>
                <c:pt idx="989">
                  <c:v>50.27497656687391</c:v>
                </c:pt>
                <c:pt idx="990">
                  <c:v>50.275026805466034</c:v>
                </c:pt>
                <c:pt idx="991">
                  <c:v>50.275077043256999</c:v>
                </c:pt>
                <c:pt idx="992">
                  <c:v>50.27512728024687</c:v>
                </c:pt>
                <c:pt idx="993">
                  <c:v>50.275177516435626</c:v>
                </c:pt>
                <c:pt idx="994">
                  <c:v>50.275227751823259</c:v>
                </c:pt>
                <c:pt idx="995">
                  <c:v>50.275277986409833</c:v>
                </c:pt>
                <c:pt idx="996">
                  <c:v>50.275328220195341</c:v>
                </c:pt>
                <c:pt idx="997">
                  <c:v>50.275378453179755</c:v>
                </c:pt>
                <c:pt idx="998">
                  <c:v>50.275428685363146</c:v>
                </c:pt>
                <c:pt idx="999">
                  <c:v>50.275478916745499</c:v>
                </c:pt>
                <c:pt idx="1000">
                  <c:v>50.2755291473268</c:v>
                </c:pt>
              </c:numCache>
            </c:numRef>
          </c:yVal>
          <c:smooth val="0"/>
          <c:extLst>
            <c:ext xmlns:c16="http://schemas.microsoft.com/office/drawing/2014/chart" uri="{C3380CC4-5D6E-409C-BE32-E72D297353CC}">
              <c16:uniqueId val="{00000002-B98B-46BB-BB51-DAAA2071230C}"/>
            </c:ext>
          </c:extLst>
        </c:ser>
        <c:dLbls>
          <c:showLegendKey val="0"/>
          <c:showVal val="0"/>
          <c:showCatName val="0"/>
          <c:showSerName val="0"/>
          <c:showPercent val="0"/>
          <c:showBubbleSize val="0"/>
        </c:dLbls>
        <c:axId val="149500672"/>
        <c:axId val="149502592"/>
      </c:scatterChart>
      <c:valAx>
        <c:axId val="1495006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2592"/>
        <c:crosses val="autoZero"/>
        <c:crossBetween val="midCat"/>
      </c:valAx>
      <c:valAx>
        <c:axId val="149502592"/>
        <c:scaling>
          <c:orientation val="minMax"/>
        </c:scaling>
        <c:delete val="0"/>
        <c:axPos val="l"/>
        <c:majorGridlines>
          <c:spPr>
            <a:ln w="3175">
              <a:solidFill>
                <a:srgbClr val="000000"/>
              </a:solidFill>
              <a:prstDash val="sysDash"/>
            </a:ln>
          </c:spPr>
        </c:majorGridlines>
        <c:title>
          <c:tx>
            <c:rich>
              <a:bodyPr/>
              <a:lstStyle/>
              <a:p>
                <a:pPr>
                  <a:defRPr sz="1200" b="1" i="0" u="none" strike="noStrike" baseline="0">
                    <a:solidFill>
                      <a:srgbClr val="000000"/>
                    </a:solidFill>
                    <a:latin typeface="Arial"/>
                    <a:ea typeface="Arial"/>
                    <a:cs typeface="Arial"/>
                  </a:defRPr>
                </a:pPr>
                <a:r>
                  <a:rPr lang="fr-FR"/>
                  <a:t>Forces [N]</a:t>
                </a:r>
              </a:p>
            </c:rich>
          </c:tx>
          <c:layout>
            <c:manualLayout>
              <c:xMode val="edge"/>
              <c:yMode val="edge"/>
              <c:x val="2.0047169811320761E-2"/>
              <c:y val="0.333334383202099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0672"/>
        <c:crosses val="autoZero"/>
        <c:crossBetween val="midCat"/>
      </c:valAx>
      <c:spPr>
        <a:noFill/>
        <a:ln w="12700">
          <a:solidFill>
            <a:srgbClr val="808080"/>
          </a:solidFill>
          <a:prstDash val="solid"/>
        </a:ln>
      </c:spPr>
    </c:plotArea>
    <c:legend>
      <c:legendPos val="r"/>
      <c:layout>
        <c:manualLayout>
          <c:xMode val="edge"/>
          <c:yMode val="edge"/>
          <c:x val="0.83018929827167842"/>
          <c:y val="0.34444479440069992"/>
          <c:w val="0.13050326845936713"/>
          <c:h val="0.22888888888888886"/>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Courbes!$B$140</c:f>
          <c:strCache>
            <c:ptCount val="1"/>
            <c:pt idx="0">
              <c:v>Vitesse</c:v>
            </c:pt>
          </c:strCache>
        </c:strRef>
      </c:tx>
      <c:overlay val="1"/>
      <c:txPr>
        <a:bodyPr/>
        <a:lstStyle/>
        <a:p>
          <a:pPr>
            <a:defRPr sz="1200" b="1"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0.10495283018867926"/>
          <c:y val="9.4771544282144501E-2"/>
          <c:w val="0.87617924528302116"/>
          <c:h val="0.74183243282920064"/>
        </c:manualLayout>
      </c:layout>
      <c:scatterChart>
        <c:scatterStyle val="lineMarker"/>
        <c:varyColors val="0"/>
        <c:ser>
          <c:idx val="0"/>
          <c:order val="0"/>
          <c:tx>
            <c:strRef>
              <c:f>Courbes!$B$140</c:f>
              <c:strCache>
                <c:ptCount val="1"/>
                <c:pt idx="0">
                  <c:v>Vitesse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34.800000000000182</c:v>
                </c:pt>
                <c:pt idx="709">
                  <c:v>34.900000000000183</c:v>
                </c:pt>
                <c:pt idx="710">
                  <c:v>35.000000000000185</c:v>
                </c:pt>
                <c:pt idx="711">
                  <c:v>35.100000000000186</c:v>
                </c:pt>
                <c:pt idx="712">
                  <c:v>35.200000000000188</c:v>
                </c:pt>
                <c:pt idx="713">
                  <c:v>35.300000000000189</c:v>
                </c:pt>
                <c:pt idx="714">
                  <c:v>35.40000000000019</c:v>
                </c:pt>
                <c:pt idx="715">
                  <c:v>35.500000000000192</c:v>
                </c:pt>
                <c:pt idx="716">
                  <c:v>35.600000000000193</c:v>
                </c:pt>
                <c:pt idx="717">
                  <c:v>35.700000000000195</c:v>
                </c:pt>
                <c:pt idx="718">
                  <c:v>35.800000000000196</c:v>
                </c:pt>
                <c:pt idx="719">
                  <c:v>35.900000000000198</c:v>
                </c:pt>
                <c:pt idx="720">
                  <c:v>36.000000000000199</c:v>
                </c:pt>
                <c:pt idx="721">
                  <c:v>36.1000000000002</c:v>
                </c:pt>
                <c:pt idx="722">
                  <c:v>36.200000000000202</c:v>
                </c:pt>
                <c:pt idx="723">
                  <c:v>36.300000000000203</c:v>
                </c:pt>
                <c:pt idx="724">
                  <c:v>36.400000000000205</c:v>
                </c:pt>
                <c:pt idx="725">
                  <c:v>36.500000000000206</c:v>
                </c:pt>
                <c:pt idx="726">
                  <c:v>36.600000000000207</c:v>
                </c:pt>
                <c:pt idx="727">
                  <c:v>36.700000000000209</c:v>
                </c:pt>
                <c:pt idx="728">
                  <c:v>36.80000000000021</c:v>
                </c:pt>
                <c:pt idx="729">
                  <c:v>36.900000000000212</c:v>
                </c:pt>
                <c:pt idx="730">
                  <c:v>37.000000000000213</c:v>
                </c:pt>
                <c:pt idx="731">
                  <c:v>37.100000000000215</c:v>
                </c:pt>
                <c:pt idx="732">
                  <c:v>37.200000000000216</c:v>
                </c:pt>
                <c:pt idx="733">
                  <c:v>37.300000000000217</c:v>
                </c:pt>
                <c:pt idx="734">
                  <c:v>37.400000000000219</c:v>
                </c:pt>
                <c:pt idx="735">
                  <c:v>37.50000000000022</c:v>
                </c:pt>
                <c:pt idx="736">
                  <c:v>37.600000000000222</c:v>
                </c:pt>
                <c:pt idx="737">
                  <c:v>37.700000000000223</c:v>
                </c:pt>
                <c:pt idx="738">
                  <c:v>37.800000000000225</c:v>
                </c:pt>
                <c:pt idx="739">
                  <c:v>37.900000000000226</c:v>
                </c:pt>
                <c:pt idx="740">
                  <c:v>38.000000000000227</c:v>
                </c:pt>
                <c:pt idx="741">
                  <c:v>38.100000000000229</c:v>
                </c:pt>
                <c:pt idx="742">
                  <c:v>38.20000000000023</c:v>
                </c:pt>
                <c:pt idx="743">
                  <c:v>38.300000000000232</c:v>
                </c:pt>
                <c:pt idx="744">
                  <c:v>38.400000000000233</c:v>
                </c:pt>
                <c:pt idx="745">
                  <c:v>38.500000000000234</c:v>
                </c:pt>
                <c:pt idx="746">
                  <c:v>38.600000000000236</c:v>
                </c:pt>
                <c:pt idx="747">
                  <c:v>38.700000000000237</c:v>
                </c:pt>
                <c:pt idx="748">
                  <c:v>38.800000000000239</c:v>
                </c:pt>
                <c:pt idx="749">
                  <c:v>38.90000000000024</c:v>
                </c:pt>
                <c:pt idx="750">
                  <c:v>39.000000000000242</c:v>
                </c:pt>
                <c:pt idx="751">
                  <c:v>39.100000000000243</c:v>
                </c:pt>
                <c:pt idx="752">
                  <c:v>39.200000000000244</c:v>
                </c:pt>
                <c:pt idx="753">
                  <c:v>39.300000000000246</c:v>
                </c:pt>
                <c:pt idx="754">
                  <c:v>39.400000000000247</c:v>
                </c:pt>
                <c:pt idx="755">
                  <c:v>39.500000000000249</c:v>
                </c:pt>
                <c:pt idx="756">
                  <c:v>39.60000000000025</c:v>
                </c:pt>
                <c:pt idx="757">
                  <c:v>39.700000000000252</c:v>
                </c:pt>
                <c:pt idx="758">
                  <c:v>39.800000000000253</c:v>
                </c:pt>
                <c:pt idx="759">
                  <c:v>39.900000000000254</c:v>
                </c:pt>
                <c:pt idx="760">
                  <c:v>40.000000000000256</c:v>
                </c:pt>
                <c:pt idx="761">
                  <c:v>40.100000000000257</c:v>
                </c:pt>
                <c:pt idx="762">
                  <c:v>40.200000000000259</c:v>
                </c:pt>
                <c:pt idx="763">
                  <c:v>40.30000000000026</c:v>
                </c:pt>
                <c:pt idx="764">
                  <c:v>40.400000000000261</c:v>
                </c:pt>
                <c:pt idx="765">
                  <c:v>40.500000000000263</c:v>
                </c:pt>
                <c:pt idx="766">
                  <c:v>40.600000000000264</c:v>
                </c:pt>
                <c:pt idx="767">
                  <c:v>40.700000000000266</c:v>
                </c:pt>
                <c:pt idx="768">
                  <c:v>40.800000000000267</c:v>
                </c:pt>
                <c:pt idx="769">
                  <c:v>40.900000000000269</c:v>
                </c:pt>
                <c:pt idx="770">
                  <c:v>41.00000000000027</c:v>
                </c:pt>
                <c:pt idx="771">
                  <c:v>41.100000000000271</c:v>
                </c:pt>
                <c:pt idx="772">
                  <c:v>41.200000000000273</c:v>
                </c:pt>
                <c:pt idx="773">
                  <c:v>41.300000000000274</c:v>
                </c:pt>
                <c:pt idx="774">
                  <c:v>41.400000000000276</c:v>
                </c:pt>
                <c:pt idx="775">
                  <c:v>41.500000000000277</c:v>
                </c:pt>
                <c:pt idx="776">
                  <c:v>41.600000000000279</c:v>
                </c:pt>
                <c:pt idx="777">
                  <c:v>41.70000000000028</c:v>
                </c:pt>
                <c:pt idx="778">
                  <c:v>41.800000000000281</c:v>
                </c:pt>
                <c:pt idx="779">
                  <c:v>41.900000000000283</c:v>
                </c:pt>
                <c:pt idx="780">
                  <c:v>42.000000000000284</c:v>
                </c:pt>
                <c:pt idx="781">
                  <c:v>42.100000000000286</c:v>
                </c:pt>
                <c:pt idx="782">
                  <c:v>42.200000000000287</c:v>
                </c:pt>
                <c:pt idx="783">
                  <c:v>42.300000000000288</c:v>
                </c:pt>
                <c:pt idx="784">
                  <c:v>42.40000000000029</c:v>
                </c:pt>
                <c:pt idx="785">
                  <c:v>42.500000000000291</c:v>
                </c:pt>
                <c:pt idx="786">
                  <c:v>42.600000000000293</c:v>
                </c:pt>
                <c:pt idx="787">
                  <c:v>42.700000000000294</c:v>
                </c:pt>
                <c:pt idx="788">
                  <c:v>42.800000000000296</c:v>
                </c:pt>
                <c:pt idx="789">
                  <c:v>42.900000000000297</c:v>
                </c:pt>
                <c:pt idx="790">
                  <c:v>43.000000000000298</c:v>
                </c:pt>
                <c:pt idx="791">
                  <c:v>43.1000000000003</c:v>
                </c:pt>
                <c:pt idx="792">
                  <c:v>43.200000000000301</c:v>
                </c:pt>
                <c:pt idx="793">
                  <c:v>43.300000000000303</c:v>
                </c:pt>
                <c:pt idx="794">
                  <c:v>43.400000000000304</c:v>
                </c:pt>
                <c:pt idx="795">
                  <c:v>43.500000000000306</c:v>
                </c:pt>
                <c:pt idx="796">
                  <c:v>43.600000000000307</c:v>
                </c:pt>
                <c:pt idx="797">
                  <c:v>43.700000000000308</c:v>
                </c:pt>
                <c:pt idx="798">
                  <c:v>43.80000000000031</c:v>
                </c:pt>
                <c:pt idx="799">
                  <c:v>43.900000000000311</c:v>
                </c:pt>
                <c:pt idx="800">
                  <c:v>44.000000000000313</c:v>
                </c:pt>
                <c:pt idx="801">
                  <c:v>44.100000000000314</c:v>
                </c:pt>
                <c:pt idx="802">
                  <c:v>44.200000000000315</c:v>
                </c:pt>
                <c:pt idx="803">
                  <c:v>44.300000000000317</c:v>
                </c:pt>
                <c:pt idx="804">
                  <c:v>44.400000000000318</c:v>
                </c:pt>
                <c:pt idx="805">
                  <c:v>44.50000000000032</c:v>
                </c:pt>
                <c:pt idx="806">
                  <c:v>44.600000000000321</c:v>
                </c:pt>
                <c:pt idx="807">
                  <c:v>44.600100000000324</c:v>
                </c:pt>
                <c:pt idx="808">
                  <c:v>44.600200000000328</c:v>
                </c:pt>
                <c:pt idx="809">
                  <c:v>44.600300000000331</c:v>
                </c:pt>
                <c:pt idx="810">
                  <c:v>44.600400000000334</c:v>
                </c:pt>
                <c:pt idx="811">
                  <c:v>44.600500000000338</c:v>
                </c:pt>
                <c:pt idx="812">
                  <c:v>44.600600000000341</c:v>
                </c:pt>
                <c:pt idx="813">
                  <c:v>44.600700000000344</c:v>
                </c:pt>
                <c:pt idx="814">
                  <c:v>44.600800000000348</c:v>
                </c:pt>
                <c:pt idx="815">
                  <c:v>44.600900000000351</c:v>
                </c:pt>
                <c:pt idx="816">
                  <c:v>44.601000000000354</c:v>
                </c:pt>
                <c:pt idx="817">
                  <c:v>44.601100000000358</c:v>
                </c:pt>
                <c:pt idx="818">
                  <c:v>44.601200000000361</c:v>
                </c:pt>
                <c:pt idx="819">
                  <c:v>44.601300000000364</c:v>
                </c:pt>
                <c:pt idx="820">
                  <c:v>44.601400000000368</c:v>
                </c:pt>
                <c:pt idx="821">
                  <c:v>44.601500000000371</c:v>
                </c:pt>
                <c:pt idx="822">
                  <c:v>44.601600000000374</c:v>
                </c:pt>
                <c:pt idx="823">
                  <c:v>44.601700000000378</c:v>
                </c:pt>
                <c:pt idx="824">
                  <c:v>44.601800000000381</c:v>
                </c:pt>
                <c:pt idx="825">
                  <c:v>44.601900000000384</c:v>
                </c:pt>
                <c:pt idx="826">
                  <c:v>44.602000000000388</c:v>
                </c:pt>
                <c:pt idx="827">
                  <c:v>44.602100000000391</c:v>
                </c:pt>
                <c:pt idx="828">
                  <c:v>44.602200000000394</c:v>
                </c:pt>
                <c:pt idx="829">
                  <c:v>44.602300000000398</c:v>
                </c:pt>
                <c:pt idx="830">
                  <c:v>44.602400000000401</c:v>
                </c:pt>
                <c:pt idx="831">
                  <c:v>44.602500000000404</c:v>
                </c:pt>
                <c:pt idx="832">
                  <c:v>44.602600000000407</c:v>
                </c:pt>
                <c:pt idx="833">
                  <c:v>44.602700000000411</c:v>
                </c:pt>
                <c:pt idx="834">
                  <c:v>44.602800000000414</c:v>
                </c:pt>
                <c:pt idx="835">
                  <c:v>44.602900000000417</c:v>
                </c:pt>
                <c:pt idx="836">
                  <c:v>44.603000000000421</c:v>
                </c:pt>
                <c:pt idx="837">
                  <c:v>44.603100000000424</c:v>
                </c:pt>
                <c:pt idx="838">
                  <c:v>44.603200000000427</c:v>
                </c:pt>
                <c:pt idx="839">
                  <c:v>44.603300000000431</c:v>
                </c:pt>
                <c:pt idx="840">
                  <c:v>44.603400000000434</c:v>
                </c:pt>
                <c:pt idx="841">
                  <c:v>44.603500000000437</c:v>
                </c:pt>
                <c:pt idx="842">
                  <c:v>44.603600000000441</c:v>
                </c:pt>
                <c:pt idx="843">
                  <c:v>44.603700000000444</c:v>
                </c:pt>
                <c:pt idx="844">
                  <c:v>44.603800000000447</c:v>
                </c:pt>
                <c:pt idx="845">
                  <c:v>44.603900000000451</c:v>
                </c:pt>
                <c:pt idx="846">
                  <c:v>44.604000000000454</c:v>
                </c:pt>
                <c:pt idx="847">
                  <c:v>44.604100000000457</c:v>
                </c:pt>
                <c:pt idx="848">
                  <c:v>44.604200000000461</c:v>
                </c:pt>
                <c:pt idx="849">
                  <c:v>44.604300000000464</c:v>
                </c:pt>
                <c:pt idx="850">
                  <c:v>44.604400000000467</c:v>
                </c:pt>
                <c:pt idx="851">
                  <c:v>44.604500000000471</c:v>
                </c:pt>
                <c:pt idx="852">
                  <c:v>44.604600000000474</c:v>
                </c:pt>
                <c:pt idx="853">
                  <c:v>44.604700000000477</c:v>
                </c:pt>
                <c:pt idx="854">
                  <c:v>44.604800000000481</c:v>
                </c:pt>
                <c:pt idx="855">
                  <c:v>44.604900000000484</c:v>
                </c:pt>
                <c:pt idx="856">
                  <c:v>44.605000000000487</c:v>
                </c:pt>
                <c:pt idx="857">
                  <c:v>44.60510000000049</c:v>
                </c:pt>
                <c:pt idx="858">
                  <c:v>44.605200000000494</c:v>
                </c:pt>
                <c:pt idx="859">
                  <c:v>44.605300000000497</c:v>
                </c:pt>
                <c:pt idx="860">
                  <c:v>44.6054000000005</c:v>
                </c:pt>
                <c:pt idx="861">
                  <c:v>44.605500000000504</c:v>
                </c:pt>
                <c:pt idx="862">
                  <c:v>44.605600000000507</c:v>
                </c:pt>
                <c:pt idx="863">
                  <c:v>44.60570000000051</c:v>
                </c:pt>
                <c:pt idx="864">
                  <c:v>44.605800000000514</c:v>
                </c:pt>
                <c:pt idx="865">
                  <c:v>44.605900000000517</c:v>
                </c:pt>
                <c:pt idx="866">
                  <c:v>44.60600000000052</c:v>
                </c:pt>
                <c:pt idx="867">
                  <c:v>44.606100000000524</c:v>
                </c:pt>
                <c:pt idx="868">
                  <c:v>44.606200000000527</c:v>
                </c:pt>
                <c:pt idx="869">
                  <c:v>44.60630000000053</c:v>
                </c:pt>
                <c:pt idx="870">
                  <c:v>44.606400000000534</c:v>
                </c:pt>
                <c:pt idx="871">
                  <c:v>44.606500000000537</c:v>
                </c:pt>
                <c:pt idx="872">
                  <c:v>44.60660000000054</c:v>
                </c:pt>
                <c:pt idx="873">
                  <c:v>44.606700000000544</c:v>
                </c:pt>
                <c:pt idx="874">
                  <c:v>44.606800000000547</c:v>
                </c:pt>
                <c:pt idx="875">
                  <c:v>44.60690000000055</c:v>
                </c:pt>
                <c:pt idx="876">
                  <c:v>44.607000000000554</c:v>
                </c:pt>
                <c:pt idx="877">
                  <c:v>44.607100000000557</c:v>
                </c:pt>
                <c:pt idx="878">
                  <c:v>44.60720000000056</c:v>
                </c:pt>
                <c:pt idx="879">
                  <c:v>44.607300000000564</c:v>
                </c:pt>
                <c:pt idx="880">
                  <c:v>44.607400000000567</c:v>
                </c:pt>
                <c:pt idx="881">
                  <c:v>44.60750000000057</c:v>
                </c:pt>
                <c:pt idx="882">
                  <c:v>44.607600000000573</c:v>
                </c:pt>
                <c:pt idx="883">
                  <c:v>44.607700000000577</c:v>
                </c:pt>
                <c:pt idx="884">
                  <c:v>44.60780000000058</c:v>
                </c:pt>
                <c:pt idx="885">
                  <c:v>44.607900000000583</c:v>
                </c:pt>
                <c:pt idx="886">
                  <c:v>44.608000000000587</c:v>
                </c:pt>
                <c:pt idx="887">
                  <c:v>44.60810000000059</c:v>
                </c:pt>
                <c:pt idx="888">
                  <c:v>44.608200000000593</c:v>
                </c:pt>
                <c:pt idx="889">
                  <c:v>44.608300000000597</c:v>
                </c:pt>
                <c:pt idx="890">
                  <c:v>44.6084000000006</c:v>
                </c:pt>
                <c:pt idx="891">
                  <c:v>44.608500000000603</c:v>
                </c:pt>
                <c:pt idx="892">
                  <c:v>44.608600000000607</c:v>
                </c:pt>
                <c:pt idx="893">
                  <c:v>44.60870000000061</c:v>
                </c:pt>
                <c:pt idx="894">
                  <c:v>44.608800000000613</c:v>
                </c:pt>
                <c:pt idx="895">
                  <c:v>44.608900000000617</c:v>
                </c:pt>
                <c:pt idx="896">
                  <c:v>44.60900000000062</c:v>
                </c:pt>
                <c:pt idx="897">
                  <c:v>44.609100000000623</c:v>
                </c:pt>
                <c:pt idx="898">
                  <c:v>44.609200000000627</c:v>
                </c:pt>
                <c:pt idx="899">
                  <c:v>44.60930000000063</c:v>
                </c:pt>
                <c:pt idx="900">
                  <c:v>44.609400000000633</c:v>
                </c:pt>
                <c:pt idx="901">
                  <c:v>44.609500000000637</c:v>
                </c:pt>
                <c:pt idx="902">
                  <c:v>44.60960000000064</c:v>
                </c:pt>
                <c:pt idx="903">
                  <c:v>44.609700000000643</c:v>
                </c:pt>
                <c:pt idx="904">
                  <c:v>44.609800000000646</c:v>
                </c:pt>
                <c:pt idx="905">
                  <c:v>44.60990000000065</c:v>
                </c:pt>
                <c:pt idx="906">
                  <c:v>44.610000000000653</c:v>
                </c:pt>
                <c:pt idx="907">
                  <c:v>44.610100000000656</c:v>
                </c:pt>
                <c:pt idx="908">
                  <c:v>44.61020000000066</c:v>
                </c:pt>
                <c:pt idx="909">
                  <c:v>44.610300000000663</c:v>
                </c:pt>
                <c:pt idx="910">
                  <c:v>44.610400000000666</c:v>
                </c:pt>
                <c:pt idx="911">
                  <c:v>44.61050000000067</c:v>
                </c:pt>
                <c:pt idx="912">
                  <c:v>44.610600000000673</c:v>
                </c:pt>
                <c:pt idx="913">
                  <c:v>44.610700000000676</c:v>
                </c:pt>
                <c:pt idx="914">
                  <c:v>44.61080000000068</c:v>
                </c:pt>
                <c:pt idx="915">
                  <c:v>44.610900000000683</c:v>
                </c:pt>
                <c:pt idx="916">
                  <c:v>44.611000000000686</c:v>
                </c:pt>
                <c:pt idx="917">
                  <c:v>44.61110000000069</c:v>
                </c:pt>
                <c:pt idx="918">
                  <c:v>44.611200000000693</c:v>
                </c:pt>
                <c:pt idx="919">
                  <c:v>44.611300000000696</c:v>
                </c:pt>
                <c:pt idx="920">
                  <c:v>44.6114000000007</c:v>
                </c:pt>
                <c:pt idx="921">
                  <c:v>44.611500000000703</c:v>
                </c:pt>
                <c:pt idx="922">
                  <c:v>44.611600000000706</c:v>
                </c:pt>
                <c:pt idx="923">
                  <c:v>44.61170000000071</c:v>
                </c:pt>
                <c:pt idx="924">
                  <c:v>44.611800000000713</c:v>
                </c:pt>
                <c:pt idx="925">
                  <c:v>44.611900000000716</c:v>
                </c:pt>
                <c:pt idx="926">
                  <c:v>44.61200000000072</c:v>
                </c:pt>
                <c:pt idx="927">
                  <c:v>44.612100000000723</c:v>
                </c:pt>
                <c:pt idx="928">
                  <c:v>44.612200000000726</c:v>
                </c:pt>
                <c:pt idx="929">
                  <c:v>44.612300000000729</c:v>
                </c:pt>
                <c:pt idx="930">
                  <c:v>44.612400000000733</c:v>
                </c:pt>
                <c:pt idx="931">
                  <c:v>44.612500000000736</c:v>
                </c:pt>
                <c:pt idx="932">
                  <c:v>44.612600000000739</c:v>
                </c:pt>
                <c:pt idx="933">
                  <c:v>44.612700000000743</c:v>
                </c:pt>
                <c:pt idx="934">
                  <c:v>44.612800000000746</c:v>
                </c:pt>
                <c:pt idx="935">
                  <c:v>44.612900000000749</c:v>
                </c:pt>
                <c:pt idx="936">
                  <c:v>44.613000000000753</c:v>
                </c:pt>
                <c:pt idx="937">
                  <c:v>44.613100000000756</c:v>
                </c:pt>
                <c:pt idx="938">
                  <c:v>44.613200000000759</c:v>
                </c:pt>
                <c:pt idx="939">
                  <c:v>44.613300000000763</c:v>
                </c:pt>
                <c:pt idx="940">
                  <c:v>44.613400000000766</c:v>
                </c:pt>
                <c:pt idx="941">
                  <c:v>44.613500000000769</c:v>
                </c:pt>
                <c:pt idx="942">
                  <c:v>44.613600000000773</c:v>
                </c:pt>
                <c:pt idx="943">
                  <c:v>44.613700000000776</c:v>
                </c:pt>
                <c:pt idx="944">
                  <c:v>44.613800000000779</c:v>
                </c:pt>
                <c:pt idx="945">
                  <c:v>44.613900000000783</c:v>
                </c:pt>
                <c:pt idx="946">
                  <c:v>44.614000000000786</c:v>
                </c:pt>
                <c:pt idx="947">
                  <c:v>44.614100000000789</c:v>
                </c:pt>
                <c:pt idx="948">
                  <c:v>44.614200000000793</c:v>
                </c:pt>
                <c:pt idx="949">
                  <c:v>44.614300000000796</c:v>
                </c:pt>
                <c:pt idx="950">
                  <c:v>44.614400000000799</c:v>
                </c:pt>
                <c:pt idx="951">
                  <c:v>44.614500000000803</c:v>
                </c:pt>
                <c:pt idx="952">
                  <c:v>44.614600000000806</c:v>
                </c:pt>
                <c:pt idx="953">
                  <c:v>44.614700000000809</c:v>
                </c:pt>
                <c:pt idx="954">
                  <c:v>44.614800000000812</c:v>
                </c:pt>
                <c:pt idx="955">
                  <c:v>44.614900000000816</c:v>
                </c:pt>
                <c:pt idx="956">
                  <c:v>44.615000000000819</c:v>
                </c:pt>
                <c:pt idx="957">
                  <c:v>44.615100000000822</c:v>
                </c:pt>
                <c:pt idx="958">
                  <c:v>44.615200000000826</c:v>
                </c:pt>
                <c:pt idx="959">
                  <c:v>44.615300000000829</c:v>
                </c:pt>
                <c:pt idx="960">
                  <c:v>44.615400000000832</c:v>
                </c:pt>
                <c:pt idx="961">
                  <c:v>44.615500000000836</c:v>
                </c:pt>
                <c:pt idx="962">
                  <c:v>44.615600000000839</c:v>
                </c:pt>
                <c:pt idx="963">
                  <c:v>44.615700000000842</c:v>
                </c:pt>
                <c:pt idx="964">
                  <c:v>44.615800000000846</c:v>
                </c:pt>
                <c:pt idx="965">
                  <c:v>44.615900000000849</c:v>
                </c:pt>
                <c:pt idx="966">
                  <c:v>44.616000000000852</c:v>
                </c:pt>
                <c:pt idx="967">
                  <c:v>44.616100000000856</c:v>
                </c:pt>
                <c:pt idx="968">
                  <c:v>44.616200000000859</c:v>
                </c:pt>
                <c:pt idx="969">
                  <c:v>44.616300000000862</c:v>
                </c:pt>
                <c:pt idx="970">
                  <c:v>44.616400000000866</c:v>
                </c:pt>
                <c:pt idx="971">
                  <c:v>44.616500000000869</c:v>
                </c:pt>
                <c:pt idx="972">
                  <c:v>44.616600000000872</c:v>
                </c:pt>
                <c:pt idx="973">
                  <c:v>44.616700000000876</c:v>
                </c:pt>
                <c:pt idx="974">
                  <c:v>44.616800000000879</c:v>
                </c:pt>
                <c:pt idx="975">
                  <c:v>44.616900000000882</c:v>
                </c:pt>
                <c:pt idx="976">
                  <c:v>44.617000000000886</c:v>
                </c:pt>
                <c:pt idx="977">
                  <c:v>44.617100000000889</c:v>
                </c:pt>
                <c:pt idx="978">
                  <c:v>44.617200000000892</c:v>
                </c:pt>
                <c:pt idx="979">
                  <c:v>44.617300000000895</c:v>
                </c:pt>
                <c:pt idx="980">
                  <c:v>44.617400000000899</c:v>
                </c:pt>
                <c:pt idx="981">
                  <c:v>44.617500000000902</c:v>
                </c:pt>
                <c:pt idx="982">
                  <c:v>44.617600000000905</c:v>
                </c:pt>
                <c:pt idx="983">
                  <c:v>44.617700000000909</c:v>
                </c:pt>
                <c:pt idx="984">
                  <c:v>44.617800000000912</c:v>
                </c:pt>
                <c:pt idx="985">
                  <c:v>44.617900000000915</c:v>
                </c:pt>
                <c:pt idx="986">
                  <c:v>44.618000000000919</c:v>
                </c:pt>
                <c:pt idx="987">
                  <c:v>44.618100000000922</c:v>
                </c:pt>
                <c:pt idx="988">
                  <c:v>44.618200000000925</c:v>
                </c:pt>
                <c:pt idx="989">
                  <c:v>44.618300000000929</c:v>
                </c:pt>
                <c:pt idx="990">
                  <c:v>44.618400000000932</c:v>
                </c:pt>
                <c:pt idx="991">
                  <c:v>44.618500000000935</c:v>
                </c:pt>
                <c:pt idx="992">
                  <c:v>44.618600000000939</c:v>
                </c:pt>
                <c:pt idx="993">
                  <c:v>44.618700000000942</c:v>
                </c:pt>
                <c:pt idx="994">
                  <c:v>44.618800000000945</c:v>
                </c:pt>
                <c:pt idx="995">
                  <c:v>44.618900000000949</c:v>
                </c:pt>
                <c:pt idx="996">
                  <c:v>44.619000000000952</c:v>
                </c:pt>
                <c:pt idx="997">
                  <c:v>44.619100000000955</c:v>
                </c:pt>
                <c:pt idx="998">
                  <c:v>44.619200000000959</c:v>
                </c:pt>
                <c:pt idx="999">
                  <c:v>44.619300000000962</c:v>
                </c:pt>
                <c:pt idx="1000">
                  <c:v>44.619400000000965</c:v>
                </c:pt>
              </c:numCache>
            </c:numRef>
          </c:xVal>
          <c:yVal>
            <c:numRef>
              <c:f>Calculs!$I$4:$I$1004</c:f>
              <c:numCache>
                <c:formatCode>0.00</c:formatCode>
                <c:ptCount val="1001"/>
                <c:pt idx="0">
                  <c:v>100</c:v>
                </c:pt>
                <c:pt idx="1">
                  <c:v>99.987907450926002</c:v>
                </c:pt>
                <c:pt idx="2">
                  <c:v>100.26796096597947</c:v>
                </c:pt>
                <c:pt idx="3">
                  <c:v>100.8400272144367</c:v>
                </c:pt>
                <c:pt idx="4">
                  <c:v>101.70409852296312</c:v>
                </c:pt>
                <c:pt idx="5">
                  <c:v>102.86029119449942</c:v>
                </c:pt>
                <c:pt idx="6">
                  <c:v>104.16061022823497</c:v>
                </c:pt>
                <c:pt idx="7">
                  <c:v>105.45683884440641</c:v>
                </c:pt>
                <c:pt idx="8">
                  <c:v>106.74895347984139</c:v>
                </c:pt>
                <c:pt idx="9">
                  <c:v>108.03693078028961</c:v>
                </c:pt>
                <c:pt idx="10">
                  <c:v>109.32074760183812</c:v>
                </c:pt>
                <c:pt idx="11">
                  <c:v>110.60038101229509</c:v>
                </c:pt>
                <c:pt idx="12">
                  <c:v>111.87580829254176</c:v>
                </c:pt>
                <c:pt idx="13">
                  <c:v>113.14700693785252</c:v>
                </c:pt>
                <c:pt idx="14">
                  <c:v>114.41395465918251</c:v>
                </c:pt>
                <c:pt idx="15">
                  <c:v>115.67662938442291</c:v>
                </c:pt>
                <c:pt idx="16">
                  <c:v>116.93500925962361</c:v>
                </c:pt>
                <c:pt idx="17">
                  <c:v>118.18907265018318</c:v>
                </c:pt>
                <c:pt idx="18">
                  <c:v>119.43879814200565</c:v>
                </c:pt>
                <c:pt idx="19">
                  <c:v>120.68416454262452</c:v>
                </c:pt>
                <c:pt idx="20">
                  <c:v>121.92515088229335</c:v>
                </c:pt>
                <c:pt idx="21">
                  <c:v>123.16173641504318</c:v>
                </c:pt>
                <c:pt idx="22">
                  <c:v>124.39390061970637</c:v>
                </c:pt>
                <c:pt idx="23">
                  <c:v>125.62162320090707</c:v>
                </c:pt>
                <c:pt idx="24">
                  <c:v>126.84488409001798</c:v>
                </c:pt>
                <c:pt idx="25">
                  <c:v>128.06366344608355</c:v>
                </c:pt>
                <c:pt idx="26">
                  <c:v>129.27794165670929</c:v>
                </c:pt>
                <c:pt idx="27">
                  <c:v>130.48769933891757</c:v>
                </c:pt>
                <c:pt idx="28">
                  <c:v>131.69291733996934</c:v>
                </c:pt>
                <c:pt idx="29">
                  <c:v>132.89357673815215</c:v>
                </c:pt>
                <c:pt idx="30">
                  <c:v>134.08965884353429</c:v>
                </c:pt>
                <c:pt idx="31">
                  <c:v>135.28114519868515</c:v>
                </c:pt>
                <c:pt idx="32">
                  <c:v>136.46801757936154</c:v>
                </c:pt>
                <c:pt idx="33">
                  <c:v>137.65025799516033</c:v>
                </c:pt>
                <c:pt idx="34">
                  <c:v>138.8278486901373</c:v>
                </c:pt>
                <c:pt idx="35">
                  <c:v>140.00077214339203</c:v>
                </c:pt>
                <c:pt idx="36">
                  <c:v>141.16901106961913</c:v>
                </c:pt>
                <c:pt idx="37">
                  <c:v>142.33254841962599</c:v>
                </c:pt>
                <c:pt idx="38">
                  <c:v>143.49136738081657</c:v>
                </c:pt>
                <c:pt idx="39">
                  <c:v>144.64545137764165</c:v>
                </c:pt>
                <c:pt idx="40">
                  <c:v>145.79478407201606</c:v>
                </c:pt>
                <c:pt idx="41">
                  <c:v>146.93934936370189</c:v>
                </c:pt>
                <c:pt idx="42">
                  <c:v>148.07913139065886</c:v>
                </c:pt>
                <c:pt idx="43">
                  <c:v>149.21411452936124</c:v>
                </c:pt>
                <c:pt idx="44">
                  <c:v>150.34428339508185</c:v>
                </c:pt>
                <c:pt idx="45">
                  <c:v>151.469622842143</c:v>
                </c:pt>
                <c:pt idx="46">
                  <c:v>152.59011796413463</c:v>
                </c:pt>
                <c:pt idx="47">
                  <c:v>153.70575409409983</c:v>
                </c:pt>
                <c:pt idx="48">
                  <c:v>154.81651680468764</c:v>
                </c:pt>
                <c:pt idx="49">
                  <c:v>155.92239190827368</c:v>
                </c:pt>
                <c:pt idx="50">
                  <c:v>157.02336545704827</c:v>
                </c:pt>
                <c:pt idx="51">
                  <c:v>158.12021197637063</c:v>
                </c:pt>
                <c:pt idx="52">
                  <c:v>159.21370671812457</c:v>
                </c:pt>
                <c:pt idx="53">
                  <c:v>160.30383630997781</c:v>
                </c:pt>
                <c:pt idx="54">
                  <c:v>161.39058753953472</c:v>
                </c:pt>
                <c:pt idx="55">
                  <c:v>162.47394735473844</c:v>
                </c:pt>
                <c:pt idx="56">
                  <c:v>163.55390286425359</c:v>
                </c:pt>
                <c:pt idx="57">
                  <c:v>164.63044133782878</c:v>
                </c:pt>
                <c:pt idx="58">
                  <c:v>165.70355020663962</c:v>
                </c:pt>
                <c:pt idx="59">
                  <c:v>166.77321706361192</c:v>
                </c:pt>
                <c:pt idx="60">
                  <c:v>167.83942966372513</c:v>
                </c:pt>
                <c:pt idx="61">
                  <c:v>168.90217592429642</c:v>
                </c:pt>
                <c:pt idx="62">
                  <c:v>169.96144392524494</c:v>
                </c:pt>
                <c:pt idx="63">
                  <c:v>171.01722190933643</c:v>
                </c:pt>
                <c:pt idx="64">
                  <c:v>172.06949828240889</c:v>
                </c:pt>
                <c:pt idx="65">
                  <c:v>173.1182616135782</c:v>
                </c:pt>
                <c:pt idx="66">
                  <c:v>174.16350063542481</c:v>
                </c:pt>
                <c:pt idx="67">
                  <c:v>175.20520424416114</c:v>
                </c:pt>
                <c:pt idx="68">
                  <c:v>176.24336149977947</c:v>
                </c:pt>
                <c:pt idx="69">
                  <c:v>177.27796162618117</c:v>
                </c:pt>
                <c:pt idx="70">
                  <c:v>178.30899401128653</c:v>
                </c:pt>
                <c:pt idx="71">
                  <c:v>179.33644820712573</c:v>
                </c:pt>
                <c:pt idx="72">
                  <c:v>180.36031392991109</c:v>
                </c:pt>
                <c:pt idx="73">
                  <c:v>181.38058106009026</c:v>
                </c:pt>
                <c:pt idx="74">
                  <c:v>182.39723964238112</c:v>
                </c:pt>
                <c:pt idx="75">
                  <c:v>183.41027988578767</c:v>
                </c:pt>
                <c:pt idx="76">
                  <c:v>184.41969216359783</c:v>
                </c:pt>
                <c:pt idx="77">
                  <c:v>185.42546701336244</c:v>
                </c:pt>
                <c:pt idx="78">
                  <c:v>186.42759513685664</c:v>
                </c:pt>
                <c:pt idx="79">
                  <c:v>187.42606740002236</c:v>
                </c:pt>
                <c:pt idx="80">
                  <c:v>188.42087483289328</c:v>
                </c:pt>
                <c:pt idx="81">
                  <c:v>189.41200862950171</c:v>
                </c:pt>
                <c:pt idx="82">
                  <c:v>190.3994601477676</c:v>
                </c:pt>
                <c:pt idx="83">
                  <c:v>191.38322090937007</c:v>
                </c:pt>
                <c:pt idx="84">
                  <c:v>192.36328259960118</c:v>
                </c:pt>
                <c:pt idx="85">
                  <c:v>193.33963706720243</c:v>
                </c:pt>
                <c:pt idx="86">
                  <c:v>194.31227632418393</c:v>
                </c:pt>
                <c:pt idx="87">
                  <c:v>195.28119254562648</c:v>
                </c:pt>
                <c:pt idx="88">
                  <c:v>196.24637806946643</c:v>
                </c:pt>
                <c:pt idx="89">
                  <c:v>197.20782539626404</c:v>
                </c:pt>
                <c:pt idx="90">
                  <c:v>198.16552718895477</c:v>
                </c:pt>
                <c:pt idx="91">
                  <c:v>199.11947627258402</c:v>
                </c:pt>
                <c:pt idx="92">
                  <c:v>200.06966563402585</c:v>
                </c:pt>
                <c:pt idx="93">
                  <c:v>201.01608842168488</c:v>
                </c:pt>
                <c:pt idx="94">
                  <c:v>201.95873794518229</c:v>
                </c:pt>
                <c:pt idx="95">
                  <c:v>202.89760767502602</c:v>
                </c:pt>
                <c:pt idx="96">
                  <c:v>203.83269124226484</c:v>
                </c:pt>
                <c:pt idx="97">
                  <c:v>204.76398243812699</c:v>
                </c:pt>
                <c:pt idx="98">
                  <c:v>205.69147521364317</c:v>
                </c:pt>
                <c:pt idx="99">
                  <c:v>206.61516367925441</c:v>
                </c:pt>
                <c:pt idx="100">
                  <c:v>207.53504210440451</c:v>
                </c:pt>
                <c:pt idx="101">
                  <c:v>208.45073742498454</c:v>
                </c:pt>
                <c:pt idx="102">
                  <c:v>209.36187683083628</c:v>
                </c:pt>
                <c:pt idx="103">
                  <c:v>210.26845575372269</c:v>
                </c:pt>
                <c:pt idx="104">
                  <c:v>211.1704698138939</c:v>
                </c:pt>
                <c:pt idx="105">
                  <c:v>212.06791481929648</c:v>
                </c:pt>
                <c:pt idx="106">
                  <c:v>212.96078676476594</c:v>
                </c:pt>
                <c:pt idx="107">
                  <c:v>213.8490818312026</c:v>
                </c:pt>
                <c:pt idx="108">
                  <c:v>214.73279638473099</c:v>
                </c:pt>
                <c:pt idx="109">
                  <c:v>215.61192697584363</c:v>
                </c:pt>
                <c:pt idx="110">
                  <c:v>216.48647033852822</c:v>
                </c:pt>
                <c:pt idx="111">
                  <c:v>217.35642338938015</c:v>
                </c:pt>
                <c:pt idx="112">
                  <c:v>218.2217832266993</c:v>
                </c:pt>
                <c:pt idx="113">
                  <c:v>219.08254712957179</c:v>
                </c:pt>
                <c:pt idx="114">
                  <c:v>219.93871255693728</c:v>
                </c:pt>
                <c:pt idx="115">
                  <c:v>220.79027714664173</c:v>
                </c:pt>
                <c:pt idx="116">
                  <c:v>221.63723871447598</c:v>
                </c:pt>
                <c:pt idx="117">
                  <c:v>222.47959525320056</c:v>
                </c:pt>
                <c:pt idx="118">
                  <c:v>223.31734493155659</c:v>
                </c:pt>
                <c:pt idx="119">
                  <c:v>224.15048609326377</c:v>
                </c:pt>
                <c:pt idx="120">
                  <c:v>224.97901725600508</c:v>
                </c:pt>
                <c:pt idx="121">
                  <c:v>225.80293711039869</c:v>
                </c:pt>
                <c:pt idx="122">
                  <c:v>226.62224451895744</c:v>
                </c:pt>
                <c:pt idx="123">
                  <c:v>227.43693851503622</c:v>
                </c:pt>
                <c:pt idx="124">
                  <c:v>228.24701830176704</c:v>
                </c:pt>
                <c:pt idx="125">
                  <c:v>229.05248325098282</c:v>
                </c:pt>
                <c:pt idx="126">
                  <c:v>229.85333290212969</c:v>
                </c:pt>
                <c:pt idx="127">
                  <c:v>230.64956696116806</c:v>
                </c:pt>
                <c:pt idx="128">
                  <c:v>231.44118529946294</c:v>
                </c:pt>
                <c:pt idx="129">
                  <c:v>232.22818795266366</c:v>
                </c:pt>
                <c:pt idx="130">
                  <c:v>233.01057511957336</c:v>
                </c:pt>
                <c:pt idx="131">
                  <c:v>233.78834716100852</c:v>
                </c:pt>
                <c:pt idx="132">
                  <c:v>234.5615045986485</c:v>
                </c:pt>
                <c:pt idx="133">
                  <c:v>235.33004811387607</c:v>
                </c:pt>
                <c:pt idx="134">
                  <c:v>236.0939785466081</c:v>
                </c:pt>
                <c:pt idx="135">
                  <c:v>236.85329689411807</c:v>
                </c:pt>
                <c:pt idx="136">
                  <c:v>237.60800430984935</c:v>
                </c:pt>
                <c:pt idx="137">
                  <c:v>238.35810210222033</c:v>
                </c:pt>
                <c:pt idx="138">
                  <c:v>239.10359173342161</c:v>
                </c:pt>
                <c:pt idx="139">
                  <c:v>239.84447481820493</c:v>
                </c:pt>
                <c:pt idx="140">
                  <c:v>240.5807531226649</c:v>
                </c:pt>
                <c:pt idx="141">
                  <c:v>241.31242856301327</c:v>
                </c:pt>
                <c:pt idx="142">
                  <c:v>242.03950320434609</c:v>
                </c:pt>
                <c:pt idx="143">
                  <c:v>242.76197925940426</c:v>
                </c:pt>
                <c:pt idx="144">
                  <c:v>243.47985908732736</c:v>
                </c:pt>
                <c:pt idx="145">
                  <c:v>244.19314519240137</c:v>
                </c:pt>
                <c:pt idx="146">
                  <c:v>244.9018402228003</c:v>
                </c:pt>
                <c:pt idx="147">
                  <c:v>245.60594696932213</c:v>
                </c:pt>
                <c:pt idx="148">
                  <c:v>246.30546836411912</c:v>
                </c:pt>
                <c:pt idx="149">
                  <c:v>247.00040747942302</c:v>
                </c:pt>
                <c:pt idx="150">
                  <c:v>247.69076752626538</c:v>
                </c:pt>
                <c:pt idx="151">
                  <c:v>248.37667820378121</c:v>
                </c:pt>
                <c:pt idx="152">
                  <c:v>249.05826920641204</c:v>
                </c:pt>
                <c:pt idx="153">
                  <c:v>249.73554371617027</c:v>
                </c:pt>
                <c:pt idx="154">
                  <c:v>250.40850504058236</c:v>
                </c:pt>
                <c:pt idx="155">
                  <c:v>251.07715661151673</c:v>
                </c:pt>
                <c:pt idx="156">
                  <c:v>251.74150198400815</c:v>
                </c:pt>
                <c:pt idx="157">
                  <c:v>252.40154483507882</c:v>
                </c:pt>
                <c:pt idx="158">
                  <c:v>253.05728896255647</c:v>
                </c:pt>
                <c:pt idx="159">
                  <c:v>253.7087382838892</c:v>
                </c:pt>
                <c:pt idx="160">
                  <c:v>254.35589683495826</c:v>
                </c:pt>
                <c:pt idx="161">
                  <c:v>254.99876876888757</c:v>
                </c:pt>
                <c:pt idx="162">
                  <c:v>255.6373583548517</c:v>
                </c:pt>
                <c:pt idx="163">
                  <c:v>256.27166997688141</c:v>
                </c:pt>
                <c:pt idx="164">
                  <c:v>256.90170813266718</c:v>
                </c:pt>
                <c:pt idx="165">
                  <c:v>257.52747743236142</c:v>
                </c:pt>
                <c:pt idx="166">
                  <c:v>258.1489825973789</c:v>
                </c:pt>
                <c:pt idx="167">
                  <c:v>258.76622845919616</c:v>
                </c:pt>
                <c:pt idx="168">
                  <c:v>259.37921995814946</c:v>
                </c:pt>
                <c:pt idx="169">
                  <c:v>259.98796214223211</c:v>
                </c:pt>
                <c:pt idx="170">
                  <c:v>260.59246016589128</c:v>
                </c:pt>
                <c:pt idx="171">
                  <c:v>261.19271928882353</c:v>
                </c:pt>
                <c:pt idx="172">
                  <c:v>261.78874487477066</c:v>
                </c:pt>
                <c:pt idx="173">
                  <c:v>262.38054239031527</c:v>
                </c:pt>
                <c:pt idx="174">
                  <c:v>262.9681174036761</c:v>
                </c:pt>
                <c:pt idx="175">
                  <c:v>263.55147558350382</c:v>
                </c:pt>
                <c:pt idx="176">
                  <c:v>264.13062269767676</c:v>
                </c:pt>
                <c:pt idx="177">
                  <c:v>264.70556461209782</c:v>
                </c:pt>
                <c:pt idx="178">
                  <c:v>265.2763072894914</c:v>
                </c:pt>
                <c:pt idx="179">
                  <c:v>265.84285678820186</c:v>
                </c:pt>
                <c:pt idx="180">
                  <c:v>266.40521926099217</c:v>
                </c:pt>
                <c:pt idx="181">
                  <c:v>266.96340095384488</c:v>
                </c:pt>
                <c:pt idx="182">
                  <c:v>267.51740820476317</c:v>
                </c:pt>
                <c:pt idx="183">
                  <c:v>268.06724744257463</c:v>
                </c:pt>
                <c:pt idx="184">
                  <c:v>268.61292518573572</c:v>
                </c:pt>
                <c:pt idx="185">
                  <c:v>269.15444804113878</c:v>
                </c:pt>
                <c:pt idx="186">
                  <c:v>269.6918227029206</c:v>
                </c:pt>
                <c:pt idx="187">
                  <c:v>270.2250559512733</c:v>
                </c:pt>
                <c:pt idx="188">
                  <c:v>270.75415465125747</c:v>
                </c:pt>
                <c:pt idx="189">
                  <c:v>271.27912575161764</c:v>
                </c:pt>
                <c:pt idx="190">
                  <c:v>271.79997628360047</c:v>
                </c:pt>
                <c:pt idx="191">
                  <c:v>272.31671335977552</c:v>
                </c:pt>
                <c:pt idx="192">
                  <c:v>272.82934417285878</c:v>
                </c:pt>
                <c:pt idx="193">
                  <c:v>273.33787599453973</c:v>
                </c:pt>
                <c:pt idx="194">
                  <c:v>273.84231617431061</c:v>
                </c:pt>
                <c:pt idx="195">
                  <c:v>274.34267213829969</c:v>
                </c:pt>
                <c:pt idx="196">
                  <c:v>274.83895138810766</c:v>
                </c:pt>
                <c:pt idx="197">
                  <c:v>275.33116149964758</c:v>
                </c:pt>
                <c:pt idx="198">
                  <c:v>275.81931012198822</c:v>
                </c:pt>
                <c:pt idx="199">
                  <c:v>276.30340497620142</c:v>
                </c:pt>
                <c:pt idx="200">
                  <c:v>276.78345385421335</c:v>
                </c:pt>
                <c:pt idx="201">
                  <c:v>277.25946461765955</c:v>
                </c:pt>
                <c:pt idx="202">
                  <c:v>277.73144519674412</c:v>
                </c:pt>
                <c:pt idx="203">
                  <c:v>278.19940358910344</c:v>
                </c:pt>
                <c:pt idx="204">
                  <c:v>278.66334785867366</c:v>
                </c:pt>
                <c:pt idx="205">
                  <c:v>279.12328613456305</c:v>
                </c:pt>
                <c:pt idx="206">
                  <c:v>279.57922660992898</c:v>
                </c:pt>
                <c:pt idx="207">
                  <c:v>280.03117754085901</c:v>
                </c:pt>
                <c:pt idx="208">
                  <c:v>280.47914724525725</c:v>
                </c:pt>
                <c:pt idx="209">
                  <c:v>280.92314410173566</c:v>
                </c:pt>
                <c:pt idx="210">
                  <c:v>281.36317654850944</c:v>
                </c:pt>
                <c:pt idx="211">
                  <c:v>281.79925308229849</c:v>
                </c:pt>
                <c:pt idx="212">
                  <c:v>282.23138225723375</c:v>
                </c:pt>
                <c:pt idx="213">
                  <c:v>282.65957268376792</c:v>
                </c:pt>
                <c:pt idx="214">
                  <c:v>283.08383302759296</c:v>
                </c:pt>
                <c:pt idx="215">
                  <c:v>283.50417200856162</c:v>
                </c:pt>
                <c:pt idx="216">
                  <c:v>283.9205983996153</c:v>
                </c:pt>
                <c:pt idx="217">
                  <c:v>284.33312102571728</c:v>
                </c:pt>
                <c:pt idx="218">
                  <c:v>284.7417487627913</c:v>
                </c:pt>
                <c:pt idx="219">
                  <c:v>285.14649053666648</c:v>
                </c:pt>
                <c:pt idx="220">
                  <c:v>285.54735532202733</c:v>
                </c:pt>
                <c:pt idx="221">
                  <c:v>285.94435214137025</c:v>
                </c:pt>
                <c:pt idx="222">
                  <c:v>286.3374900639655</c:v>
                </c:pt>
                <c:pt idx="223">
                  <c:v>286.72677820482551</c:v>
                </c:pt>
                <c:pt idx="224">
                  <c:v>287.11222572367939</c:v>
                </c:pt>
                <c:pt idx="225">
                  <c:v>287.49384182395278</c:v>
                </c:pt>
                <c:pt idx="226">
                  <c:v>287.87163575175532</c:v>
                </c:pt>
                <c:pt idx="227">
                  <c:v>288.24561679487289</c:v>
                </c:pt>
                <c:pt idx="228">
                  <c:v>288.61579428176731</c:v>
                </c:pt>
                <c:pt idx="229">
                  <c:v>288.98217758058183</c:v>
                </c:pt>
                <c:pt idx="230">
                  <c:v>289.34477609815332</c:v>
                </c:pt>
                <c:pt idx="231">
                  <c:v>289.70359927903075</c:v>
                </c:pt>
                <c:pt idx="232">
                  <c:v>290.05865660450058</c:v>
                </c:pt>
                <c:pt idx="233">
                  <c:v>290.40995759161865</c:v>
                </c:pt>
                <c:pt idx="234">
                  <c:v>290.75751179224801</c:v>
                </c:pt>
                <c:pt idx="235">
                  <c:v>291.10132879210494</c:v>
                </c:pt>
                <c:pt idx="236">
                  <c:v>291.44141820981008</c:v>
                </c:pt>
                <c:pt idx="237">
                  <c:v>291.77778969594738</c:v>
                </c:pt>
                <c:pt idx="238">
                  <c:v>292.11045293212993</c:v>
                </c:pt>
                <c:pt idx="239">
                  <c:v>292.43941763007155</c:v>
                </c:pt>
                <c:pt idx="240">
                  <c:v>292.76469353066693</c:v>
                </c:pt>
                <c:pt idx="241">
                  <c:v>293.08629040307716</c:v>
                </c:pt>
                <c:pt idx="242">
                  <c:v>293.40421804382322</c:v>
                </c:pt>
                <c:pt idx="243">
                  <c:v>293.71848627588605</c:v>
                </c:pt>
                <c:pt idx="244">
                  <c:v>294.02910494781389</c:v>
                </c:pt>
                <c:pt idx="245">
                  <c:v>294.33608393283635</c:v>
                </c:pt>
                <c:pt idx="246">
                  <c:v>294.63943312798591</c:v>
                </c:pt>
                <c:pt idx="247">
                  <c:v>294.93916245322646</c:v>
                </c:pt>
                <c:pt idx="248">
                  <c:v>295.23528185058876</c:v>
                </c:pt>
                <c:pt idx="249">
                  <c:v>295.52780128331318</c:v>
                </c:pt>
                <c:pt idx="250">
                  <c:v>295.81673073499979</c:v>
                </c:pt>
                <c:pt idx="251">
                  <c:v>296.10152518033522</c:v>
                </c:pt>
                <c:pt idx="252">
                  <c:v>296.3816409310117</c:v>
                </c:pt>
                <c:pt idx="253">
                  <c:v>296.65709121526368</c:v>
                </c:pt>
                <c:pt idx="254">
                  <c:v>296.92788929042456</c:v>
                </c:pt>
                <c:pt idx="255">
                  <c:v>297.19404844159169</c:v>
                </c:pt>
                <c:pt idx="256">
                  <c:v>297.45558198030409</c:v>
                </c:pt>
                <c:pt idx="257">
                  <c:v>297.71250324323165</c:v>
                </c:pt>
                <c:pt idx="258">
                  <c:v>297.96482559087718</c:v>
                </c:pt>
                <c:pt idx="259">
                  <c:v>298.21256240629043</c:v>
                </c:pt>
                <c:pt idx="260">
                  <c:v>298.45572709379451</c:v>
                </c:pt>
                <c:pt idx="261">
                  <c:v>298.69433307772437</c:v>
                </c:pt>
                <c:pt idx="262">
                  <c:v>298.92839380117806</c:v>
                </c:pt>
                <c:pt idx="263">
                  <c:v>299.15792272478018</c:v>
                </c:pt>
                <c:pt idx="264">
                  <c:v>299.38293332545715</c:v>
                </c:pt>
                <c:pt idx="265">
                  <c:v>299.60343909522589</c:v>
                </c:pt>
                <c:pt idx="266">
                  <c:v>299.81945353999379</c:v>
                </c:pt>
                <c:pt idx="267">
                  <c:v>300.03099017837178</c:v>
                </c:pt>
                <c:pt idx="268">
                  <c:v>300.23806254049953</c:v>
                </c:pt>
                <c:pt idx="269">
                  <c:v>300.44068416688299</c:v>
                </c:pt>
                <c:pt idx="270">
                  <c:v>300.63886860724426</c:v>
                </c:pt>
                <c:pt idx="271">
                  <c:v>300.83262941938415</c:v>
                </c:pt>
                <c:pt idx="272">
                  <c:v>301.02198016805653</c:v>
                </c:pt>
                <c:pt idx="273">
                  <c:v>301.20693442385556</c:v>
                </c:pt>
                <c:pt idx="274">
                  <c:v>301.38750576211493</c:v>
                </c:pt>
                <c:pt idx="275">
                  <c:v>301.56370776181956</c:v>
                </c:pt>
                <c:pt idx="276">
                  <c:v>301.73555400452949</c:v>
                </c:pt>
                <c:pt idx="277">
                  <c:v>301.90305807331612</c:v>
                </c:pt>
                <c:pt idx="278">
                  <c:v>302.06623355171075</c:v>
                </c:pt>
                <c:pt idx="279">
                  <c:v>302.22509402266525</c:v>
                </c:pt>
                <c:pt idx="280">
                  <c:v>302.37965306752494</c:v>
                </c:pt>
                <c:pt idx="281">
                  <c:v>302.52992426501362</c:v>
                </c:pt>
                <c:pt idx="282">
                  <c:v>302.67592119023101</c:v>
                </c:pt>
                <c:pt idx="283">
                  <c:v>302.81765741366195</c:v>
                </c:pt>
                <c:pt idx="284">
                  <c:v>302.95514650019766</c:v>
                </c:pt>
                <c:pt idx="285">
                  <c:v>303.08840200816951</c:v>
                </c:pt>
                <c:pt idx="286">
                  <c:v>303.21743748839447</c:v>
                </c:pt>
                <c:pt idx="287">
                  <c:v>303.34226648323232</c:v>
                </c:pt>
                <c:pt idx="288">
                  <c:v>303.46290252565518</c:v>
                </c:pt>
                <c:pt idx="289">
                  <c:v>303.5793591383287</c:v>
                </c:pt>
                <c:pt idx="290">
                  <c:v>303.69164983270542</c:v>
                </c:pt>
                <c:pt idx="291">
                  <c:v>303.79978810812912</c:v>
                </c:pt>
                <c:pt idx="292">
                  <c:v>303.90378745095205</c:v>
                </c:pt>
                <c:pt idx="293">
                  <c:v>304.00366133366293</c:v>
                </c:pt>
                <c:pt idx="294">
                  <c:v>304.09942321402696</c:v>
                </c:pt>
                <c:pt idx="295">
                  <c:v>304.19108653423746</c:v>
                </c:pt>
                <c:pt idx="296">
                  <c:v>304.27866472007918</c:v>
                </c:pt>
                <c:pt idx="297">
                  <c:v>304.36217118010273</c:v>
                </c:pt>
                <c:pt idx="298">
                  <c:v>304.43548496846967</c:v>
                </c:pt>
                <c:pt idx="299">
                  <c:v>304.49250291099628</c:v>
                </c:pt>
                <c:pt idx="300">
                  <c:v>304.53327900590864</c:v>
                </c:pt>
                <c:pt idx="301">
                  <c:v>304.55786745398456</c:v>
                </c:pt>
                <c:pt idx="302">
                  <c:v>304.56632264466219</c:v>
                </c:pt>
                <c:pt idx="303">
                  <c:v>304.55869914231278</c:v>
                </c:pt>
                <c:pt idx="304">
                  <c:v>304.53505167267878</c:v>
                </c:pt>
                <c:pt idx="305">
                  <c:v>304.49543510947865</c:v>
                </c:pt>
                <c:pt idx="306">
                  <c:v>304.43990446117959</c:v>
                </c:pt>
                <c:pt idx="307">
                  <c:v>304.36851485793756</c:v>
                </c:pt>
                <c:pt idx="308">
                  <c:v>304.2813215387078</c:v>
                </c:pt>
                <c:pt idx="309">
                  <c:v>304.17837983852365</c:v>
                </c:pt>
                <c:pt idx="310">
                  <c:v>304.05974517594706</c:v>
                </c:pt>
                <c:pt idx="311">
                  <c:v>303.92547304068853</c:v>
                </c:pt>
                <c:pt idx="312">
                  <c:v>303.7756189813993</c:v>
                </c:pt>
                <c:pt idx="313">
                  <c:v>303.61023859363445</c:v>
                </c:pt>
                <c:pt idx="314">
                  <c:v>303.42938750798743</c:v>
                </c:pt>
                <c:pt idx="315">
                  <c:v>303.23312137839707</c:v>
                </c:pt>
                <c:pt idx="316">
                  <c:v>303.02149587062542</c:v>
                </c:pt>
                <c:pt idx="317">
                  <c:v>302.79456665090794</c:v>
                </c:pt>
                <c:pt idx="318">
                  <c:v>302.55238937477543</c:v>
                </c:pt>
                <c:pt idx="319">
                  <c:v>302.29501967604676</c:v>
                </c:pt>
                <c:pt idx="320">
                  <c:v>302.02251315599301</c:v>
                </c:pt>
                <c:pt idx="321">
                  <c:v>301.73737040395827</c:v>
                </c:pt>
                <c:pt idx="322">
                  <c:v>301.44208311230494</c:v>
                </c:pt>
                <c:pt idx="323">
                  <c:v>301.13668797058619</c:v>
                </c:pt>
                <c:pt idx="324">
                  <c:v>300.82122155090707</c:v>
                </c:pt>
                <c:pt idx="325">
                  <c:v>300.49572030395336</c:v>
                </c:pt>
                <c:pt idx="326">
                  <c:v>300.16022055509364</c:v>
                </c:pt>
                <c:pt idx="327">
                  <c:v>299.81475850055637</c:v>
                </c:pt>
                <c:pt idx="328">
                  <c:v>299.45937020367865</c:v>
                </c:pt>
                <c:pt idx="329">
                  <c:v>299.09409159122879</c:v>
                </c:pt>
                <c:pt idx="330">
                  <c:v>298.71895844979917</c:v>
                </c:pt>
                <c:pt idx="331">
                  <c:v>298.33400642227139</c:v>
                </c:pt>
                <c:pt idx="332">
                  <c:v>297.9392710043511</c:v>
                </c:pt>
                <c:pt idx="333">
                  <c:v>297.53478754117276</c:v>
                </c:pt>
                <c:pt idx="334">
                  <c:v>297.12059122397324</c:v>
                </c:pt>
                <c:pt idx="335">
                  <c:v>296.69671708683381</c:v>
                </c:pt>
                <c:pt idx="336">
                  <c:v>296.26320000348977</c:v>
                </c:pt>
                <c:pt idx="337">
                  <c:v>295.82007468420653</c:v>
                </c:pt>
                <c:pt idx="338">
                  <c:v>295.36737567272229</c:v>
                </c:pt>
                <c:pt idx="339">
                  <c:v>294.90513734325572</c:v>
                </c:pt>
                <c:pt idx="340">
                  <c:v>294.43339389757841</c:v>
                </c:pt>
                <c:pt idx="341">
                  <c:v>293.9521793621509</c:v>
                </c:pt>
                <c:pt idx="342">
                  <c:v>293.46152758532236</c:v>
                </c:pt>
                <c:pt idx="343">
                  <c:v>292.96147223459195</c:v>
                </c:pt>
                <c:pt idx="344">
                  <c:v>292.45204679393231</c:v>
                </c:pt>
                <c:pt idx="345">
                  <c:v>291.93328456117348</c:v>
                </c:pt>
                <c:pt idx="346">
                  <c:v>291.40521864544695</c:v>
                </c:pt>
                <c:pt idx="347">
                  <c:v>290.8678819646891</c:v>
                </c:pt>
                <c:pt idx="348">
                  <c:v>290.32157122934223</c:v>
                </c:pt>
                <c:pt idx="349">
                  <c:v>289.76658189092012</c:v>
                </c:pt>
                <c:pt idx="350">
                  <c:v>289.20294412661246</c:v>
                </c:pt>
                <c:pt idx="351">
                  <c:v>288.6306879195339</c:v>
                </c:pt>
                <c:pt idx="352">
                  <c:v>288.04984305688606</c:v>
                </c:pt>
                <c:pt idx="353">
                  <c:v>287.46043912816634</c:v>
                </c:pt>
                <c:pt idx="354">
                  <c:v>286.86250552342267</c:v>
                </c:pt>
                <c:pt idx="355">
                  <c:v>286.25607143155486</c:v>
                </c:pt>
                <c:pt idx="356">
                  <c:v>285.64116583866019</c:v>
                </c:pt>
                <c:pt idx="357">
                  <c:v>285.01781752642347</c:v>
                </c:pt>
                <c:pt idx="358">
                  <c:v>284.38605507055081</c:v>
                </c:pt>
                <c:pt idx="359">
                  <c:v>283.74590683924623</c:v>
                </c:pt>
                <c:pt idx="360">
                  <c:v>283.1028916324891</c:v>
                </c:pt>
                <c:pt idx="361">
                  <c:v>282.46250531355054</c:v>
                </c:pt>
                <c:pt idx="362">
                  <c:v>281.82473042848352</c:v>
                </c:pt>
                <c:pt idx="363">
                  <c:v>281.1895496786538</c:v>
                </c:pt>
                <c:pt idx="364">
                  <c:v>280.55694591900652</c:v>
                </c:pt>
                <c:pt idx="365">
                  <c:v>279.92690215635565</c:v>
                </c:pt>
                <c:pt idx="366">
                  <c:v>279.29940154769639</c:v>
                </c:pt>
                <c:pt idx="367">
                  <c:v>278.67442739854033</c:v>
                </c:pt>
                <c:pt idx="368">
                  <c:v>278.05196316127251</c:v>
                </c:pt>
                <c:pt idx="369">
                  <c:v>277.43199243353024</c:v>
                </c:pt>
                <c:pt idx="370">
                  <c:v>276.81449895660404</c:v>
                </c:pt>
                <c:pt idx="371">
                  <c:v>276.19946661385893</c:v>
                </c:pt>
                <c:pt idx="372">
                  <c:v>275.58687942917709</c:v>
                </c:pt>
                <c:pt idx="373">
                  <c:v>274.97672156542092</c:v>
                </c:pt>
                <c:pt idx="374">
                  <c:v>274.36897732291612</c:v>
                </c:pt>
                <c:pt idx="375">
                  <c:v>273.76363113795526</c:v>
                </c:pt>
                <c:pt idx="376">
                  <c:v>273.1606675813199</c:v>
                </c:pt>
                <c:pt idx="377">
                  <c:v>272.56007135682302</c:v>
                </c:pt>
                <c:pt idx="378">
                  <c:v>271.96182729986992</c:v>
                </c:pt>
                <c:pt idx="379">
                  <c:v>271.36592037603805</c:v>
                </c:pt>
                <c:pt idx="380">
                  <c:v>270.77233567967482</c:v>
                </c:pt>
                <c:pt idx="381">
                  <c:v>270.18105843251431</c:v>
                </c:pt>
                <c:pt idx="382">
                  <c:v>269.59207398231109</c:v>
                </c:pt>
                <c:pt idx="383">
                  <c:v>269.0053678014923</c:v>
                </c:pt>
                <c:pt idx="384">
                  <c:v>268.42092548582639</c:v>
                </c:pt>
                <c:pt idx="385">
                  <c:v>267.83873275310958</c:v>
                </c:pt>
                <c:pt idx="386">
                  <c:v>267.25877544186875</c:v>
                </c:pt>
                <c:pt idx="387">
                  <c:v>266.68103951008095</c:v>
                </c:pt>
                <c:pt idx="388">
                  <c:v>266.10551103390947</c:v>
                </c:pt>
                <c:pt idx="389">
                  <c:v>265.53217620645557</c:v>
                </c:pt>
                <c:pt idx="390">
                  <c:v>264.96102133652636</c:v>
                </c:pt>
                <c:pt idx="391">
                  <c:v>264.39203284741842</c:v>
                </c:pt>
                <c:pt idx="392">
                  <c:v>263.82519727571622</c:v>
                </c:pt>
                <c:pt idx="393">
                  <c:v>263.26050127010643</c:v>
                </c:pt>
                <c:pt idx="394">
                  <c:v>262.69793159020651</c:v>
                </c:pt>
                <c:pt idx="395">
                  <c:v>262.1374751054085</c:v>
                </c:pt>
                <c:pt idx="396">
                  <c:v>261.57911879373665</c:v>
                </c:pt>
                <c:pt idx="397">
                  <c:v>261.02284974072046</c:v>
                </c:pt>
                <c:pt idx="398">
                  <c:v>260.46865513828055</c:v>
                </c:pt>
                <c:pt idx="399">
                  <c:v>259.91652228362886</c:v>
                </c:pt>
                <c:pt idx="400">
                  <c:v>259.36643857818319</c:v>
                </c:pt>
                <c:pt idx="401">
                  <c:v>253.88603999696193</c:v>
                </c:pt>
                <c:pt idx="402">
                  <c:v>248.60570478927079</c:v>
                </c:pt>
                <c:pt idx="403">
                  <c:v>243.51357826159474</c:v>
                </c:pt>
                <c:pt idx="404">
                  <c:v>238.59873332171065</c:v>
                </c:pt>
                <c:pt idx="405">
                  <c:v>233.85108074702205</c:v>
                </c:pt>
                <c:pt idx="406">
                  <c:v>229.2612897311605</c:v>
                </c:pt>
                <c:pt idx="407">
                  <c:v>224.82071735532693</c:v>
                </c:pt>
                <c:pt idx="408">
                  <c:v>220.52134583147787</c:v>
                </c:pt>
                <c:pt idx="409">
                  <c:v>216.35572653215425</c:v>
                </c:pt>
                <c:pt idx="410">
                  <c:v>212.31692996241887</c:v>
                </c:pt>
                <c:pt idx="411">
                  <c:v>208.39850094777796</c:v>
                </c:pt>
                <c:pt idx="412">
                  <c:v>204.5944184119665</c:v>
                </c:pt>
                <c:pt idx="413">
                  <c:v>200.89905920320953</c:v>
                </c:pt>
                <c:pt idx="414">
                  <c:v>197.30716549958345</c:v>
                </c:pt>
                <c:pt idx="415">
                  <c:v>193.81381538548814</c:v>
                </c:pt>
                <c:pt idx="416">
                  <c:v>190.41439624371574</c:v>
                </c:pt>
                <c:pt idx="417">
                  <c:v>187.10458065258686</c:v>
                </c:pt>
                <c:pt idx="418">
                  <c:v>183.88030451628904</c:v>
                </c:pt>
                <c:pt idx="419">
                  <c:v>180.73774718987119</c:v>
                </c:pt>
                <c:pt idx="420">
                  <c:v>177.67331338913002</c:v>
                </c:pt>
                <c:pt idx="421">
                  <c:v>174.68361670054981</c:v>
                </c:pt>
                <c:pt idx="422">
                  <c:v>171.76546452809032</c:v>
                </c:pt>
                <c:pt idx="423">
                  <c:v>168.91584433243838</c:v>
                </c:pt>
                <c:pt idx="424">
                  <c:v>166.13191103474625</c:v>
                </c:pt>
                <c:pt idx="425">
                  <c:v>163.41097547121487</c:v>
                </c:pt>
                <c:pt idx="426">
                  <c:v>160.75049379743106</c:v>
                </c:pt>
                <c:pt idx="427">
                  <c:v>158.14805775237562</c:v>
                </c:pt>
                <c:pt idx="428">
                  <c:v>155.60138570169724</c:v>
                </c:pt>
                <c:pt idx="429">
                  <c:v>153.10831438836524</c:v>
                </c:pt>
                <c:pt idx="430">
                  <c:v>150.66679132633345</c:v>
                </c:pt>
                <c:pt idx="431">
                  <c:v>148.27486777948729</c:v>
                </c:pt>
                <c:pt idx="432">
                  <c:v>145.93069227402972</c:v>
                </c:pt>
                <c:pt idx="433">
                  <c:v>143.63250459767377</c:v>
                </c:pt>
                <c:pt idx="434">
                  <c:v>141.37863024364361</c:v>
                </c:pt>
                <c:pt idx="435">
                  <c:v>139.16747526160458</c:v>
                </c:pt>
                <c:pt idx="436">
                  <c:v>136.99752148131631</c:v>
                </c:pt>
                <c:pt idx="437">
                  <c:v>134.86732207807862</c:v>
                </c:pt>
                <c:pt idx="438">
                  <c:v>132.7754974519685</c:v>
                </c:pt>
                <c:pt idx="439">
                  <c:v>130.72073139548814</c:v>
                </c:pt>
                <c:pt idx="440">
                  <c:v>128.70176752659302</c:v>
                </c:pt>
                <c:pt idx="441">
                  <c:v>126.71740596617843</c:v>
                </c:pt>
                <c:pt idx="442">
                  <c:v>124.76650024099797</c:v>
                </c:pt>
                <c:pt idx="443">
                  <c:v>122.84795439469461</c:v>
                </c:pt>
                <c:pt idx="444">
                  <c:v>120.96072029116247</c:v>
                </c:pt>
                <c:pt idx="445">
                  <c:v>119.10379509584561</c:v>
                </c:pt>
                <c:pt idx="446">
                  <c:v>117.27621892183528</c:v>
                </c:pt>
                <c:pt idx="447">
                  <c:v>115.47707262876203</c:v>
                </c:pt>
                <c:pt idx="448">
                  <c:v>113.7054757635085</c:v>
                </c:pt>
                <c:pt idx="449">
                  <c:v>111.96058463270262</c:v>
                </c:pt>
                <c:pt idx="450">
                  <c:v>110.24159049779934</c:v>
                </c:pt>
                <c:pt idx="451">
                  <c:v>108.54771788433209</c:v>
                </c:pt>
                <c:pt idx="452">
                  <c:v>106.87822299761868</c:v>
                </c:pt>
                <c:pt idx="453">
                  <c:v>105.23239223784935</c:v>
                </c:pt>
                <c:pt idx="454">
                  <c:v>103.60954080807244</c:v>
                </c:pt>
                <c:pt idx="455">
                  <c:v>102.00901140913119</c:v>
                </c:pt>
                <c:pt idx="456">
                  <c:v>100.43017301609939</c:v>
                </c:pt>
                <c:pt idx="457">
                  <c:v>98.872419731217477</c:v>
                </c:pt>
                <c:pt idx="458">
                  <c:v>97.335169708749149</c:v>
                </c:pt>
                <c:pt idx="459">
                  <c:v>95.817864147564819</c:v>
                </c:pt>
                <c:pt idx="460">
                  <c:v>94.319966347615889</c:v>
                </c:pt>
                <c:pt idx="461">
                  <c:v>92.840960826795737</c:v>
                </c:pt>
                <c:pt idx="462">
                  <c:v>91.380352494992309</c:v>
                </c:pt>
                <c:pt idx="463">
                  <c:v>89.937665882425947</c:v>
                </c:pt>
                <c:pt idx="464">
                  <c:v>88.512444419636566</c:v>
                </c:pt>
                <c:pt idx="465">
                  <c:v>87.104249766739173</c:v>
                </c:pt>
                <c:pt idx="466">
                  <c:v>85.712661189807307</c:v>
                </c:pt>
                <c:pt idx="467">
                  <c:v>84.337274982472792</c:v>
                </c:pt>
                <c:pt idx="468">
                  <c:v>82.977703931048907</c:v>
                </c:pt>
                <c:pt idx="469">
                  <c:v>81.63357682169314</c:v>
                </c:pt>
                <c:pt idx="470">
                  <c:v>80.304537988329344</c:v>
                </c:pt>
                <c:pt idx="471">
                  <c:v>78.990246900245282</c:v>
                </c:pt>
                <c:pt idx="472">
                  <c:v>77.690377788475317</c:v>
                </c:pt>
                <c:pt idx="473">
                  <c:v>76.404619310267748</c:v>
                </c:pt>
                <c:pt idx="474">
                  <c:v>75.132674251125621</c:v>
                </c:pt>
                <c:pt idx="475">
                  <c:v>73.874259264098839</c:v>
                </c:pt>
                <c:pt idx="476">
                  <c:v>72.629104646196055</c:v>
                </c:pt>
                <c:pt idx="477">
                  <c:v>71.396954151977866</c:v>
                </c:pt>
                <c:pt idx="478">
                  <c:v>70.177564844591089</c:v>
                </c:pt>
                <c:pt idx="479">
                  <c:v>68.970706984706581</c:v>
                </c:pt>
                <c:pt idx="480">
                  <c:v>67.77616395803355</c:v>
                </c:pt>
                <c:pt idx="481">
                  <c:v>66.593732242302224</c:v>
                </c:pt>
                <c:pt idx="482">
                  <c:v>65.423221414834984</c:v>
                </c:pt>
                <c:pt idx="483">
                  <c:v>64.264454202066474</c:v>
                </c:pt>
                <c:pt idx="484">
                  <c:v>63.117266572625333</c:v>
                </c:pt>
                <c:pt idx="485">
                  <c:v>61.981507875857154</c:v>
                </c:pt>
                <c:pt idx="486">
                  <c:v>60.857041027950217</c:v>
                </c:pt>
                <c:pt idx="487">
                  <c:v>59.743742748123736</c:v>
                </c:pt>
                <c:pt idx="488">
                  <c:v>58.641503847654192</c:v>
                </c:pt>
                <c:pt idx="489">
                  <c:v>57.550229574848728</c:v>
                </c:pt>
                <c:pt idx="490">
                  <c:v>56.469840019426471</c:v>
                </c:pt>
                <c:pt idx="491">
                  <c:v>55.400270580137658</c:v>
                </c:pt>
                <c:pt idx="492">
                  <c:v>54.341472499836492</c:v>
                </c:pt>
                <c:pt idx="493">
                  <c:v>53.293413472623314</c:v>
                </c:pt>
                <c:pt idx="494">
                  <c:v>52.256078328082417</c:v>
                </c:pt>
                <c:pt idx="495">
                  <c:v>51.229469798057167</c:v>
                </c:pt>
                <c:pt idx="496">
                  <c:v>50.213609371817007</c:v>
                </c:pt>
                <c:pt idx="497">
                  <c:v>49.208538245870109</c:v>
                </c:pt>
                <c:pt idx="498">
                  <c:v>48.21431837504641</c:v>
                </c:pt>
                <c:pt idx="499">
                  <c:v>47.231033631798859</c:v>
                </c:pt>
                <c:pt idx="500">
                  <c:v>46.258791080920538</c:v>
                </c:pt>
                <c:pt idx="501">
                  <c:v>45.297722377017934</c:v>
                </c:pt>
                <c:pt idx="502">
                  <c:v>44.347985292073922</c:v>
                </c:pt>
                <c:pt idx="503">
                  <c:v>43.409765380222836</c:v>
                </c:pt>
                <c:pt idx="504">
                  <c:v>42.48327778637556</c:v>
                </c:pt>
                <c:pt idx="505">
                  <c:v>41.568769204489108</c:v>
                </c:pt>
                <c:pt idx="506">
                  <c:v>40.666519989965145</c:v>
                </c:pt>
                <c:pt idx="507">
                  <c:v>39.77684642875505</c:v>
                </c:pt>
                <c:pt idx="508">
                  <c:v>38.900103163085447</c:v>
                </c:pt>
                <c:pt idx="509">
                  <c:v>38.036685770107439</c:v>
                </c:pt>
                <c:pt idx="510">
                  <c:v>37.187033484987964</c:v>
                </c:pt>
                <c:pt idx="511">
                  <c:v>36.351632053741888</c:v>
                </c:pt>
                <c:pt idx="512">
                  <c:v>35.531016693147905</c:v>
                </c:pt>
                <c:pt idx="513">
                  <c:v>34.725775125071358</c:v>
                </c:pt>
                <c:pt idx="514">
                  <c:v>33.936550640079979</c:v>
                </c:pt>
                <c:pt idx="515">
                  <c:v>33.164045130030189</c:v>
                </c:pt>
                <c:pt idx="516">
                  <c:v>32.409022010997283</c:v>
                </c:pt>
                <c:pt idx="517">
                  <c:v>31.672308936272817</c:v>
                </c:pt>
                <c:pt idx="518">
                  <c:v>30.954800174052178</c:v>
                </c:pt>
                <c:pt idx="519">
                  <c:v>30.257458496018838</c:v>
                </c:pt>
                <c:pt idx="520">
                  <c:v>29.581316391790462</c:v>
                </c:pt>
                <c:pt idx="521">
                  <c:v>28.927476391131684</c:v>
                </c:pt>
                <c:pt idx="522">
                  <c:v>28.29711024264591</c:v>
                </c:pt>
                <c:pt idx="523">
                  <c:v>27.691456666891128</c:v>
                </c:pt>
                <c:pt idx="524">
                  <c:v>27.11181737711048</c:v>
                </c:pt>
                <c:pt idx="525">
                  <c:v>26.559551046749132</c:v>
                </c:pt>
                <c:pt idx="526">
                  <c:v>26.036064905470184</c:v>
                </c:pt>
                <c:pt idx="527">
                  <c:v>25.542803671176276</c:v>
                </c:pt>
                <c:pt idx="528">
                  <c:v>25.081235581605974</c:v>
                </c:pt>
                <c:pt idx="529">
                  <c:v>24.652835381826048</c:v>
                </c:pt>
                <c:pt idx="530">
                  <c:v>24.259064257879235</c:v>
                </c:pt>
                <c:pt idx="531">
                  <c:v>23.901346882869007</c:v>
                </c:pt>
                <c:pt idx="532">
                  <c:v>23.581045955358842</c:v>
                </c:pt>
                <c:pt idx="533">
                  <c:v>23.299434849636839</c:v>
                </c:pt>
                <c:pt idx="534">
                  <c:v>23.057669243867849</c:v>
                </c:pt>
                <c:pt idx="535">
                  <c:v>22.856758818906918</c:v>
                </c:pt>
                <c:pt idx="536">
                  <c:v>22.697540296213862</c:v>
                </c:pt>
                <c:pt idx="537">
                  <c:v>22.580653175997085</c:v>
                </c:pt>
                <c:pt idx="538">
                  <c:v>22.506519519835731</c:v>
                </c:pt>
                <c:pt idx="539">
                  <c:v>22.475328980517624</c:v>
                </c:pt>
                <c:pt idx="540">
                  <c:v>22.487030017194659</c:v>
                </c:pt>
                <c:pt idx="541">
                  <c:v>22.541327866519474</c:v>
                </c:pt>
                <c:pt idx="542">
                  <c:v>22.637689407646814</c:v>
                </c:pt>
                <c:pt idx="543">
                  <c:v>22.775354609800193</c:v>
                </c:pt>
                <c:pt idx="544">
                  <c:v>22.953353837441217</c:v>
                </c:pt>
                <c:pt idx="545">
                  <c:v>23.170529955578935</c:v>
                </c:pt>
                <c:pt idx="546">
                  <c:v>23.425563958096575</c:v>
                </c:pt>
                <c:pt idx="547">
                  <c:v>23.717002748557739</c:v>
                </c:pt>
                <c:pt idx="548">
                  <c:v>24.043287730717392</c:v>
                </c:pt>
                <c:pt idx="549">
                  <c:v>24.402782994799789</c:v>
                </c:pt>
                <c:pt idx="550">
                  <c:v>24.793802086067419</c:v>
                </c:pt>
                <c:pt idx="551">
                  <c:v>25.214632581776836</c:v>
                </c:pt>
                <c:pt idx="552">
                  <c:v>25.663557951126563</c:v>
                </c:pt>
                <c:pt idx="553">
                  <c:v>26.138876406083259</c:v>
                </c:pt>
                <c:pt idx="554">
                  <c:v>26.638916652557871</c:v>
                </c:pt>
                <c:pt idx="555">
                  <c:v>27.162050612511379</c:v>
                </c:pt>
                <c:pt idx="556">
                  <c:v>27.706703305938461</c:v>
                </c:pt>
                <c:pt idx="557">
                  <c:v>28.271360159828433</c:v>
                </c:pt>
                <c:pt idx="558">
                  <c:v>28.854572054626917</c:v>
                </c:pt>
                <c:pt idx="559">
                  <c:v>29.454958434297271</c:v>
                </c:pt>
                <c:pt idx="560">
                  <c:v>30.071208800882975</c:v>
                </c:pt>
                <c:pt idx="561">
                  <c:v>30.702082894992685</c:v>
                </c:pt>
                <c:pt idx="562">
                  <c:v>31.34640983535364</c:v>
                </c:pt>
                <c:pt idx="563">
                  <c:v>32.003086457838201</c:v>
                </c:pt>
                <c:pt idx="564">
                  <c:v>32.671075060369446</c:v>
                </c:pt>
                <c:pt idx="565">
                  <c:v>33.349400727073551</c:v>
                </c:pt>
                <c:pt idx="566">
                  <c:v>34.037148374378248</c:v>
                </c:pt>
                <c:pt idx="567">
                  <c:v>34.733459634242301</c:v>
                </c:pt>
                <c:pt idx="568">
                  <c:v>35.437529665671725</c:v>
                </c:pt>
                <c:pt idx="569">
                  <c:v>36.148603965152375</c:v>
                </c:pt>
                <c:pt idx="570">
                  <c:v>36.865975229423682</c:v>
                </c:pt>
                <c:pt idx="571">
                  <c:v>37.588980309838618</c:v>
                </c:pt>
                <c:pt idx="572">
                  <c:v>38.316997286048121</c:v>
                </c:pt>
                <c:pt idx="573">
                  <c:v>39.049442677549955</c:v>
                </c:pt>
                <c:pt idx="574">
                  <c:v>39.785768804397655</c:v>
                </c:pt>
                <c:pt idx="575">
                  <c:v>40.525461302751246</c:v>
                </c:pt>
                <c:pt idx="576">
                  <c:v>41.268036796676121</c:v>
                </c:pt>
                <c:pt idx="577">
                  <c:v>42.013040724408434</c:v>
                </c:pt>
                <c:pt idx="578">
                  <c:v>42.76004531498905</c:v>
                </c:pt>
                <c:pt idx="579">
                  <c:v>43.508647709543183</c:v>
                </c:pt>
                <c:pt idx="580">
                  <c:v>44.258468220399585</c:v>
                </c:pt>
                <c:pt idx="581">
                  <c:v>45.009148720579702</c:v>
                </c:pt>
                <c:pt idx="582">
                  <c:v>45.760351155843338</c:v>
                </c:pt>
                <c:pt idx="583">
                  <c:v>46.511756171375353</c:v>
                </c:pt>
                <c:pt idx="584">
                  <c:v>47.263061845272347</c:v>
                </c:pt>
                <c:pt idx="585">
                  <c:v>48.013982521191238</c:v>
                </c:pt>
                <c:pt idx="586">
                  <c:v>48.764247732812869</c:v>
                </c:pt>
                <c:pt idx="587">
                  <c:v>49.513601213123771</c:v>
                </c:pt>
                <c:pt idx="588">
                  <c:v>50.261799981905035</c:v>
                </c:pt>
                <c:pt idx="589">
                  <c:v>51.008613505220836</c:v>
                </c:pt>
                <c:pt idx="590">
                  <c:v>51.753822921108529</c:v>
                </c:pt>
                <c:pt idx="591">
                  <c:v>52.49722032607685</c:v>
                </c:pt>
                <c:pt idx="592">
                  <c:v>53.238608117412902</c:v>
                </c:pt>
                <c:pt idx="593">
                  <c:v>53.977798386676959</c:v>
                </c:pt>
                <c:pt idx="594">
                  <c:v>54.714612360123802</c:v>
                </c:pt>
                <c:pt idx="595">
                  <c:v>55.448879882128715</c:v>
                </c:pt>
                <c:pt idx="596">
                  <c:v>56.180438938014383</c:v>
                </c:pt>
                <c:pt idx="597">
                  <c:v>56.909135212971542</c:v>
                </c:pt>
                <c:pt idx="598">
                  <c:v>57.634821684041611</c:v>
                </c:pt>
                <c:pt idx="599">
                  <c:v>58.357358242384358</c:v>
                </c:pt>
                <c:pt idx="600">
                  <c:v>59.076611343288782</c:v>
                </c:pt>
                <c:pt idx="601">
                  <c:v>59.792453681601913</c:v>
                </c:pt>
                <c:pt idx="602">
                  <c:v>60.504763890448857</c:v>
                </c:pt>
                <c:pt idx="603">
                  <c:v>61.21342626130005</c:v>
                </c:pt>
                <c:pt idx="604">
                  <c:v>61.918330483608528</c:v>
                </c:pt>
                <c:pt idx="605">
                  <c:v>62.619371402393099</c:v>
                </c:pt>
                <c:pt idx="606">
                  <c:v>63.316448792282905</c:v>
                </c:pt>
                <c:pt idx="607">
                  <c:v>64.009467146666822</c:v>
                </c:pt>
                <c:pt idx="608">
                  <c:v>64.698335480707513</c:v>
                </c:pt>
                <c:pt idx="609">
                  <c:v>65.382967147086788</c:v>
                </c:pt>
                <c:pt idx="610">
                  <c:v>66.063279663445741</c:v>
                </c:pt>
                <c:pt idx="611">
                  <c:v>66.739194550572279</c:v>
                </c:pt>
                <c:pt idx="612">
                  <c:v>67.410637180469124</c:v>
                </c:pt>
                <c:pt idx="613">
                  <c:v>68.077536633509695</c:v>
                </c:pt>
                <c:pt idx="614">
                  <c:v>68.739825563956231</c:v>
                </c:pt>
                <c:pt idx="615">
                  <c:v>69.397440073176512</c:v>
                </c:pt>
                <c:pt idx="616">
                  <c:v>70.050319589951144</c:v>
                </c:pt>
                <c:pt idx="617">
                  <c:v>70.698406757315325</c:v>
                </c:pt>
                <c:pt idx="618">
                  <c:v>71.341647325425072</c:v>
                </c:pt>
                <c:pt idx="619">
                  <c:v>71.979990049981339</c:v>
                </c:pt>
                <c:pt idx="620">
                  <c:v>72.613386595784064</c:v>
                </c:pt>
                <c:pt idx="621">
                  <c:v>73.241791445024234</c:v>
                </c:pt>
                <c:pt idx="622">
                  <c:v>73.865161809954586</c:v>
                </c:pt>
                <c:pt idx="623">
                  <c:v>74.483457549609355</c:v>
                </c:pt>
                <c:pt idx="624">
                  <c:v>75.096641090270964</c:v>
                </c:pt>
                <c:pt idx="625">
                  <c:v>75.704677349406623</c:v>
                </c:pt>
                <c:pt idx="626">
                  <c:v>76.30753366282056</c:v>
                </c:pt>
                <c:pt idx="627">
                  <c:v>76.905179714788559</c:v>
                </c:pt>
                <c:pt idx="628">
                  <c:v>77.497587470960937</c:v>
                </c:pt>
                <c:pt idx="629">
                  <c:v>78.084731113837606</c:v>
                </c:pt>
                <c:pt idx="630">
                  <c:v>78.666586980634847</c:v>
                </c:pt>
                <c:pt idx="631">
                  <c:v>79.243133503378587</c:v>
                </c:pt>
                <c:pt idx="632">
                  <c:v>79.814351151072145</c:v>
                </c:pt>
                <c:pt idx="633">
                  <c:v>80.380222373799313</c:v>
                </c:pt>
                <c:pt idx="634">
                  <c:v>80.940731548634844</c:v>
                </c:pt>
                <c:pt idx="635">
                  <c:v>81.495864927244753</c:v>
                </c:pt>
                <c:pt idx="636">
                  <c:v>82.045610585069099</c:v>
                </c:pt>
                <c:pt idx="637">
                  <c:v>82.589958371987947</c:v>
                </c:pt>
                <c:pt idx="638">
                  <c:v>83.128899864380102</c:v>
                </c:pt>
                <c:pt idx="639">
                  <c:v>83.662428318491237</c:v>
                </c:pt>
                <c:pt idx="640">
                  <c:v>84.190538625035003</c:v>
                </c:pt>
                <c:pt idx="641">
                  <c:v>84.713227264957112</c:v>
                </c:pt>
                <c:pt idx="642">
                  <c:v>85.230492266298171</c:v>
                </c:pt>
                <c:pt idx="643">
                  <c:v>85.742333162096187</c:v>
                </c:pt>
                <c:pt idx="644">
                  <c:v>86.248750949274893</c:v>
                </c:pt>
                <c:pt idx="645">
                  <c:v>86.749748048468177</c:v>
                </c:pt>
                <c:pt idx="646">
                  <c:v>87.245328264735292</c:v>
                </c:pt>
                <c:pt idx="647">
                  <c:v>87.73549674912536</c:v>
                </c:pt>
                <c:pt idx="648">
                  <c:v>88.220259961052676</c:v>
                </c:pt>
                <c:pt idx="649">
                  <c:v>88.69962563144837</c:v>
                </c:pt>
                <c:pt idx="650">
                  <c:v>89.173602726656043</c:v>
                </c:pt>
                <c:pt idx="651">
                  <c:v>89.642201413042287</c:v>
                </c:pt>
                <c:pt idx="652">
                  <c:v>90.105433022295244</c:v>
                </c:pt>
                <c:pt idx="653">
                  <c:v>90.563310017386456</c:v>
                </c:pt>
                <c:pt idx="654">
                  <c:v>91.015845959173873</c:v>
                </c:pt>
                <c:pt idx="655">
                  <c:v>91.463055473625133</c:v>
                </c:pt>
                <c:pt idx="656">
                  <c:v>91.904954219642292</c:v>
                </c:pt>
                <c:pt idx="657">
                  <c:v>92.341558857470972</c:v>
                </c:pt>
                <c:pt idx="658">
                  <c:v>92.772887017677647</c:v>
                </c:pt>
                <c:pt idx="659">
                  <c:v>93.198957270681305</c:v>
                </c:pt>
                <c:pt idx="660">
                  <c:v>93.619789096825286</c:v>
                </c:pt>
                <c:pt idx="661">
                  <c:v>94.035402856977953</c:v>
                </c:pt>
                <c:pt idx="662">
                  <c:v>94.445819763650462</c:v>
                </c:pt>
                <c:pt idx="663">
                  <c:v>94.851061852621513</c:v>
                </c:pt>
                <c:pt idx="664">
                  <c:v>95.251151955059669</c:v>
                </c:pt>
                <c:pt idx="665">
                  <c:v>95.64611367013454</c:v>
                </c:pt>
                <c:pt idx="666">
                  <c:v>96.035971338108553</c:v>
                </c:pt>
                <c:pt idx="667">
                  <c:v>96.420750013902207</c:v>
                </c:pt>
                <c:pt idx="668">
                  <c:v>96.800475441125528</c:v>
                </c:pt>
                <c:pt idx="669">
                  <c:v>97.175174026569792</c:v>
                </c:pt>
                <c:pt idx="670">
                  <c:v>97.544872815152928</c:v>
                </c:pt>
                <c:pt idx="671">
                  <c:v>97.90959946531369</c:v>
                </c:pt>
                <c:pt idx="672">
                  <c:v>98.269382224848727</c:v>
                </c:pt>
                <c:pt idx="673">
                  <c:v>98.62424990718803</c:v>
                </c:pt>
                <c:pt idx="674">
                  <c:v>98.974231868104013</c:v>
                </c:pt>
                <c:pt idx="675">
                  <c:v>99.31935798284951</c:v>
                </c:pt>
                <c:pt idx="676">
                  <c:v>99.659658623720929</c:v>
                </c:pt>
                <c:pt idx="677">
                  <c:v>99.995164638042112</c:v>
                </c:pt>
                <c:pt idx="678">
                  <c:v>100.32590732656519</c:v>
                </c:pt>
                <c:pt idx="679">
                  <c:v>100.65191842228457</c:v>
                </c:pt>
                <c:pt idx="680">
                  <c:v>100.97323006966052</c:v>
                </c:pt>
                <c:pt idx="681">
                  <c:v>101.2898748042486</c:v>
                </c:pt>
                <c:pt idx="682">
                  <c:v>101.60188553273152</c:v>
                </c:pt>
                <c:pt idx="683">
                  <c:v>101.90929551335</c:v>
                </c:pt>
                <c:pt idx="684">
                  <c:v>102.21213833672917</c:v>
                </c:pt>
                <c:pt idx="685">
                  <c:v>102.51044790709702</c:v>
                </c:pt>
                <c:pt idx="686">
                  <c:v>102.80425842389181</c:v>
                </c:pt>
                <c:pt idx="687">
                  <c:v>103.09360436375485</c:v>
                </c:pt>
                <c:pt idx="688">
                  <c:v>103.37852046290526</c:v>
                </c:pt>
                <c:pt idx="689">
                  <c:v>103.65904169989349</c:v>
                </c:pt>
                <c:pt idx="690">
                  <c:v>103.93520327873026</c:v>
                </c:pt>
                <c:pt idx="691">
                  <c:v>104.20704061238709</c:v>
                </c:pt>
                <c:pt idx="692">
                  <c:v>104.47458930666569</c:v>
                </c:pt>
                <c:pt idx="693">
                  <c:v>104.73788514443194</c:v>
                </c:pt>
                <c:pt idx="694">
                  <c:v>104.99696407021167</c:v>
                </c:pt>
                <c:pt idx="695">
                  <c:v>105.25186217514418</c:v>
                </c:pt>
                <c:pt idx="696">
                  <c:v>105.50261568229028</c:v>
                </c:pt>
                <c:pt idx="697">
                  <c:v>105.74926093229089</c:v>
                </c:pt>
                <c:pt idx="698">
                  <c:v>105.99183436937294</c:v>
                </c:pt>
                <c:pt idx="699">
                  <c:v>106.23037252769841</c:v>
                </c:pt>
                <c:pt idx="700">
                  <c:v>106.46491201805325</c:v>
                </c:pt>
                <c:pt idx="701">
                  <c:v>106.69548951487187</c:v>
                </c:pt>
                <c:pt idx="702">
                  <c:v>106.92214174359377</c:v>
                </c:pt>
                <c:pt idx="703">
                  <c:v>107.14490546834828</c:v>
                </c:pt>
                <c:pt idx="704">
                  <c:v>107.3638174799634</c:v>
                </c:pt>
                <c:pt idx="705">
                  <c:v>107.57891458429495</c:v>
                </c:pt>
                <c:pt idx="706">
                  <c:v>107.79023359087188</c:v>
                </c:pt>
                <c:pt idx="707">
                  <c:v>107.99781130185372</c:v>
                </c:pt>
                <c:pt idx="708">
                  <c:v>108.20168450129631</c:v>
                </c:pt>
                <c:pt idx="709">
                  <c:v>108.40188994472143</c:v>
                </c:pt>
                <c:pt idx="710">
                  <c:v>108.59846434898611</c:v>
                </c:pt>
                <c:pt idx="711">
                  <c:v>108.79144438244796</c:v>
                </c:pt>
                <c:pt idx="712">
                  <c:v>108.98086665542175</c:v>
                </c:pt>
                <c:pt idx="713">
                  <c:v>109.16676771092334</c:v>
                </c:pt>
                <c:pt idx="714">
                  <c:v>109.34918401569668</c:v>
                </c:pt>
                <c:pt idx="715">
                  <c:v>109.52815195151948</c:v>
                </c:pt>
                <c:pt idx="716">
                  <c:v>109.70370780678338</c:v>
                </c:pt>
                <c:pt idx="717">
                  <c:v>109.87588776834448</c:v>
                </c:pt>
                <c:pt idx="718">
                  <c:v>110.04472791363943</c:v>
                </c:pt>
                <c:pt idx="719">
                  <c:v>110.21026420306339</c:v>
                </c:pt>
                <c:pt idx="720">
                  <c:v>110.37253247260506</c:v>
                </c:pt>
                <c:pt idx="721">
                  <c:v>110.53156842673464</c:v>
                </c:pt>
                <c:pt idx="722">
                  <c:v>110.68740763154038</c:v>
                </c:pt>
                <c:pt idx="723">
                  <c:v>110.8400855081095</c:v>
                </c:pt>
                <c:pt idx="724">
                  <c:v>110.98963732614874</c:v>
                </c:pt>
                <c:pt idx="725">
                  <c:v>111.13609819784084</c:v>
                </c:pt>
                <c:pt idx="726">
                  <c:v>111.27950307193201</c:v>
                </c:pt>
                <c:pt idx="727">
                  <c:v>111.41988672804666</c:v>
                </c:pt>
                <c:pt idx="728">
                  <c:v>111.55728377122458</c:v>
                </c:pt>
                <c:pt idx="729">
                  <c:v>111.69172862667664</c:v>
                </c:pt>
                <c:pt idx="730">
                  <c:v>111.82325553475459</c:v>
                </c:pt>
                <c:pt idx="731">
                  <c:v>111.95189854613098</c:v>
                </c:pt>
                <c:pt idx="732">
                  <c:v>112.07769151718429</c:v>
                </c:pt>
                <c:pt idx="733">
                  <c:v>112.20066810558605</c:v>
                </c:pt>
                <c:pt idx="734">
                  <c:v>112.32086176608507</c:v>
                </c:pt>
                <c:pt idx="735">
                  <c:v>112.43830574648472</c:v>
                </c:pt>
                <c:pt idx="736">
                  <c:v>112.55303308380945</c:v>
                </c:pt>
                <c:pt idx="737">
                  <c:v>112.66507660065622</c:v>
                </c:pt>
                <c:pt idx="738">
                  <c:v>112.77446890172675</c:v>
                </c:pt>
                <c:pt idx="739">
                  <c:v>112.8812423705367</c:v>
                </c:pt>
                <c:pt idx="740">
                  <c:v>112.98542916629785</c:v>
                </c:pt>
                <c:pt idx="741">
                  <c:v>113.08706122096903</c:v>
                </c:pt>
                <c:pt idx="742">
                  <c:v>113.18617023647225</c:v>
                </c:pt>
                <c:pt idx="743">
                  <c:v>113.28278768206981</c:v>
                </c:pt>
                <c:pt idx="744">
                  <c:v>113.37694479189888</c:v>
                </c:pt>
                <c:pt idx="745">
                  <c:v>113.46867256265953</c:v>
                </c:pt>
                <c:pt idx="746">
                  <c:v>113.55800175145252</c:v>
                </c:pt>
                <c:pt idx="747">
                  <c:v>113.64496287376313</c:v>
                </c:pt>
                <c:pt idx="748">
                  <c:v>113.72958620158745</c:v>
                </c:pt>
                <c:pt idx="749">
                  <c:v>113.81190176169736</c:v>
                </c:pt>
                <c:pt idx="750">
                  <c:v>113.89193933404077</c:v>
                </c:pt>
                <c:pt idx="751">
                  <c:v>113.96972845027349</c:v>
                </c:pt>
                <c:pt idx="752">
                  <c:v>114.04529839241933</c:v>
                </c:pt>
                <c:pt idx="753">
                  <c:v>114.11867819165479</c:v>
                </c:pt>
                <c:pt idx="754">
                  <c:v>114.18989662721546</c:v>
                </c:pt>
                <c:pt idx="755">
                  <c:v>114.25898222542004</c:v>
                </c:pt>
                <c:pt idx="756">
                  <c:v>114.32596325880941</c:v>
                </c:pt>
                <c:pt idx="757">
                  <c:v>114.3908677453971</c:v>
                </c:pt>
                <c:pt idx="758">
                  <c:v>114.45372344802801</c:v>
                </c:pt>
                <c:pt idx="759">
                  <c:v>114.51455787384248</c:v>
                </c:pt>
                <c:pt idx="760">
                  <c:v>114.57339827384227</c:v>
                </c:pt>
                <c:pt idx="761">
                  <c:v>114.63027164255577</c:v>
                </c:pt>
                <c:pt idx="762">
                  <c:v>114.68520471779912</c:v>
                </c:pt>
                <c:pt idx="763">
                  <c:v>114.73822398053068</c:v>
                </c:pt>
                <c:pt idx="764">
                  <c:v>114.78935565479544</c:v>
                </c:pt>
                <c:pt idx="765">
                  <c:v>114.83862570775729</c:v>
                </c:pt>
                <c:pt idx="766">
                  <c:v>114.88605984981548</c:v>
                </c:pt>
                <c:pt idx="767">
                  <c:v>114.93168353480331</c:v>
                </c:pt>
                <c:pt idx="768">
                  <c:v>114.97552196026599</c:v>
                </c:pt>
                <c:pt idx="769">
                  <c:v>115.01760006781493</c:v>
                </c:pt>
                <c:pt idx="770">
                  <c:v>115.05794254355628</c:v>
                </c:pt>
                <c:pt idx="771">
                  <c:v>115.09657381859088</c:v>
                </c:pt>
                <c:pt idx="772">
                  <c:v>115.1335180695832</c:v>
                </c:pt>
                <c:pt idx="773">
                  <c:v>115.16879921939683</c:v>
                </c:pt>
                <c:pt idx="774">
                  <c:v>115.20244093779432</c:v>
                </c:pt>
                <c:pt idx="775">
                  <c:v>115.2344666421988</c:v>
                </c:pt>
                <c:pt idx="776">
                  <c:v>115.26489949851518</c:v>
                </c:pt>
                <c:pt idx="777">
                  <c:v>115.29376242200873</c:v>
                </c:pt>
                <c:pt idx="778">
                  <c:v>115.32107807823891</c:v>
                </c:pt>
                <c:pt idx="779">
                  <c:v>115.34686888404612</c:v>
                </c:pt>
                <c:pt idx="780">
                  <c:v>115.37115700858948</c:v>
                </c:pt>
                <c:pt idx="781">
                  <c:v>115.39396437443347</c:v>
                </c:pt>
                <c:pt idx="782">
                  <c:v>115.4153126586815</c:v>
                </c:pt>
                <c:pt idx="783">
                  <c:v>115.43522329415444</c:v>
                </c:pt>
                <c:pt idx="784">
                  <c:v>115.45371747061218</c:v>
                </c:pt>
                <c:pt idx="785">
                  <c:v>115.4708161360163</c:v>
                </c:pt>
                <c:pt idx="786">
                  <c:v>115.48653999783228</c:v>
                </c:pt>
                <c:pt idx="787">
                  <c:v>115.50090952436911</c:v>
                </c:pt>
                <c:pt idx="788">
                  <c:v>115.51394494615489</c:v>
                </c:pt>
                <c:pt idx="789">
                  <c:v>115.52566625734649</c:v>
                </c:pt>
                <c:pt idx="790">
                  <c:v>115.53609321717185</c:v>
                </c:pt>
                <c:pt idx="791">
                  <c:v>115.54524535140311</c:v>
                </c:pt>
                <c:pt idx="792">
                  <c:v>115.55314195385904</c:v>
                </c:pt>
                <c:pt idx="793">
                  <c:v>115.55980208793545</c:v>
                </c:pt>
                <c:pt idx="794">
                  <c:v>115.56524458816185</c:v>
                </c:pt>
                <c:pt idx="795">
                  <c:v>115.56948806178285</c:v>
                </c:pt>
                <c:pt idx="796">
                  <c:v>115.57255089036339</c:v>
                </c:pt>
                <c:pt idx="797">
                  <c:v>115.57445123141574</c:v>
                </c:pt>
                <c:pt idx="798">
                  <c:v>115.57520702004744</c:v>
                </c:pt>
                <c:pt idx="799">
                  <c:v>115.57483597062877</c:v>
                </c:pt>
                <c:pt idx="800">
                  <c:v>115.57335557847821</c:v>
                </c:pt>
                <c:pt idx="801">
                  <c:v>115.57078312156527</c:v>
                </c:pt>
                <c:pt idx="802">
                  <c:v>115.56713566222868</c:v>
                </c:pt>
                <c:pt idx="803">
                  <c:v>115.56243004890953</c:v>
                </c:pt>
                <c:pt idx="804">
                  <c:v>115.55668291789792</c:v>
                </c:pt>
                <c:pt idx="805">
                  <c:v>115.54991069509188</c:v>
                </c:pt>
                <c:pt idx="806">
                  <c:v>115.54212959776774</c:v>
                </c:pt>
                <c:pt idx="807">
                  <c:v>115.54212081632984</c:v>
                </c:pt>
                <c:pt idx="808">
                  <c:v>115.54211203391566</c:v>
                </c:pt>
                <c:pt idx="809">
                  <c:v>115.5421032505252</c:v>
                </c:pt>
                <c:pt idx="810">
                  <c:v>115.54209446615849</c:v>
                </c:pt>
                <c:pt idx="811">
                  <c:v>115.54208568081553</c:v>
                </c:pt>
                <c:pt idx="812">
                  <c:v>115.54207689449638</c:v>
                </c:pt>
                <c:pt idx="813">
                  <c:v>115.54206810720099</c:v>
                </c:pt>
                <c:pt idx="814">
                  <c:v>115.54205931892942</c:v>
                </c:pt>
                <c:pt idx="815">
                  <c:v>115.54205052968166</c:v>
                </c:pt>
                <c:pt idx="816">
                  <c:v>115.54204173945774</c:v>
                </c:pt>
                <c:pt idx="817">
                  <c:v>115.54203294825768</c:v>
                </c:pt>
                <c:pt idx="818">
                  <c:v>115.54202415608148</c:v>
                </c:pt>
                <c:pt idx="819">
                  <c:v>115.54201536292918</c:v>
                </c:pt>
                <c:pt idx="820">
                  <c:v>115.54200656880077</c:v>
                </c:pt>
                <c:pt idx="821">
                  <c:v>115.54199777369628</c:v>
                </c:pt>
                <c:pt idx="822">
                  <c:v>115.54198897761573</c:v>
                </c:pt>
                <c:pt idx="823">
                  <c:v>115.54198018055912</c:v>
                </c:pt>
                <c:pt idx="824">
                  <c:v>115.54197138252647</c:v>
                </c:pt>
                <c:pt idx="825">
                  <c:v>115.5419625835178</c:v>
                </c:pt>
                <c:pt idx="826">
                  <c:v>115.54195378353313</c:v>
                </c:pt>
                <c:pt idx="827">
                  <c:v>115.54194498257247</c:v>
                </c:pt>
                <c:pt idx="828">
                  <c:v>115.54193618063582</c:v>
                </c:pt>
                <c:pt idx="829">
                  <c:v>115.54192737772324</c:v>
                </c:pt>
                <c:pt idx="830">
                  <c:v>115.54191857383469</c:v>
                </c:pt>
                <c:pt idx="831">
                  <c:v>115.54190976897021</c:v>
                </c:pt>
                <c:pt idx="832">
                  <c:v>115.54190096312983</c:v>
                </c:pt>
                <c:pt idx="833">
                  <c:v>115.54189215631355</c:v>
                </c:pt>
                <c:pt idx="834">
                  <c:v>115.5418833485214</c:v>
                </c:pt>
                <c:pt idx="835">
                  <c:v>115.54187453975335</c:v>
                </c:pt>
                <c:pt idx="836">
                  <c:v>115.54186573000946</c:v>
                </c:pt>
                <c:pt idx="837">
                  <c:v>115.54185691928976</c:v>
                </c:pt>
                <c:pt idx="838">
                  <c:v>115.54184810759422</c:v>
                </c:pt>
                <c:pt idx="839">
                  <c:v>115.54183929492288</c:v>
                </c:pt>
                <c:pt idx="840">
                  <c:v>115.54183048127575</c:v>
                </c:pt>
                <c:pt idx="841">
                  <c:v>115.54182166665285</c:v>
                </c:pt>
                <c:pt idx="842">
                  <c:v>115.54181285105417</c:v>
                </c:pt>
                <c:pt idx="843">
                  <c:v>115.54180403447977</c:v>
                </c:pt>
                <c:pt idx="844">
                  <c:v>115.54179521692964</c:v>
                </c:pt>
                <c:pt idx="845">
                  <c:v>115.5417863984038</c:v>
                </c:pt>
                <c:pt idx="846">
                  <c:v>115.54177757890226</c:v>
                </c:pt>
                <c:pt idx="847">
                  <c:v>115.54176875842505</c:v>
                </c:pt>
                <c:pt idx="848">
                  <c:v>115.54175993697217</c:v>
                </c:pt>
                <c:pt idx="849">
                  <c:v>115.54175111454366</c:v>
                </c:pt>
                <c:pt idx="850">
                  <c:v>115.5417422911395</c:v>
                </c:pt>
                <c:pt idx="851">
                  <c:v>115.54173346675971</c:v>
                </c:pt>
                <c:pt idx="852">
                  <c:v>115.54172464140433</c:v>
                </c:pt>
                <c:pt idx="853">
                  <c:v>115.54171581507336</c:v>
                </c:pt>
                <c:pt idx="854">
                  <c:v>115.54170698776682</c:v>
                </c:pt>
                <c:pt idx="855">
                  <c:v>115.54169815948471</c:v>
                </c:pt>
                <c:pt idx="856">
                  <c:v>115.54168933022709</c:v>
                </c:pt>
                <c:pt idx="857">
                  <c:v>115.54168049999392</c:v>
                </c:pt>
                <c:pt idx="858">
                  <c:v>115.54167166878526</c:v>
                </c:pt>
                <c:pt idx="859">
                  <c:v>115.54166283660108</c:v>
                </c:pt>
                <c:pt idx="860">
                  <c:v>115.54165400344144</c:v>
                </c:pt>
                <c:pt idx="861">
                  <c:v>115.54164516930634</c:v>
                </c:pt>
                <c:pt idx="862">
                  <c:v>115.54163633419579</c:v>
                </c:pt>
                <c:pt idx="863">
                  <c:v>115.54162749810982</c:v>
                </c:pt>
                <c:pt idx="864">
                  <c:v>115.54161866104842</c:v>
                </c:pt>
                <c:pt idx="865">
                  <c:v>115.54160982301163</c:v>
                </c:pt>
                <c:pt idx="866">
                  <c:v>115.54160098399946</c:v>
                </c:pt>
                <c:pt idx="867">
                  <c:v>115.5415921440119</c:v>
                </c:pt>
                <c:pt idx="868">
                  <c:v>115.54158330304898</c:v>
                </c:pt>
                <c:pt idx="869">
                  <c:v>115.54157446111074</c:v>
                </c:pt>
                <c:pt idx="870">
                  <c:v>115.54156561819718</c:v>
                </c:pt>
                <c:pt idx="871">
                  <c:v>115.5415567743083</c:v>
                </c:pt>
                <c:pt idx="872">
                  <c:v>115.54154792944415</c:v>
                </c:pt>
                <c:pt idx="873">
                  <c:v>115.5415390836047</c:v>
                </c:pt>
                <c:pt idx="874">
                  <c:v>115.54153023679</c:v>
                </c:pt>
                <c:pt idx="875">
                  <c:v>115.54152138900005</c:v>
                </c:pt>
                <c:pt idx="876">
                  <c:v>115.54151254023489</c:v>
                </c:pt>
                <c:pt idx="877">
                  <c:v>115.54150369049448</c:v>
                </c:pt>
                <c:pt idx="878">
                  <c:v>115.54149483977889</c:v>
                </c:pt>
                <c:pt idx="879">
                  <c:v>115.54148598808813</c:v>
                </c:pt>
                <c:pt idx="880">
                  <c:v>115.54147713542218</c:v>
                </c:pt>
                <c:pt idx="881">
                  <c:v>115.54146828178111</c:v>
                </c:pt>
                <c:pt idx="882">
                  <c:v>115.54145942716488</c:v>
                </c:pt>
                <c:pt idx="883">
                  <c:v>115.54145057157353</c:v>
                </c:pt>
                <c:pt idx="884">
                  <c:v>115.54144171500708</c:v>
                </c:pt>
                <c:pt idx="885">
                  <c:v>115.54143285746554</c:v>
                </c:pt>
                <c:pt idx="886">
                  <c:v>115.54142399894893</c:v>
                </c:pt>
                <c:pt idx="887">
                  <c:v>115.54141513945727</c:v>
                </c:pt>
                <c:pt idx="888">
                  <c:v>115.54140627899054</c:v>
                </c:pt>
                <c:pt idx="889">
                  <c:v>115.54139741754879</c:v>
                </c:pt>
                <c:pt idx="890">
                  <c:v>115.54138855513204</c:v>
                </c:pt>
                <c:pt idx="891">
                  <c:v>115.5413796917403</c:v>
                </c:pt>
                <c:pt idx="892">
                  <c:v>115.54137082737356</c:v>
                </c:pt>
                <c:pt idx="893">
                  <c:v>115.54136196203186</c:v>
                </c:pt>
                <c:pt idx="894">
                  <c:v>115.54135309571521</c:v>
                </c:pt>
                <c:pt idx="895">
                  <c:v>115.54134422842363</c:v>
                </c:pt>
                <c:pt idx="896">
                  <c:v>115.54133536015712</c:v>
                </c:pt>
                <c:pt idx="897">
                  <c:v>115.54132649091571</c:v>
                </c:pt>
                <c:pt idx="898">
                  <c:v>115.54131762069942</c:v>
                </c:pt>
                <c:pt idx="899">
                  <c:v>115.54130874950826</c:v>
                </c:pt>
                <c:pt idx="900">
                  <c:v>115.54129987734223</c:v>
                </c:pt>
                <c:pt idx="901">
                  <c:v>115.54129100420137</c:v>
                </c:pt>
                <c:pt idx="902">
                  <c:v>115.54128213008568</c:v>
                </c:pt>
                <c:pt idx="903">
                  <c:v>115.54127325499518</c:v>
                </c:pt>
                <c:pt idx="904">
                  <c:v>115.54126437892988</c:v>
                </c:pt>
                <c:pt idx="905">
                  <c:v>115.54125550188982</c:v>
                </c:pt>
                <c:pt idx="906">
                  <c:v>115.54124662387498</c:v>
                </c:pt>
                <c:pt idx="907">
                  <c:v>115.54123774488539</c:v>
                </c:pt>
                <c:pt idx="908">
                  <c:v>115.54122886492108</c:v>
                </c:pt>
                <c:pt idx="909">
                  <c:v>115.54121998398205</c:v>
                </c:pt>
                <c:pt idx="910">
                  <c:v>115.54121110206832</c:v>
                </c:pt>
                <c:pt idx="911">
                  <c:v>115.54120221917989</c:v>
                </c:pt>
                <c:pt idx="912">
                  <c:v>115.54119333531681</c:v>
                </c:pt>
                <c:pt idx="913">
                  <c:v>115.54118445047905</c:v>
                </c:pt>
                <c:pt idx="914">
                  <c:v>115.54117556466669</c:v>
                </c:pt>
                <c:pt idx="915">
                  <c:v>115.54116667787967</c:v>
                </c:pt>
                <c:pt idx="916">
                  <c:v>115.54115779011805</c:v>
                </c:pt>
                <c:pt idx="917">
                  <c:v>115.54114890138185</c:v>
                </c:pt>
                <c:pt idx="918">
                  <c:v>115.54114001167106</c:v>
                </c:pt>
                <c:pt idx="919">
                  <c:v>115.54113112098571</c:v>
                </c:pt>
                <c:pt idx="920">
                  <c:v>115.54112222932581</c:v>
                </c:pt>
                <c:pt idx="921">
                  <c:v>115.54111333669138</c:v>
                </c:pt>
                <c:pt idx="922">
                  <c:v>115.54110444308245</c:v>
                </c:pt>
                <c:pt idx="923">
                  <c:v>115.541095548499</c:v>
                </c:pt>
                <c:pt idx="924">
                  <c:v>115.54108665294108</c:v>
                </c:pt>
                <c:pt idx="925">
                  <c:v>115.54107775640868</c:v>
                </c:pt>
                <c:pt idx="926">
                  <c:v>115.54106885890184</c:v>
                </c:pt>
                <c:pt idx="927">
                  <c:v>115.54105996042057</c:v>
                </c:pt>
                <c:pt idx="928">
                  <c:v>115.54105106096486</c:v>
                </c:pt>
                <c:pt idx="929">
                  <c:v>115.54104216053474</c:v>
                </c:pt>
                <c:pt idx="930">
                  <c:v>115.54103325913024</c:v>
                </c:pt>
                <c:pt idx="931">
                  <c:v>115.54102435675135</c:v>
                </c:pt>
                <c:pt idx="932">
                  <c:v>115.54101545339812</c:v>
                </c:pt>
                <c:pt idx="933">
                  <c:v>115.54100654907053</c:v>
                </c:pt>
                <c:pt idx="934">
                  <c:v>115.54099764376862</c:v>
                </c:pt>
                <c:pt idx="935">
                  <c:v>115.54098873749241</c:v>
                </c:pt>
                <c:pt idx="936">
                  <c:v>115.54097983024188</c:v>
                </c:pt>
                <c:pt idx="937">
                  <c:v>115.54097092201708</c:v>
                </c:pt>
                <c:pt idx="938">
                  <c:v>115.54096201281803</c:v>
                </c:pt>
                <c:pt idx="939">
                  <c:v>115.54095310264469</c:v>
                </c:pt>
                <c:pt idx="940">
                  <c:v>115.54094419149715</c:v>
                </c:pt>
                <c:pt idx="941">
                  <c:v>115.54093527937536</c:v>
                </c:pt>
                <c:pt idx="942">
                  <c:v>115.54092636627938</c:v>
                </c:pt>
                <c:pt idx="943">
                  <c:v>115.5409174522092</c:v>
                </c:pt>
                <c:pt idx="944">
                  <c:v>115.54090853716485</c:v>
                </c:pt>
                <c:pt idx="945">
                  <c:v>115.54089962114635</c:v>
                </c:pt>
                <c:pt idx="946">
                  <c:v>115.5408907041537</c:v>
                </c:pt>
                <c:pt idx="947">
                  <c:v>115.54088178618692</c:v>
                </c:pt>
                <c:pt idx="948">
                  <c:v>115.54087286724604</c:v>
                </c:pt>
                <c:pt idx="949">
                  <c:v>115.54086394733106</c:v>
                </c:pt>
                <c:pt idx="950">
                  <c:v>115.54085502644199</c:v>
                </c:pt>
                <c:pt idx="951">
                  <c:v>115.54084610457888</c:v>
                </c:pt>
                <c:pt idx="952">
                  <c:v>115.54083718174169</c:v>
                </c:pt>
                <c:pt idx="953">
                  <c:v>115.54082825793049</c:v>
                </c:pt>
                <c:pt idx="954">
                  <c:v>115.54081933314527</c:v>
                </c:pt>
                <c:pt idx="955">
                  <c:v>115.54081040738602</c:v>
                </c:pt>
                <c:pt idx="956">
                  <c:v>115.5408014806528</c:v>
                </c:pt>
                <c:pt idx="957">
                  <c:v>115.5407925529456</c:v>
                </c:pt>
                <c:pt idx="958">
                  <c:v>115.54078362426446</c:v>
                </c:pt>
                <c:pt idx="959">
                  <c:v>115.54077469460937</c:v>
                </c:pt>
                <c:pt idx="960">
                  <c:v>115.54076576398035</c:v>
                </c:pt>
                <c:pt idx="961">
                  <c:v>115.54075683237741</c:v>
                </c:pt>
                <c:pt idx="962">
                  <c:v>115.54074789980061</c:v>
                </c:pt>
                <c:pt idx="963">
                  <c:v>115.5407389662499</c:v>
                </c:pt>
                <c:pt idx="964">
                  <c:v>115.54073003172533</c:v>
                </c:pt>
                <c:pt idx="965">
                  <c:v>115.54072109622693</c:v>
                </c:pt>
                <c:pt idx="966">
                  <c:v>115.54071215975469</c:v>
                </c:pt>
                <c:pt idx="967">
                  <c:v>115.54070322230864</c:v>
                </c:pt>
                <c:pt idx="968">
                  <c:v>115.54069428388875</c:v>
                </c:pt>
                <c:pt idx="969">
                  <c:v>115.54068534449512</c:v>
                </c:pt>
                <c:pt idx="970">
                  <c:v>115.54067640412771</c:v>
                </c:pt>
                <c:pt idx="971">
                  <c:v>115.54066746278653</c:v>
                </c:pt>
                <c:pt idx="972">
                  <c:v>115.54065852047162</c:v>
                </c:pt>
                <c:pt idx="973">
                  <c:v>115.54064957718299</c:v>
                </c:pt>
                <c:pt idx="974">
                  <c:v>115.54064063292064</c:v>
                </c:pt>
                <c:pt idx="975">
                  <c:v>115.54063168768462</c:v>
                </c:pt>
                <c:pt idx="976">
                  <c:v>115.54062274147491</c:v>
                </c:pt>
                <c:pt idx="977">
                  <c:v>115.54061379429152</c:v>
                </c:pt>
                <c:pt idx="978">
                  <c:v>115.5406048461345</c:v>
                </c:pt>
                <c:pt idx="979">
                  <c:v>115.54059589700384</c:v>
                </c:pt>
                <c:pt idx="980">
                  <c:v>115.54058694689958</c:v>
                </c:pt>
                <c:pt idx="981">
                  <c:v>115.54057799582172</c:v>
                </c:pt>
                <c:pt idx="982">
                  <c:v>115.54056904377026</c:v>
                </c:pt>
                <c:pt idx="983">
                  <c:v>115.54056009074525</c:v>
                </c:pt>
                <c:pt idx="984">
                  <c:v>115.54055113674669</c:v>
                </c:pt>
                <c:pt idx="985">
                  <c:v>115.54054218177457</c:v>
                </c:pt>
                <c:pt idx="986">
                  <c:v>115.54053322582894</c:v>
                </c:pt>
                <c:pt idx="987">
                  <c:v>115.54052426890981</c:v>
                </c:pt>
                <c:pt idx="988">
                  <c:v>115.54051531101716</c:v>
                </c:pt>
                <c:pt idx="989">
                  <c:v>115.54050635215107</c:v>
                </c:pt>
                <c:pt idx="990">
                  <c:v>115.54049739231151</c:v>
                </c:pt>
                <c:pt idx="991">
                  <c:v>115.54048843149849</c:v>
                </c:pt>
                <c:pt idx="992">
                  <c:v>115.54047946971205</c:v>
                </c:pt>
                <c:pt idx="993">
                  <c:v>115.5404705069522</c:v>
                </c:pt>
                <c:pt idx="994">
                  <c:v>115.54046154321894</c:v>
                </c:pt>
                <c:pt idx="995">
                  <c:v>115.5404525785123</c:v>
                </c:pt>
                <c:pt idx="996">
                  <c:v>115.54044361283231</c:v>
                </c:pt>
                <c:pt idx="997">
                  <c:v>115.54043464617895</c:v>
                </c:pt>
                <c:pt idx="998">
                  <c:v>115.54042567855227</c:v>
                </c:pt>
                <c:pt idx="999">
                  <c:v>115.54041670995227</c:v>
                </c:pt>
                <c:pt idx="1000">
                  <c:v>115.54040774037895</c:v>
                </c:pt>
              </c:numCache>
            </c:numRef>
          </c:yVal>
          <c:smooth val="0"/>
          <c:extLst>
            <c:ext xmlns:c16="http://schemas.microsoft.com/office/drawing/2014/chart" uri="{C3380CC4-5D6E-409C-BE32-E72D297353CC}">
              <c16:uniqueId val="{00000000-011B-490F-A283-4EB42FA064EB}"/>
            </c:ext>
          </c:extLst>
        </c:ser>
        <c:dLbls>
          <c:showLegendKey val="0"/>
          <c:showVal val="0"/>
          <c:showCatName val="0"/>
          <c:showSerName val="0"/>
          <c:showPercent val="0"/>
          <c:showBubbleSize val="0"/>
        </c:dLbls>
        <c:axId val="149125760"/>
        <c:axId val="149132032"/>
      </c:scatterChart>
      <c:valAx>
        <c:axId val="149125760"/>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32032"/>
        <c:crosses val="autoZero"/>
        <c:crossBetween val="midCat"/>
      </c:valAx>
      <c:valAx>
        <c:axId val="149132032"/>
        <c:scaling>
          <c:orientation val="minMax"/>
        </c:scaling>
        <c:delete val="0"/>
        <c:axPos val="l"/>
        <c:majorGridlines>
          <c:spPr>
            <a:ln w="3175">
              <a:solidFill>
                <a:srgbClr val="000000"/>
              </a:solidFill>
              <a:prstDash val="sysDash"/>
            </a:ln>
          </c:spPr>
        </c:majorGridlines>
        <c:title>
          <c:tx>
            <c:strRef>
              <c:f>Courbes!$B$141</c:f>
              <c:strCache>
                <c:ptCount val="1"/>
                <c:pt idx="0">
                  <c:v>Vitesse [m/s]</c:v>
                </c:pt>
              </c:strCache>
            </c:strRef>
          </c:tx>
          <c:layout>
            <c:manualLayout>
              <c:xMode val="edge"/>
              <c:yMode val="edge"/>
              <c:x val="2.5943396226415099E-2"/>
              <c:y val="0.22875870516185479"/>
            </c:manualLayout>
          </c:layout>
          <c:overlay val="0"/>
          <c:spPr>
            <a:noFill/>
            <a:ln w="25400">
              <a:noFill/>
            </a:ln>
          </c:spPr>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25760"/>
        <c:crosses val="autoZero"/>
        <c:crossBetween val="midCat"/>
      </c:valAx>
      <c:spPr>
        <a:noFill/>
        <a:ln w="12700">
          <a:solidFill>
            <a:srgbClr val="808080"/>
          </a:solidFill>
          <a:prstDash val="solid"/>
        </a:ln>
      </c:spPr>
    </c:plotArea>
    <c:legend>
      <c:legendPos val="r"/>
      <c:layout>
        <c:manualLayout>
          <c:xMode val="edge"/>
          <c:yMode val="edge"/>
          <c:x val="0.81839684544148961"/>
          <c:y val="0.46444479440069991"/>
          <c:w val="0.13207559550339221"/>
          <c:h val="7.7777777777777779E-2"/>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Accélérations</a:t>
            </a:r>
          </a:p>
        </c:rich>
      </c:tx>
      <c:overlay val="1"/>
    </c:title>
    <c:autoTitleDeleted val="0"/>
    <c:plotArea>
      <c:layout>
        <c:manualLayout>
          <c:layoutTarget val="inner"/>
          <c:xMode val="edge"/>
          <c:yMode val="edge"/>
          <c:x val="9.4339622641509524E-2"/>
          <c:y val="9.4771241830065356E-2"/>
          <c:w val="0.88679245283019104"/>
          <c:h val="0.81699346405228768"/>
        </c:manualLayout>
      </c:layout>
      <c:scatterChart>
        <c:scatterStyle val="lineMarker"/>
        <c:varyColors val="0"/>
        <c:ser>
          <c:idx val="0"/>
          <c:order val="0"/>
          <c:tx>
            <c:strRef>
              <c:f>Courbes!$B$137</c:f>
              <c:strCache>
                <c:ptCount val="1"/>
                <c:pt idx="0">
                  <c:v>Accélération longitudinale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34.800000000000182</c:v>
                </c:pt>
                <c:pt idx="709">
                  <c:v>34.900000000000183</c:v>
                </c:pt>
                <c:pt idx="710">
                  <c:v>35.000000000000185</c:v>
                </c:pt>
                <c:pt idx="711">
                  <c:v>35.100000000000186</c:v>
                </c:pt>
                <c:pt idx="712">
                  <c:v>35.200000000000188</c:v>
                </c:pt>
                <c:pt idx="713">
                  <c:v>35.300000000000189</c:v>
                </c:pt>
                <c:pt idx="714">
                  <c:v>35.40000000000019</c:v>
                </c:pt>
                <c:pt idx="715">
                  <c:v>35.500000000000192</c:v>
                </c:pt>
                <c:pt idx="716">
                  <c:v>35.600000000000193</c:v>
                </c:pt>
                <c:pt idx="717">
                  <c:v>35.700000000000195</c:v>
                </c:pt>
                <c:pt idx="718">
                  <c:v>35.800000000000196</c:v>
                </c:pt>
                <c:pt idx="719">
                  <c:v>35.900000000000198</c:v>
                </c:pt>
                <c:pt idx="720">
                  <c:v>36.000000000000199</c:v>
                </c:pt>
                <c:pt idx="721">
                  <c:v>36.1000000000002</c:v>
                </c:pt>
                <c:pt idx="722">
                  <c:v>36.200000000000202</c:v>
                </c:pt>
                <c:pt idx="723">
                  <c:v>36.300000000000203</c:v>
                </c:pt>
                <c:pt idx="724">
                  <c:v>36.400000000000205</c:v>
                </c:pt>
                <c:pt idx="725">
                  <c:v>36.500000000000206</c:v>
                </c:pt>
                <c:pt idx="726">
                  <c:v>36.600000000000207</c:v>
                </c:pt>
                <c:pt idx="727">
                  <c:v>36.700000000000209</c:v>
                </c:pt>
                <c:pt idx="728">
                  <c:v>36.80000000000021</c:v>
                </c:pt>
                <c:pt idx="729">
                  <c:v>36.900000000000212</c:v>
                </c:pt>
                <c:pt idx="730">
                  <c:v>37.000000000000213</c:v>
                </c:pt>
                <c:pt idx="731">
                  <c:v>37.100000000000215</c:v>
                </c:pt>
                <c:pt idx="732">
                  <c:v>37.200000000000216</c:v>
                </c:pt>
                <c:pt idx="733">
                  <c:v>37.300000000000217</c:v>
                </c:pt>
                <c:pt idx="734">
                  <c:v>37.400000000000219</c:v>
                </c:pt>
                <c:pt idx="735">
                  <c:v>37.50000000000022</c:v>
                </c:pt>
                <c:pt idx="736">
                  <c:v>37.600000000000222</c:v>
                </c:pt>
                <c:pt idx="737">
                  <c:v>37.700000000000223</c:v>
                </c:pt>
                <c:pt idx="738">
                  <c:v>37.800000000000225</c:v>
                </c:pt>
                <c:pt idx="739">
                  <c:v>37.900000000000226</c:v>
                </c:pt>
                <c:pt idx="740">
                  <c:v>38.000000000000227</c:v>
                </c:pt>
                <c:pt idx="741">
                  <c:v>38.100000000000229</c:v>
                </c:pt>
                <c:pt idx="742">
                  <c:v>38.20000000000023</c:v>
                </c:pt>
                <c:pt idx="743">
                  <c:v>38.300000000000232</c:v>
                </c:pt>
                <c:pt idx="744">
                  <c:v>38.400000000000233</c:v>
                </c:pt>
                <c:pt idx="745">
                  <c:v>38.500000000000234</c:v>
                </c:pt>
                <c:pt idx="746">
                  <c:v>38.600000000000236</c:v>
                </c:pt>
                <c:pt idx="747">
                  <c:v>38.700000000000237</c:v>
                </c:pt>
                <c:pt idx="748">
                  <c:v>38.800000000000239</c:v>
                </c:pt>
                <c:pt idx="749">
                  <c:v>38.90000000000024</c:v>
                </c:pt>
                <c:pt idx="750">
                  <c:v>39.000000000000242</c:v>
                </c:pt>
                <c:pt idx="751">
                  <c:v>39.100000000000243</c:v>
                </c:pt>
                <c:pt idx="752">
                  <c:v>39.200000000000244</c:v>
                </c:pt>
                <c:pt idx="753">
                  <c:v>39.300000000000246</c:v>
                </c:pt>
                <c:pt idx="754">
                  <c:v>39.400000000000247</c:v>
                </c:pt>
                <c:pt idx="755">
                  <c:v>39.500000000000249</c:v>
                </c:pt>
                <c:pt idx="756">
                  <c:v>39.60000000000025</c:v>
                </c:pt>
                <c:pt idx="757">
                  <c:v>39.700000000000252</c:v>
                </c:pt>
                <c:pt idx="758">
                  <c:v>39.800000000000253</c:v>
                </c:pt>
                <c:pt idx="759">
                  <c:v>39.900000000000254</c:v>
                </c:pt>
                <c:pt idx="760">
                  <c:v>40.000000000000256</c:v>
                </c:pt>
                <c:pt idx="761">
                  <c:v>40.100000000000257</c:v>
                </c:pt>
                <c:pt idx="762">
                  <c:v>40.200000000000259</c:v>
                </c:pt>
                <c:pt idx="763">
                  <c:v>40.30000000000026</c:v>
                </c:pt>
                <c:pt idx="764">
                  <c:v>40.400000000000261</c:v>
                </c:pt>
                <c:pt idx="765">
                  <c:v>40.500000000000263</c:v>
                </c:pt>
                <c:pt idx="766">
                  <c:v>40.600000000000264</c:v>
                </c:pt>
                <c:pt idx="767">
                  <c:v>40.700000000000266</c:v>
                </c:pt>
                <c:pt idx="768">
                  <c:v>40.800000000000267</c:v>
                </c:pt>
                <c:pt idx="769">
                  <c:v>40.900000000000269</c:v>
                </c:pt>
                <c:pt idx="770">
                  <c:v>41.00000000000027</c:v>
                </c:pt>
                <c:pt idx="771">
                  <c:v>41.100000000000271</c:v>
                </c:pt>
                <c:pt idx="772">
                  <c:v>41.200000000000273</c:v>
                </c:pt>
                <c:pt idx="773">
                  <c:v>41.300000000000274</c:v>
                </c:pt>
                <c:pt idx="774">
                  <c:v>41.400000000000276</c:v>
                </c:pt>
                <c:pt idx="775">
                  <c:v>41.500000000000277</c:v>
                </c:pt>
                <c:pt idx="776">
                  <c:v>41.600000000000279</c:v>
                </c:pt>
                <c:pt idx="777">
                  <c:v>41.70000000000028</c:v>
                </c:pt>
                <c:pt idx="778">
                  <c:v>41.800000000000281</c:v>
                </c:pt>
                <c:pt idx="779">
                  <c:v>41.900000000000283</c:v>
                </c:pt>
                <c:pt idx="780">
                  <c:v>42.000000000000284</c:v>
                </c:pt>
                <c:pt idx="781">
                  <c:v>42.100000000000286</c:v>
                </c:pt>
                <c:pt idx="782">
                  <c:v>42.200000000000287</c:v>
                </c:pt>
                <c:pt idx="783">
                  <c:v>42.300000000000288</c:v>
                </c:pt>
                <c:pt idx="784">
                  <c:v>42.40000000000029</c:v>
                </c:pt>
                <c:pt idx="785">
                  <c:v>42.500000000000291</c:v>
                </c:pt>
                <c:pt idx="786">
                  <c:v>42.600000000000293</c:v>
                </c:pt>
                <c:pt idx="787">
                  <c:v>42.700000000000294</c:v>
                </c:pt>
                <c:pt idx="788">
                  <c:v>42.800000000000296</c:v>
                </c:pt>
                <c:pt idx="789">
                  <c:v>42.900000000000297</c:v>
                </c:pt>
                <c:pt idx="790">
                  <c:v>43.000000000000298</c:v>
                </c:pt>
                <c:pt idx="791">
                  <c:v>43.1000000000003</c:v>
                </c:pt>
                <c:pt idx="792">
                  <c:v>43.200000000000301</c:v>
                </c:pt>
                <c:pt idx="793">
                  <c:v>43.300000000000303</c:v>
                </c:pt>
                <c:pt idx="794">
                  <c:v>43.400000000000304</c:v>
                </c:pt>
                <c:pt idx="795">
                  <c:v>43.500000000000306</c:v>
                </c:pt>
                <c:pt idx="796">
                  <c:v>43.600000000000307</c:v>
                </c:pt>
                <c:pt idx="797">
                  <c:v>43.700000000000308</c:v>
                </c:pt>
                <c:pt idx="798">
                  <c:v>43.80000000000031</c:v>
                </c:pt>
                <c:pt idx="799">
                  <c:v>43.900000000000311</c:v>
                </c:pt>
                <c:pt idx="800">
                  <c:v>44.000000000000313</c:v>
                </c:pt>
                <c:pt idx="801">
                  <c:v>44.100000000000314</c:v>
                </c:pt>
                <c:pt idx="802">
                  <c:v>44.200000000000315</c:v>
                </c:pt>
                <c:pt idx="803">
                  <c:v>44.300000000000317</c:v>
                </c:pt>
                <c:pt idx="804">
                  <c:v>44.400000000000318</c:v>
                </c:pt>
                <c:pt idx="805">
                  <c:v>44.50000000000032</c:v>
                </c:pt>
                <c:pt idx="806">
                  <c:v>44.600000000000321</c:v>
                </c:pt>
                <c:pt idx="807">
                  <c:v>44.600100000000324</c:v>
                </c:pt>
                <c:pt idx="808">
                  <c:v>44.600200000000328</c:v>
                </c:pt>
                <c:pt idx="809">
                  <c:v>44.600300000000331</c:v>
                </c:pt>
                <c:pt idx="810">
                  <c:v>44.600400000000334</c:v>
                </c:pt>
                <c:pt idx="811">
                  <c:v>44.600500000000338</c:v>
                </c:pt>
                <c:pt idx="812">
                  <c:v>44.600600000000341</c:v>
                </c:pt>
                <c:pt idx="813">
                  <c:v>44.600700000000344</c:v>
                </c:pt>
                <c:pt idx="814">
                  <c:v>44.600800000000348</c:v>
                </c:pt>
                <c:pt idx="815">
                  <c:v>44.600900000000351</c:v>
                </c:pt>
                <c:pt idx="816">
                  <c:v>44.601000000000354</c:v>
                </c:pt>
                <c:pt idx="817">
                  <c:v>44.601100000000358</c:v>
                </c:pt>
                <c:pt idx="818">
                  <c:v>44.601200000000361</c:v>
                </c:pt>
                <c:pt idx="819">
                  <c:v>44.601300000000364</c:v>
                </c:pt>
                <c:pt idx="820">
                  <c:v>44.601400000000368</c:v>
                </c:pt>
                <c:pt idx="821">
                  <c:v>44.601500000000371</c:v>
                </c:pt>
                <c:pt idx="822">
                  <c:v>44.601600000000374</c:v>
                </c:pt>
                <c:pt idx="823">
                  <c:v>44.601700000000378</c:v>
                </c:pt>
                <c:pt idx="824">
                  <c:v>44.601800000000381</c:v>
                </c:pt>
                <c:pt idx="825">
                  <c:v>44.601900000000384</c:v>
                </c:pt>
                <c:pt idx="826">
                  <c:v>44.602000000000388</c:v>
                </c:pt>
                <c:pt idx="827">
                  <c:v>44.602100000000391</c:v>
                </c:pt>
                <c:pt idx="828">
                  <c:v>44.602200000000394</c:v>
                </c:pt>
                <c:pt idx="829">
                  <c:v>44.602300000000398</c:v>
                </c:pt>
                <c:pt idx="830">
                  <c:v>44.602400000000401</c:v>
                </c:pt>
                <c:pt idx="831">
                  <c:v>44.602500000000404</c:v>
                </c:pt>
                <c:pt idx="832">
                  <c:v>44.602600000000407</c:v>
                </c:pt>
                <c:pt idx="833">
                  <c:v>44.602700000000411</c:v>
                </c:pt>
                <c:pt idx="834">
                  <c:v>44.602800000000414</c:v>
                </c:pt>
                <c:pt idx="835">
                  <c:v>44.602900000000417</c:v>
                </c:pt>
                <c:pt idx="836">
                  <c:v>44.603000000000421</c:v>
                </c:pt>
                <c:pt idx="837">
                  <c:v>44.603100000000424</c:v>
                </c:pt>
                <c:pt idx="838">
                  <c:v>44.603200000000427</c:v>
                </c:pt>
                <c:pt idx="839">
                  <c:v>44.603300000000431</c:v>
                </c:pt>
                <c:pt idx="840">
                  <c:v>44.603400000000434</c:v>
                </c:pt>
                <c:pt idx="841">
                  <c:v>44.603500000000437</c:v>
                </c:pt>
                <c:pt idx="842">
                  <c:v>44.603600000000441</c:v>
                </c:pt>
                <c:pt idx="843">
                  <c:v>44.603700000000444</c:v>
                </c:pt>
                <c:pt idx="844">
                  <c:v>44.603800000000447</c:v>
                </c:pt>
                <c:pt idx="845">
                  <c:v>44.603900000000451</c:v>
                </c:pt>
                <c:pt idx="846">
                  <c:v>44.604000000000454</c:v>
                </c:pt>
                <c:pt idx="847">
                  <c:v>44.604100000000457</c:v>
                </c:pt>
                <c:pt idx="848">
                  <c:v>44.604200000000461</c:v>
                </c:pt>
                <c:pt idx="849">
                  <c:v>44.604300000000464</c:v>
                </c:pt>
                <c:pt idx="850">
                  <c:v>44.604400000000467</c:v>
                </c:pt>
                <c:pt idx="851">
                  <c:v>44.604500000000471</c:v>
                </c:pt>
                <c:pt idx="852">
                  <c:v>44.604600000000474</c:v>
                </c:pt>
                <c:pt idx="853">
                  <c:v>44.604700000000477</c:v>
                </c:pt>
                <c:pt idx="854">
                  <c:v>44.604800000000481</c:v>
                </c:pt>
                <c:pt idx="855">
                  <c:v>44.604900000000484</c:v>
                </c:pt>
                <c:pt idx="856">
                  <c:v>44.605000000000487</c:v>
                </c:pt>
                <c:pt idx="857">
                  <c:v>44.60510000000049</c:v>
                </c:pt>
                <c:pt idx="858">
                  <c:v>44.605200000000494</c:v>
                </c:pt>
                <c:pt idx="859">
                  <c:v>44.605300000000497</c:v>
                </c:pt>
                <c:pt idx="860">
                  <c:v>44.6054000000005</c:v>
                </c:pt>
                <c:pt idx="861">
                  <c:v>44.605500000000504</c:v>
                </c:pt>
                <c:pt idx="862">
                  <c:v>44.605600000000507</c:v>
                </c:pt>
                <c:pt idx="863">
                  <c:v>44.60570000000051</c:v>
                </c:pt>
                <c:pt idx="864">
                  <c:v>44.605800000000514</c:v>
                </c:pt>
                <c:pt idx="865">
                  <c:v>44.605900000000517</c:v>
                </c:pt>
                <c:pt idx="866">
                  <c:v>44.60600000000052</c:v>
                </c:pt>
                <c:pt idx="867">
                  <c:v>44.606100000000524</c:v>
                </c:pt>
                <c:pt idx="868">
                  <c:v>44.606200000000527</c:v>
                </c:pt>
                <c:pt idx="869">
                  <c:v>44.60630000000053</c:v>
                </c:pt>
                <c:pt idx="870">
                  <c:v>44.606400000000534</c:v>
                </c:pt>
                <c:pt idx="871">
                  <c:v>44.606500000000537</c:v>
                </c:pt>
                <c:pt idx="872">
                  <c:v>44.60660000000054</c:v>
                </c:pt>
                <c:pt idx="873">
                  <c:v>44.606700000000544</c:v>
                </c:pt>
                <c:pt idx="874">
                  <c:v>44.606800000000547</c:v>
                </c:pt>
                <c:pt idx="875">
                  <c:v>44.60690000000055</c:v>
                </c:pt>
                <c:pt idx="876">
                  <c:v>44.607000000000554</c:v>
                </c:pt>
                <c:pt idx="877">
                  <c:v>44.607100000000557</c:v>
                </c:pt>
                <c:pt idx="878">
                  <c:v>44.60720000000056</c:v>
                </c:pt>
                <c:pt idx="879">
                  <c:v>44.607300000000564</c:v>
                </c:pt>
                <c:pt idx="880">
                  <c:v>44.607400000000567</c:v>
                </c:pt>
                <c:pt idx="881">
                  <c:v>44.60750000000057</c:v>
                </c:pt>
                <c:pt idx="882">
                  <c:v>44.607600000000573</c:v>
                </c:pt>
                <c:pt idx="883">
                  <c:v>44.607700000000577</c:v>
                </c:pt>
                <c:pt idx="884">
                  <c:v>44.60780000000058</c:v>
                </c:pt>
                <c:pt idx="885">
                  <c:v>44.607900000000583</c:v>
                </c:pt>
                <c:pt idx="886">
                  <c:v>44.608000000000587</c:v>
                </c:pt>
                <c:pt idx="887">
                  <c:v>44.60810000000059</c:v>
                </c:pt>
                <c:pt idx="888">
                  <c:v>44.608200000000593</c:v>
                </c:pt>
                <c:pt idx="889">
                  <c:v>44.608300000000597</c:v>
                </c:pt>
                <c:pt idx="890">
                  <c:v>44.6084000000006</c:v>
                </c:pt>
                <c:pt idx="891">
                  <c:v>44.608500000000603</c:v>
                </c:pt>
                <c:pt idx="892">
                  <c:v>44.608600000000607</c:v>
                </c:pt>
                <c:pt idx="893">
                  <c:v>44.60870000000061</c:v>
                </c:pt>
                <c:pt idx="894">
                  <c:v>44.608800000000613</c:v>
                </c:pt>
                <c:pt idx="895">
                  <c:v>44.608900000000617</c:v>
                </c:pt>
                <c:pt idx="896">
                  <c:v>44.60900000000062</c:v>
                </c:pt>
                <c:pt idx="897">
                  <c:v>44.609100000000623</c:v>
                </c:pt>
                <c:pt idx="898">
                  <c:v>44.609200000000627</c:v>
                </c:pt>
                <c:pt idx="899">
                  <c:v>44.60930000000063</c:v>
                </c:pt>
                <c:pt idx="900">
                  <c:v>44.609400000000633</c:v>
                </c:pt>
                <c:pt idx="901">
                  <c:v>44.609500000000637</c:v>
                </c:pt>
                <c:pt idx="902">
                  <c:v>44.60960000000064</c:v>
                </c:pt>
                <c:pt idx="903">
                  <c:v>44.609700000000643</c:v>
                </c:pt>
                <c:pt idx="904">
                  <c:v>44.609800000000646</c:v>
                </c:pt>
                <c:pt idx="905">
                  <c:v>44.60990000000065</c:v>
                </c:pt>
                <c:pt idx="906">
                  <c:v>44.610000000000653</c:v>
                </c:pt>
                <c:pt idx="907">
                  <c:v>44.610100000000656</c:v>
                </c:pt>
                <c:pt idx="908">
                  <c:v>44.61020000000066</c:v>
                </c:pt>
                <c:pt idx="909">
                  <c:v>44.610300000000663</c:v>
                </c:pt>
                <c:pt idx="910">
                  <c:v>44.610400000000666</c:v>
                </c:pt>
                <c:pt idx="911">
                  <c:v>44.61050000000067</c:v>
                </c:pt>
                <c:pt idx="912">
                  <c:v>44.610600000000673</c:v>
                </c:pt>
                <c:pt idx="913">
                  <c:v>44.610700000000676</c:v>
                </c:pt>
                <c:pt idx="914">
                  <c:v>44.61080000000068</c:v>
                </c:pt>
                <c:pt idx="915">
                  <c:v>44.610900000000683</c:v>
                </c:pt>
                <c:pt idx="916">
                  <c:v>44.611000000000686</c:v>
                </c:pt>
                <c:pt idx="917">
                  <c:v>44.61110000000069</c:v>
                </c:pt>
                <c:pt idx="918">
                  <c:v>44.611200000000693</c:v>
                </c:pt>
                <c:pt idx="919">
                  <c:v>44.611300000000696</c:v>
                </c:pt>
                <c:pt idx="920">
                  <c:v>44.6114000000007</c:v>
                </c:pt>
                <c:pt idx="921">
                  <c:v>44.611500000000703</c:v>
                </c:pt>
                <c:pt idx="922">
                  <c:v>44.611600000000706</c:v>
                </c:pt>
                <c:pt idx="923">
                  <c:v>44.61170000000071</c:v>
                </c:pt>
                <c:pt idx="924">
                  <c:v>44.611800000000713</c:v>
                </c:pt>
                <c:pt idx="925">
                  <c:v>44.611900000000716</c:v>
                </c:pt>
                <c:pt idx="926">
                  <c:v>44.61200000000072</c:v>
                </c:pt>
                <c:pt idx="927">
                  <c:v>44.612100000000723</c:v>
                </c:pt>
                <c:pt idx="928">
                  <c:v>44.612200000000726</c:v>
                </c:pt>
                <c:pt idx="929">
                  <c:v>44.612300000000729</c:v>
                </c:pt>
                <c:pt idx="930">
                  <c:v>44.612400000000733</c:v>
                </c:pt>
                <c:pt idx="931">
                  <c:v>44.612500000000736</c:v>
                </c:pt>
                <c:pt idx="932">
                  <c:v>44.612600000000739</c:v>
                </c:pt>
                <c:pt idx="933">
                  <c:v>44.612700000000743</c:v>
                </c:pt>
                <c:pt idx="934">
                  <c:v>44.612800000000746</c:v>
                </c:pt>
                <c:pt idx="935">
                  <c:v>44.612900000000749</c:v>
                </c:pt>
                <c:pt idx="936">
                  <c:v>44.613000000000753</c:v>
                </c:pt>
                <c:pt idx="937">
                  <c:v>44.613100000000756</c:v>
                </c:pt>
                <c:pt idx="938">
                  <c:v>44.613200000000759</c:v>
                </c:pt>
                <c:pt idx="939">
                  <c:v>44.613300000000763</c:v>
                </c:pt>
                <c:pt idx="940">
                  <c:v>44.613400000000766</c:v>
                </c:pt>
                <c:pt idx="941">
                  <c:v>44.613500000000769</c:v>
                </c:pt>
                <c:pt idx="942">
                  <c:v>44.613600000000773</c:v>
                </c:pt>
                <c:pt idx="943">
                  <c:v>44.613700000000776</c:v>
                </c:pt>
                <c:pt idx="944">
                  <c:v>44.613800000000779</c:v>
                </c:pt>
                <c:pt idx="945">
                  <c:v>44.613900000000783</c:v>
                </c:pt>
                <c:pt idx="946">
                  <c:v>44.614000000000786</c:v>
                </c:pt>
                <c:pt idx="947">
                  <c:v>44.614100000000789</c:v>
                </c:pt>
                <c:pt idx="948">
                  <c:v>44.614200000000793</c:v>
                </c:pt>
                <c:pt idx="949">
                  <c:v>44.614300000000796</c:v>
                </c:pt>
                <c:pt idx="950">
                  <c:v>44.614400000000799</c:v>
                </c:pt>
                <c:pt idx="951">
                  <c:v>44.614500000000803</c:v>
                </c:pt>
                <c:pt idx="952">
                  <c:v>44.614600000000806</c:v>
                </c:pt>
                <c:pt idx="953">
                  <c:v>44.614700000000809</c:v>
                </c:pt>
                <c:pt idx="954">
                  <c:v>44.614800000000812</c:v>
                </c:pt>
                <c:pt idx="955">
                  <c:v>44.614900000000816</c:v>
                </c:pt>
                <c:pt idx="956">
                  <c:v>44.615000000000819</c:v>
                </c:pt>
                <c:pt idx="957">
                  <c:v>44.615100000000822</c:v>
                </c:pt>
                <c:pt idx="958">
                  <c:v>44.615200000000826</c:v>
                </c:pt>
                <c:pt idx="959">
                  <c:v>44.615300000000829</c:v>
                </c:pt>
                <c:pt idx="960">
                  <c:v>44.615400000000832</c:v>
                </c:pt>
                <c:pt idx="961">
                  <c:v>44.615500000000836</c:v>
                </c:pt>
                <c:pt idx="962">
                  <c:v>44.615600000000839</c:v>
                </c:pt>
                <c:pt idx="963">
                  <c:v>44.615700000000842</c:v>
                </c:pt>
                <c:pt idx="964">
                  <c:v>44.615800000000846</c:v>
                </c:pt>
                <c:pt idx="965">
                  <c:v>44.615900000000849</c:v>
                </c:pt>
                <c:pt idx="966">
                  <c:v>44.616000000000852</c:v>
                </c:pt>
                <c:pt idx="967">
                  <c:v>44.616100000000856</c:v>
                </c:pt>
                <c:pt idx="968">
                  <c:v>44.616200000000859</c:v>
                </c:pt>
                <c:pt idx="969">
                  <c:v>44.616300000000862</c:v>
                </c:pt>
                <c:pt idx="970">
                  <c:v>44.616400000000866</c:v>
                </c:pt>
                <c:pt idx="971">
                  <c:v>44.616500000000869</c:v>
                </c:pt>
                <c:pt idx="972">
                  <c:v>44.616600000000872</c:v>
                </c:pt>
                <c:pt idx="973">
                  <c:v>44.616700000000876</c:v>
                </c:pt>
                <c:pt idx="974">
                  <c:v>44.616800000000879</c:v>
                </c:pt>
                <c:pt idx="975">
                  <c:v>44.616900000000882</c:v>
                </c:pt>
                <c:pt idx="976">
                  <c:v>44.617000000000886</c:v>
                </c:pt>
                <c:pt idx="977">
                  <c:v>44.617100000000889</c:v>
                </c:pt>
                <c:pt idx="978">
                  <c:v>44.617200000000892</c:v>
                </c:pt>
                <c:pt idx="979">
                  <c:v>44.617300000000895</c:v>
                </c:pt>
                <c:pt idx="980">
                  <c:v>44.617400000000899</c:v>
                </c:pt>
                <c:pt idx="981">
                  <c:v>44.617500000000902</c:v>
                </c:pt>
                <c:pt idx="982">
                  <c:v>44.617600000000905</c:v>
                </c:pt>
                <c:pt idx="983">
                  <c:v>44.617700000000909</c:v>
                </c:pt>
                <c:pt idx="984">
                  <c:v>44.617800000000912</c:v>
                </c:pt>
                <c:pt idx="985">
                  <c:v>44.617900000000915</c:v>
                </c:pt>
                <c:pt idx="986">
                  <c:v>44.618000000000919</c:v>
                </c:pt>
                <c:pt idx="987">
                  <c:v>44.618100000000922</c:v>
                </c:pt>
                <c:pt idx="988">
                  <c:v>44.618200000000925</c:v>
                </c:pt>
                <c:pt idx="989">
                  <c:v>44.618300000000929</c:v>
                </c:pt>
                <c:pt idx="990">
                  <c:v>44.618400000000932</c:v>
                </c:pt>
                <c:pt idx="991">
                  <c:v>44.618500000000935</c:v>
                </c:pt>
                <c:pt idx="992">
                  <c:v>44.618600000000939</c:v>
                </c:pt>
                <c:pt idx="993">
                  <c:v>44.618700000000942</c:v>
                </c:pt>
                <c:pt idx="994">
                  <c:v>44.618800000000945</c:v>
                </c:pt>
                <c:pt idx="995">
                  <c:v>44.618900000000949</c:v>
                </c:pt>
                <c:pt idx="996">
                  <c:v>44.619000000000952</c:v>
                </c:pt>
                <c:pt idx="997">
                  <c:v>44.619100000000955</c:v>
                </c:pt>
                <c:pt idx="998">
                  <c:v>44.619200000000959</c:v>
                </c:pt>
                <c:pt idx="999">
                  <c:v>44.619300000000962</c:v>
                </c:pt>
                <c:pt idx="1000">
                  <c:v>44.619400000000965</c:v>
                </c:pt>
              </c:numCache>
            </c:numRef>
          </c:xVal>
          <c:yVal>
            <c:numRef>
              <c:f>Calculs!$AG$4:$AG$1004</c:f>
              <c:numCache>
                <c:formatCode>0.00</c:formatCode>
                <c:ptCount val="1001"/>
                <c:pt idx="0">
                  <c:v>0</c:v>
                </c:pt>
                <c:pt idx="1">
                  <c:v>-1.20925490740089</c:v>
                </c:pt>
                <c:pt idx="2">
                  <c:v>28.005351505336726</c:v>
                </c:pt>
                <c:pt idx="3">
                  <c:v>57.206624845671577</c:v>
                </c:pt>
                <c:pt idx="4">
                  <c:v>86.407130852508487</c:v>
                </c:pt>
                <c:pt idx="5">
                  <c:v>115.61912642567253</c:v>
                </c:pt>
                <c:pt idx="6">
                  <c:v>130.03176381404842</c:v>
                </c:pt>
                <c:pt idx="7">
                  <c:v>129.62272351723044</c:v>
                </c:pt>
                <c:pt idx="8">
                  <c:v>129.2113268651191</c:v>
                </c:pt>
                <c:pt idx="9">
                  <c:v>128.79759475134472</c:v>
                </c:pt>
                <c:pt idx="10">
                  <c:v>128.38154821100096</c:v>
                </c:pt>
                <c:pt idx="11">
                  <c:v>127.96320841749275</c:v>
                </c:pt>
                <c:pt idx="12">
                  <c:v>127.54259667935992</c:v>
                </c:pt>
                <c:pt idx="13">
                  <c:v>127.11973443707798</c:v>
                </c:pt>
                <c:pt idx="14">
                  <c:v>126.69464325983778</c:v>
                </c:pt>
                <c:pt idx="15">
                  <c:v>126.26734484230542</c:v>
                </c:pt>
                <c:pt idx="16">
                  <c:v>125.8378610013639</c:v>
                </c:pt>
                <c:pt idx="17">
                  <c:v>125.40621367283798</c:v>
                </c:pt>
                <c:pt idx="18">
                  <c:v>124.97242490820315</c:v>
                </c:pt>
                <c:pt idx="19">
                  <c:v>124.53651687128067</c:v>
                </c:pt>
                <c:pt idx="20">
                  <c:v>124.09851183491939</c:v>
                </c:pt>
                <c:pt idx="21">
                  <c:v>123.65843217766596</c:v>
                </c:pt>
                <c:pt idx="22">
                  <c:v>123.21630038042439</c:v>
                </c:pt>
                <c:pt idx="23">
                  <c:v>122.77213902310628</c:v>
                </c:pt>
                <c:pt idx="24">
                  <c:v>122.32597078127279</c:v>
                </c:pt>
                <c:pt idx="25">
                  <c:v>121.87781842276974</c:v>
                </c:pt>
                <c:pt idx="26">
                  <c:v>121.42770480435652</c:v>
                </c:pt>
                <c:pt idx="27">
                  <c:v>120.97565286833043</c:v>
                </c:pt>
                <c:pt idx="28">
                  <c:v>120.52168563914674</c:v>
                </c:pt>
                <c:pt idx="29">
                  <c:v>120.06582622003673</c:v>
                </c:pt>
                <c:pt idx="30">
                  <c:v>119.60809778962339</c:v>
                </c:pt>
                <c:pt idx="31">
                  <c:v>119.14852359853697</c:v>
                </c:pt>
                <c:pt idx="32">
                  <c:v>118.68712696603043</c:v>
                </c:pt>
                <c:pt idx="33">
                  <c:v>118.22393127659649</c:v>
                </c:pt>
                <c:pt idx="34">
                  <c:v>117.75895997658699</c:v>
                </c:pt>
                <c:pt idx="35">
                  <c:v>117.29223657083543</c:v>
                </c:pt>
                <c:pt idx="36">
                  <c:v>116.82378461928359</c:v>
                </c:pt>
                <c:pt idx="37">
                  <c:v>116.35362773361348</c:v>
                </c:pt>
                <c:pt idx="38">
                  <c:v>115.88178957388533</c:v>
                </c:pt>
                <c:pt idx="39">
                  <c:v>115.40829384518223</c:v>
                </c:pt>
                <c:pt idx="40">
                  <c:v>114.93316429426308</c:v>
                </c:pt>
                <c:pt idx="41">
                  <c:v>114.45642470622374</c:v>
                </c:pt>
                <c:pt idx="42">
                  <c:v>113.97809890116807</c:v>
                </c:pt>
                <c:pt idx="43">
                  <c:v>113.49821073088924</c:v>
                </c:pt>
                <c:pt idx="44">
                  <c:v>113.01678407556228</c:v>
                </c:pt>
                <c:pt idx="45">
                  <c:v>112.53384284044876</c:v>
                </c:pt>
                <c:pt idx="46">
                  <c:v>112.04941095261407</c:v>
                </c:pt>
                <c:pt idx="47">
                  <c:v>111.56351235765882</c:v>
                </c:pt>
                <c:pt idx="48">
                  <c:v>111.07617101646409</c:v>
                </c:pt>
                <c:pt idx="49">
                  <c:v>110.5874109019523</c:v>
                </c:pt>
                <c:pt idx="50">
                  <c:v>110.09725599586386</c:v>
                </c:pt>
                <c:pt idx="51">
                  <c:v>109.68455361582448</c:v>
                </c:pt>
                <c:pt idx="52">
                  <c:v>109.34937641501226</c:v>
                </c:pt>
                <c:pt idx="53">
                  <c:v>109.01286197201871</c:v>
                </c:pt>
                <c:pt idx="54">
                  <c:v>108.67502628070015</c:v>
                </c:pt>
                <c:pt idx="55">
                  <c:v>108.33588537513641</c:v>
                </c:pt>
                <c:pt idx="56">
                  <c:v>107.99545532764934</c:v>
                </c:pt>
                <c:pt idx="57">
                  <c:v>107.65375224682393</c:v>
                </c:pt>
                <c:pt idx="58">
                  <c:v>107.31079227553293</c:v>
                </c:pt>
                <c:pt idx="59">
                  <c:v>106.9665915889652</c:v>
                </c:pt>
                <c:pt idx="60">
                  <c:v>106.62116639265814</c:v>
                </c:pt>
                <c:pt idx="61">
                  <c:v>106.27453292053477</c:v>
                </c:pt>
                <c:pt idx="62">
                  <c:v>105.92670743294579</c:v>
                </c:pt>
                <c:pt idx="63">
                  <c:v>105.57770621471718</c:v>
                </c:pt>
                <c:pt idx="64">
                  <c:v>105.22754557320327</c:v>
                </c:pt>
                <c:pt idx="65">
                  <c:v>104.87624183634635</c:v>
                </c:pt>
                <c:pt idx="66">
                  <c:v>104.52381135074279</c:v>
                </c:pt>
                <c:pt idx="67">
                  <c:v>104.170270479716</c:v>
                </c:pt>
                <c:pt idx="68">
                  <c:v>103.81563560139683</c:v>
                </c:pt>
                <c:pt idx="69">
                  <c:v>103.45992310681186</c:v>
                </c:pt>
                <c:pt idx="70">
                  <c:v>103.10314939797946</c:v>
                </c:pt>
                <c:pt idx="71">
                  <c:v>102.7453308860146</c:v>
                </c:pt>
                <c:pt idx="72">
                  <c:v>102.38648398924248</c:v>
                </c:pt>
                <c:pt idx="73">
                  <c:v>102.0266251313211</c:v>
                </c:pt>
                <c:pt idx="74">
                  <c:v>101.66577073937371</c:v>
                </c:pt>
                <c:pt idx="75">
                  <c:v>101.3039372421308</c:v>
                </c:pt>
                <c:pt idx="76">
                  <c:v>100.94114106808256</c:v>
                </c:pt>
                <c:pt idx="77">
                  <c:v>100.57739864364171</c:v>
                </c:pt>
                <c:pt idx="78">
                  <c:v>100.21272639131746</c:v>
                </c:pt>
                <c:pt idx="79">
                  <c:v>99.847140727900111</c:v>
                </c:pt>
                <c:pt idx="80">
                  <c:v>99.480658062657994</c:v>
                </c:pt>
                <c:pt idx="81">
                  <c:v>99.113294795545386</c:v>
                </c:pt>
                <c:pt idx="82">
                  <c:v>98.745067315423157</c:v>
                </c:pt>
                <c:pt idx="83">
                  <c:v>98.375991998291568</c:v>
                </c:pt>
                <c:pt idx="84">
                  <c:v>98.006085205535641</c:v>
                </c:pt>
                <c:pt idx="85">
                  <c:v>97.635363282183988</c:v>
                </c:pt>
                <c:pt idx="86">
                  <c:v>97.263842555180389</c:v>
                </c:pt>
                <c:pt idx="87">
                  <c:v>96.891539331669279</c:v>
                </c:pt>
                <c:pt idx="88">
                  <c:v>96.518469897294821</c:v>
                </c:pt>
                <c:pt idx="89">
                  <c:v>96.14465051451424</c:v>
                </c:pt>
                <c:pt idx="90">
                  <c:v>95.77009742092531</c:v>
                </c:pt>
                <c:pt idx="91">
                  <c:v>95.394826827608654</c:v>
                </c:pt>
                <c:pt idx="92">
                  <c:v>95.018854917484532</c:v>
                </c:pt>
                <c:pt idx="93">
                  <c:v>94.642197843685068</c:v>
                </c:pt>
                <c:pt idx="94">
                  <c:v>94.264871727941383</c:v>
                </c:pt>
                <c:pt idx="95">
                  <c:v>93.886892658986568</c:v>
                </c:pt>
                <c:pt idx="96">
                  <c:v>93.508276690974256</c:v>
                </c:pt>
                <c:pt idx="97">
                  <c:v>93.129039841912942</c:v>
                </c:pt>
                <c:pt idx="98">
                  <c:v>92.749198092116913</c:v>
                </c:pt>
                <c:pt idx="99">
                  <c:v>92.368767382672942</c:v>
                </c:pt>
                <c:pt idx="100">
                  <c:v>91.987763613924074</c:v>
                </c:pt>
                <c:pt idx="101">
                  <c:v>91.569453430512795</c:v>
                </c:pt>
                <c:pt idx="102">
                  <c:v>91.113862227431781</c:v>
                </c:pt>
                <c:pt idx="103">
                  <c:v>90.657814196867818</c:v>
                </c:pt>
                <c:pt idx="104">
                  <c:v>90.201328187593688</c:v>
                </c:pt>
                <c:pt idx="105">
                  <c:v>89.74442296931494</c:v>
                </c:pt>
                <c:pt idx="106">
                  <c:v>89.287117230982602</c:v>
                </c:pt>
                <c:pt idx="107">
                  <c:v>88.829429579132622</c:v>
                </c:pt>
                <c:pt idx="108">
                  <c:v>88.37137853625218</c:v>
                </c:pt>
                <c:pt idx="109">
                  <c:v>87.912982539172845</c:v>
                </c:pt>
                <c:pt idx="110">
                  <c:v>87.454259937490747</c:v>
                </c:pt>
                <c:pt idx="111">
                  <c:v>86.995228992014091</c:v>
                </c:pt>
                <c:pt idx="112">
                  <c:v>86.535907873237676</c:v>
                </c:pt>
                <c:pt idx="113">
                  <c:v>86.076314659844869</c:v>
                </c:pt>
                <c:pt idx="114">
                  <c:v>85.61646733723704</c:v>
                </c:pt>
                <c:pt idx="115">
                  <c:v>85.156383796090338</c:v>
                </c:pt>
                <c:pt idx="116">
                  <c:v>84.696081830940187</c:v>
                </c:pt>
                <c:pt idx="117">
                  <c:v>84.235579138793156</c:v>
                </c:pt>
                <c:pt idx="118">
                  <c:v>83.774893317766541</c:v>
                </c:pt>
                <c:pt idx="119">
                  <c:v>83.314041865755797</c:v>
                </c:pt>
                <c:pt idx="120">
                  <c:v>82.853042179129332</c:v>
                </c:pt>
                <c:pt idx="121">
                  <c:v>82.391911551451244</c:v>
                </c:pt>
                <c:pt idx="122">
                  <c:v>81.930667172231821</c:v>
                </c:pt>
                <c:pt idx="123">
                  <c:v>81.469326125705479</c:v>
                </c:pt>
                <c:pt idx="124">
                  <c:v>81.007905389636619</c:v>
                </c:pt>
                <c:pt idx="125">
                  <c:v>80.546421834153293</c:v>
                </c:pt>
                <c:pt idx="126">
                  <c:v>80.084892220608353</c:v>
                </c:pt>
                <c:pt idx="127">
                  <c:v>79.62333320046821</c:v>
                </c:pt>
                <c:pt idx="128">
                  <c:v>79.161761314229452</c:v>
                </c:pt>
                <c:pt idx="129">
                  <c:v>78.700192990362737</c:v>
                </c:pt>
                <c:pt idx="130">
                  <c:v>78.238644544284497</c:v>
                </c:pt>
                <c:pt idx="131">
                  <c:v>77.777132177355867</c:v>
                </c:pt>
                <c:pt idx="132">
                  <c:v>77.315671975909169</c:v>
                </c:pt>
                <c:pt idx="133">
                  <c:v>76.854279910301557</c:v>
                </c:pt>
                <c:pt idx="134">
                  <c:v>76.392971833996029</c:v>
                </c:pt>
                <c:pt idx="135">
                  <c:v>75.931763482669595</c:v>
                </c:pt>
                <c:pt idx="136">
                  <c:v>75.470670473348434</c:v>
                </c:pt>
                <c:pt idx="137">
                  <c:v>75.009708303570079</c:v>
                </c:pt>
                <c:pt idx="138">
                  <c:v>74.548892350572402</c:v>
                </c:pt>
                <c:pt idx="139">
                  <c:v>74.088237870509431</c:v>
                </c:pt>
                <c:pt idx="140">
                  <c:v>73.627759997693644</c:v>
                </c:pt>
                <c:pt idx="141">
                  <c:v>73.167473743864946</c:v>
                </c:pt>
                <c:pt idx="142">
                  <c:v>72.707393997486008</c:v>
                </c:pt>
                <c:pt idx="143">
                  <c:v>72.247535523063647</c:v>
                </c:pt>
                <c:pt idx="144">
                  <c:v>71.787912960496556</c:v>
                </c:pt>
                <c:pt idx="145">
                  <c:v>71.328540824448737</c:v>
                </c:pt>
                <c:pt idx="146">
                  <c:v>70.86943350374905</c:v>
                </c:pt>
                <c:pt idx="147">
                  <c:v>70.410605260816155</c:v>
                </c:pt>
                <c:pt idx="148">
                  <c:v>69.952070231108948</c:v>
                </c:pt>
                <c:pt idx="149">
                  <c:v>69.493842422602512</c:v>
                </c:pt>
                <c:pt idx="150">
                  <c:v>69.035935715289</c:v>
                </c:pt>
                <c:pt idx="151">
                  <c:v>68.590998919587364</c:v>
                </c:pt>
                <c:pt idx="152">
                  <c:v>68.159031566196973</c:v>
                </c:pt>
                <c:pt idx="153">
                  <c:v>67.727382412229034</c:v>
                </c:pt>
                <c:pt idx="154">
                  <c:v>67.296064009109784</c:v>
                </c:pt>
                <c:pt idx="155">
                  <c:v>66.865088791056579</c:v>
                </c:pt>
                <c:pt idx="156">
                  <c:v>66.434469074726024</c:v>
                </c:pt>
                <c:pt idx="157">
                  <c:v>66.004217058882887</c:v>
                </c:pt>
                <c:pt idx="158">
                  <c:v>65.574344824090446</c:v>
                </c:pt>
                <c:pt idx="159">
                  <c:v>65.144864332421292</c:v>
                </c:pt>
                <c:pt idx="160">
                  <c:v>64.715787427189113</c:v>
                </c:pt>
                <c:pt idx="161">
                  <c:v>64.287125832700809</c:v>
                </c:pt>
                <c:pt idx="162">
                  <c:v>63.858891154028939</c:v>
                </c:pt>
                <c:pt idx="163">
                  <c:v>63.431094876804131</c:v>
                </c:pt>
                <c:pt idx="164">
                  <c:v>63.00374836702774</c:v>
                </c:pt>
                <c:pt idx="165">
                  <c:v>62.576862870903803</c:v>
                </c:pt>
                <c:pt idx="166">
                  <c:v>62.150449514690919</c:v>
                </c:pt>
                <c:pt idx="167">
                  <c:v>61.724519304573306</c:v>
                </c:pt>
                <c:pt idx="168">
                  <c:v>61.299083126550755</c:v>
                </c:pt>
                <c:pt idx="169">
                  <c:v>60.874151746347984</c:v>
                </c:pt>
                <c:pt idx="170">
                  <c:v>60.449735809342357</c:v>
                </c:pt>
                <c:pt idx="171">
                  <c:v>60.025845840510208</c:v>
                </c:pt>
                <c:pt idx="172">
                  <c:v>59.602492244391449</c:v>
                </c:pt>
                <c:pt idx="173">
                  <c:v>59.179685305072546</c:v>
                </c:pt>
                <c:pt idx="174">
                  <c:v>58.757435186186889</c:v>
                </c:pt>
                <c:pt idx="175">
                  <c:v>58.335751930933206</c:v>
                </c:pt>
                <c:pt idx="176">
                  <c:v>57.91464546211138</c:v>
                </c:pt>
                <c:pt idx="177">
                  <c:v>57.494125582175499</c:v>
                </c:pt>
                <c:pt idx="178">
                  <c:v>57.074201973303516</c:v>
                </c:pt>
                <c:pt idx="179">
                  <c:v>56.654884197484613</c:v>
                </c:pt>
                <c:pt idx="180">
                  <c:v>56.236181696622175</c:v>
                </c:pt>
                <c:pt idx="181">
                  <c:v>55.818103792653737</c:v>
                </c:pt>
                <c:pt idx="182">
                  <c:v>55.400659687686726</c:v>
                </c:pt>
                <c:pt idx="183">
                  <c:v>54.983858464150543</c:v>
                </c:pt>
                <c:pt idx="184">
                  <c:v>54.567709084963646</c:v>
                </c:pt>
                <c:pt idx="185">
                  <c:v>54.152220393716753</c:v>
                </c:pt>
                <c:pt idx="186">
                  <c:v>53.737401114870934</c:v>
                </c:pt>
                <c:pt idx="187">
                  <c:v>53.323259853970704</c:v>
                </c:pt>
                <c:pt idx="188">
                  <c:v>52.909805097871967</c:v>
                </c:pt>
                <c:pt idx="189">
                  <c:v>52.497045214984553</c:v>
                </c:pt>
                <c:pt idx="190">
                  <c:v>52.084988455528972</c:v>
                </c:pt>
                <c:pt idx="191">
                  <c:v>51.673642951807153</c:v>
                </c:pt>
                <c:pt idx="192">
                  <c:v>51.263016718487322</c:v>
                </c:pt>
                <c:pt idx="193">
                  <c:v>50.853117652902426</c:v>
                </c:pt>
                <c:pt idx="194">
                  <c:v>50.443953535361473</c:v>
                </c:pt>
                <c:pt idx="195">
                  <c:v>50.035532029474879</c:v>
                </c:pt>
                <c:pt idx="196">
                  <c:v>49.627860682492141</c:v>
                </c:pt>
                <c:pt idx="197">
                  <c:v>49.220946925652271</c:v>
                </c:pt>
                <c:pt idx="198">
                  <c:v>48.814798074546857</c:v>
                </c:pt>
                <c:pt idx="199">
                  <c:v>48.409421329495423</c:v>
                </c:pt>
                <c:pt idx="200">
                  <c:v>48.004823775932671</c:v>
                </c:pt>
                <c:pt idx="201">
                  <c:v>47.601012384807412</c:v>
                </c:pt>
                <c:pt idx="202">
                  <c:v>47.197994012993263</c:v>
                </c:pt>
                <c:pt idx="203">
                  <c:v>46.795775403710685</c:v>
                </c:pt>
                <c:pt idx="204">
                  <c:v>46.394363186959794</c:v>
                </c:pt>
                <c:pt idx="205">
                  <c:v>45.993763879964561</c:v>
                </c:pt>
                <c:pt idx="206">
                  <c:v>45.59398388762726</c:v>
                </c:pt>
                <c:pt idx="207">
                  <c:v>45.195029502993293</c:v>
                </c:pt>
                <c:pt idx="208">
                  <c:v>44.796906907726715</c:v>
                </c:pt>
                <c:pt idx="209">
                  <c:v>44.399622172595151</c:v>
                </c:pt>
                <c:pt idx="210">
                  <c:v>44.003181257964826</c:v>
                </c:pt>
                <c:pt idx="211">
                  <c:v>43.607590014305025</c:v>
                </c:pt>
                <c:pt idx="212">
                  <c:v>43.212854182701776</c:v>
                </c:pt>
                <c:pt idx="213">
                  <c:v>42.818979395380779</c:v>
                </c:pt>
                <c:pt idx="214">
                  <c:v>42.425971176239145</c:v>
                </c:pt>
                <c:pt idx="215">
                  <c:v>42.033834941385734</c:v>
                </c:pt>
                <c:pt idx="216">
                  <c:v>41.642575999689988</c:v>
                </c:pt>
                <c:pt idx="217">
                  <c:v>41.25219955333899</c:v>
                </c:pt>
                <c:pt idx="218">
                  <c:v>40.862710698402502</c:v>
                </c:pt>
                <c:pt idx="219">
                  <c:v>40.474114425405872</c:v>
                </c:pt>
                <c:pt idx="220">
                  <c:v>40.086415619910319</c:v>
                </c:pt>
                <c:pt idx="221">
                  <c:v>39.699619063100904</c:v>
                </c:pt>
                <c:pt idx="222">
                  <c:v>39.313729432381471</c:v>
                </c:pt>
                <c:pt idx="223">
                  <c:v>38.928751301976554</c:v>
                </c:pt>
                <c:pt idx="224">
                  <c:v>38.544689143540097</c:v>
                </c:pt>
                <c:pt idx="225">
                  <c:v>38.161547326770624</c:v>
                </c:pt>
                <c:pt idx="226">
                  <c:v>37.779330120033109</c:v>
                </c:pt>
                <c:pt idx="227">
                  <c:v>37.398041690986311</c:v>
                </c:pt>
                <c:pt idx="228">
                  <c:v>37.017686107216846</c:v>
                </c:pt>
                <c:pt idx="229">
                  <c:v>36.638267336878386</c:v>
                </c:pt>
                <c:pt idx="230">
                  <c:v>36.259789249336912</c:v>
                </c:pt>
                <c:pt idx="231">
                  <c:v>35.882255615820782</c:v>
                </c:pt>
                <c:pt idx="232">
                  <c:v>35.505670110076743</c:v>
                </c:pt>
                <c:pt idx="233">
                  <c:v>35.130036309029947</c:v>
                </c:pt>
                <c:pt idx="234">
                  <c:v>34.755357693449497</c:v>
                </c:pt>
                <c:pt idx="235">
                  <c:v>34.381637648618693</c:v>
                </c:pt>
                <c:pt idx="236">
                  <c:v>34.008879465008768</c:v>
                </c:pt>
                <c:pt idx="237">
                  <c:v>33.637086338958063</c:v>
                </c:pt>
                <c:pt idx="238">
                  <c:v>33.266261373354439</c:v>
                </c:pt>
                <c:pt idx="239">
                  <c:v>32.896407578321636</c:v>
                </c:pt>
                <c:pt idx="240">
                  <c:v>32.527527871910031</c:v>
                </c:pt>
                <c:pt idx="241">
                  <c:v>32.159625080789844</c:v>
                </c:pt>
                <c:pt idx="242">
                  <c:v>31.792701940948653</c:v>
                </c:pt>
                <c:pt idx="243">
                  <c:v>31.426761098391587</c:v>
                </c:pt>
                <c:pt idx="244">
                  <c:v>31.06180510984462</c:v>
                </c:pt>
                <c:pt idx="245">
                  <c:v>30.69783644346083</c:v>
                </c:pt>
                <c:pt idx="246">
                  <c:v>30.334857479529177</c:v>
                </c:pt>
                <c:pt idx="247">
                  <c:v>29.97287051118602</c:v>
                </c:pt>
                <c:pt idx="248">
                  <c:v>29.611877745128609</c:v>
                </c:pt>
                <c:pt idx="249">
                  <c:v>29.251881302331363</c:v>
                </c:pt>
                <c:pt idx="250">
                  <c:v>28.892883218763622</c:v>
                </c:pt>
                <c:pt idx="251">
                  <c:v>28.47938260296096</c:v>
                </c:pt>
                <c:pt idx="252">
                  <c:v>28.011513155385799</c:v>
                </c:pt>
                <c:pt idx="253">
                  <c:v>27.544966530255905</c:v>
                </c:pt>
                <c:pt idx="254">
                  <c:v>27.079745637471738</c:v>
                </c:pt>
                <c:pt idx="255">
                  <c:v>26.61585325345002</c:v>
                </c:pt>
                <c:pt idx="256">
                  <c:v>26.153292022342391</c:v>
                </c:pt>
                <c:pt idx="257">
                  <c:v>25.692064457257111</c:v>
                </c:pt>
                <c:pt idx="258">
                  <c:v>25.232172941483917</c:v>
                </c:pt>
                <c:pt idx="259">
                  <c:v>24.773619729720863</c:v>
                </c:pt>
                <c:pt idx="260">
                  <c:v>24.316406949303932</c:v>
                </c:pt>
                <c:pt idx="261">
                  <c:v>23.860536601438351</c:v>
                </c:pt>
                <c:pt idx="262">
                  <c:v>23.406010562431696</c:v>
                </c:pt>
                <c:pt idx="263">
                  <c:v>22.952830584928108</c:v>
                </c:pt>
                <c:pt idx="264">
                  <c:v>22.500998299144058</c:v>
                </c:pt>
                <c:pt idx="265">
                  <c:v>22.050515214104827</c:v>
                </c:pt>
                <c:pt idx="266">
                  <c:v>21.601382718881336</c:v>
                </c:pt>
                <c:pt idx="267">
                  <c:v>21.153602083827657</c:v>
                </c:pt>
                <c:pt idx="268">
                  <c:v>20.707174461818511</c:v>
                </c:pt>
                <c:pt idx="269">
                  <c:v>20.262100889486511</c:v>
                </c:pt>
                <c:pt idx="270">
                  <c:v>19.818382288459063</c:v>
                </c:pt>
                <c:pt idx="271">
                  <c:v>19.376019466594634</c:v>
                </c:pt>
                <c:pt idx="272">
                  <c:v>18.935013119218247</c:v>
                </c:pt>
                <c:pt idx="273">
                  <c:v>18.495363830355508</c:v>
                </c:pt>
                <c:pt idx="274">
                  <c:v>18.057072073965792</c:v>
                </c:pt>
                <c:pt idx="275">
                  <c:v>17.62013821517348</c:v>
                </c:pt>
                <c:pt idx="276">
                  <c:v>17.184562511497429</c:v>
                </c:pt>
                <c:pt idx="277">
                  <c:v>16.750345114078918</c:v>
                </c:pt>
                <c:pt idx="278">
                  <c:v>16.317486068906632</c:v>
                </c:pt>
                <c:pt idx="279">
                  <c:v>15.885985318039927</c:v>
                </c:pt>
                <c:pt idx="280">
                  <c:v>15.455842700829022</c:v>
                </c:pt>
                <c:pt idx="281">
                  <c:v>15.027057955132655</c:v>
                </c:pt>
                <c:pt idx="282">
                  <c:v>14.599630718532561</c:v>
                </c:pt>
                <c:pt idx="283">
                  <c:v>14.173560529545025</c:v>
                </c:pt>
                <c:pt idx="284">
                  <c:v>13.748846828828583</c:v>
                </c:pt>
                <c:pt idx="285">
                  <c:v>13.325488960388768</c:v>
                </c:pt>
                <c:pt idx="286">
                  <c:v>12.903486172778546</c:v>
                </c:pt>
                <c:pt idx="287">
                  <c:v>12.482837620295355</c:v>
                </c:pt>
                <c:pt idx="288">
                  <c:v>12.063542364173626</c:v>
                </c:pt>
                <c:pt idx="289">
                  <c:v>11.64559937377355</c:v>
                </c:pt>
                <c:pt idx="290">
                  <c:v>11.229007527764999</c:v>
                </c:pt>
                <c:pt idx="291">
                  <c:v>10.813765615307013</c:v>
                </c:pt>
                <c:pt idx="292">
                  <c:v>10.399872337222986</c:v>
                </c:pt>
                <c:pt idx="293">
                  <c:v>9.9873263071703064</c:v>
                </c:pt>
                <c:pt idx="294">
                  <c:v>9.5761260528056216</c:v>
                </c:pt>
                <c:pt idx="295">
                  <c:v>9.1662700169446403</c:v>
                </c:pt>
                <c:pt idx="296">
                  <c:v>8.7577565587167587</c:v>
                </c:pt>
                <c:pt idx="297">
                  <c:v>8.350583954714148</c:v>
                </c:pt>
                <c:pt idx="298">
                  <c:v>7.3313167647985455</c:v>
                </c:pt>
                <c:pt idx="299">
                  <c:v>5.7017321531803766</c:v>
                </c:pt>
                <c:pt idx="300">
                  <c:v>4.0775473608445676</c:v>
                </c:pt>
                <c:pt idx="301">
                  <c:v>2.4587826429833672</c:v>
                </c:pt>
                <c:pt idx="302">
                  <c:v>0.84545686562729294</c:v>
                </c:pt>
                <c:pt idx="303">
                  <c:v>-0.76241247791837097</c:v>
                </c:pt>
                <c:pt idx="304">
                  <c:v>-2.364809250522609</c:v>
                </c:pt>
                <c:pt idx="305">
                  <c:v>-3.9617186545724392</c:v>
                </c:pt>
                <c:pt idx="306">
                  <c:v>-5.5531272152226157</c:v>
                </c:pt>
                <c:pt idx="307">
                  <c:v>-7.1390227635606829</c:v>
                </c:pt>
                <c:pt idx="308">
                  <c:v>-8.7193944196970943</c:v>
                </c:pt>
                <c:pt idx="309">
                  <c:v>-10.294232575790831</c:v>
                </c:pt>
                <c:pt idx="310">
                  <c:v>-11.863528879018711</c:v>
                </c:pt>
                <c:pt idx="311">
                  <c:v>-13.42727621449888</c:v>
                </c:pt>
                <c:pt idx="312">
                  <c:v>-14.985468688176173</c:v>
                </c:pt>
                <c:pt idx="313">
                  <c:v>-16.538101609679771</c:v>
                </c:pt>
                <c:pt idx="314">
                  <c:v>-18.085171475160209</c:v>
                </c:pt>
                <c:pt idx="315">
                  <c:v>-19.626675950114993</c:v>
                </c:pt>
                <c:pt idx="316">
                  <c:v>-21.162613852211486</c:v>
                </c:pt>
                <c:pt idx="317">
                  <c:v>-22.692985134113414</c:v>
                </c:pt>
                <c:pt idx="318">
                  <c:v>-24.217790866321035</c:v>
                </c:pt>
                <c:pt idx="319">
                  <c:v>-25.737033220030895</c:v>
                </c:pt>
                <c:pt idx="320">
                  <c:v>-27.250715450023186</c:v>
                </c:pt>
                <c:pt idx="321">
                  <c:v>-28.514338748506653</c:v>
                </c:pt>
                <c:pt idx="322">
                  <c:v>-29.528792813145891</c:v>
                </c:pt>
                <c:pt idx="323">
                  <c:v>-30.539577924879708</c:v>
                </c:pt>
                <c:pt idx="324">
                  <c:v>-31.546705828514391</c:v>
                </c:pt>
                <c:pt idx="325">
                  <c:v>-32.550188666018293</c:v>
                </c:pt>
                <c:pt idx="326">
                  <c:v>-33.55003896908994</c:v>
                </c:pt>
                <c:pt idx="327">
                  <c:v>-34.546269651788677</c:v>
                </c:pt>
                <c:pt idx="328">
                  <c:v>-35.538894003229771</c:v>
                </c:pt>
                <c:pt idx="329">
                  <c:v>-36.527925680344389</c:v>
                </c:pt>
                <c:pt idx="330">
                  <c:v>-37.513378700706319</c:v>
                </c:pt>
                <c:pt idx="331">
                  <c:v>-38.495267435425674</c:v>
                </c:pt>
                <c:pt idx="332">
                  <c:v>-39.473606602111118</c:v>
                </c:pt>
                <c:pt idx="333">
                  <c:v>-40.448411257901732</c:v>
                </c:pt>
                <c:pt idx="334">
                  <c:v>-41.419696792568459</c:v>
                </c:pt>
                <c:pt idx="335">
                  <c:v>-42.38747892168724</c:v>
                </c:pt>
                <c:pt idx="336">
                  <c:v>-43.351773679883678</c:v>
                </c:pt>
                <c:pt idx="337">
                  <c:v>-44.312597414150339</c:v>
                </c:pt>
                <c:pt idx="338">
                  <c:v>-45.269966777237428</c:v>
                </c:pt>
                <c:pt idx="339">
                  <c:v>-46.223898721117607</c:v>
                </c:pt>
                <c:pt idx="340">
                  <c:v>-47.174410490525133</c:v>
                </c:pt>
                <c:pt idx="341">
                  <c:v>-48.12151961657041</c:v>
                </c:pt>
                <c:pt idx="342">
                  <c:v>-49.065243910430063</c:v>
                </c:pt>
                <c:pt idx="343">
                  <c:v>-50.00560145711345</c:v>
                </c:pt>
                <c:pt idx="344">
                  <c:v>-50.942610609305646</c:v>
                </c:pt>
                <c:pt idx="345">
                  <c:v>-51.876289981287663</c:v>
                </c:pt>
                <c:pt idx="346">
                  <c:v>-52.806658442933831</c:v>
                </c:pt>
                <c:pt idx="347">
                  <c:v>-53.733735113787446</c:v>
                </c:pt>
                <c:pt idx="348">
                  <c:v>-54.631140743238149</c:v>
                </c:pt>
                <c:pt idx="349">
                  <c:v>-55.499001224052044</c:v>
                </c:pt>
                <c:pt idx="350">
                  <c:v>-56.363843988718259</c:v>
                </c:pt>
                <c:pt idx="351">
                  <c:v>-57.22568844473868</c:v>
                </c:pt>
                <c:pt idx="352">
                  <c:v>-58.084554183451516</c:v>
                </c:pt>
                <c:pt idx="353">
                  <c:v>-58.940460975320171</c:v>
                </c:pt>
                <c:pt idx="354">
                  <c:v>-59.793428765292646</c:v>
                </c:pt>
                <c:pt idx="355">
                  <c:v>-60.643477668232279</c:v>
                </c:pt>
                <c:pt idx="356">
                  <c:v>-61.490627964419872</c:v>
                </c:pt>
                <c:pt idx="357">
                  <c:v>-62.334900095126329</c:v>
                </c:pt>
                <c:pt idx="358">
                  <c:v>-63.176314658256366</c:v>
                </c:pt>
                <c:pt idx="359">
                  <c:v>-64.014892404063147</c:v>
                </c:pt>
                <c:pt idx="360">
                  <c:v>-64.301590153693198</c:v>
                </c:pt>
                <c:pt idx="361">
                  <c:v>-64.038701576614358</c:v>
                </c:pt>
                <c:pt idx="362">
                  <c:v>-63.777558394675893</c:v>
                </c:pt>
                <c:pt idx="363">
                  <c:v>-63.518145076579287</c:v>
                </c:pt>
                <c:pt idx="364">
                  <c:v>-63.260446264396499</c:v>
                </c:pt>
                <c:pt idx="365">
                  <c:v>-63.004446771244289</c:v>
                </c:pt>
                <c:pt idx="366">
                  <c:v>-62.750131578994718</c:v>
                </c:pt>
                <c:pt idx="367">
                  <c:v>-62.497485836021653</c:v>
                </c:pt>
                <c:pt idx="368">
                  <c:v>-62.246494854982245</c:v>
                </c:pt>
                <c:pt idx="369">
                  <c:v>-61.997144110633045</c:v>
                </c:pt>
                <c:pt idx="370">
                  <c:v>-61.749419237679696</c:v>
                </c:pt>
                <c:pt idx="371">
                  <c:v>-61.50330602866039</c:v>
                </c:pt>
                <c:pt idx="372">
                  <c:v>-61.25879043186162</c:v>
                </c:pt>
                <c:pt idx="373">
                  <c:v>-61.015858549266127</c:v>
                </c:pt>
                <c:pt idx="374">
                  <c:v>-60.774496634532603</c:v>
                </c:pt>
                <c:pt idx="375">
                  <c:v>-60.53469109100611</c:v>
                </c:pt>
                <c:pt idx="376">
                  <c:v>-60.296428469759306</c:v>
                </c:pt>
                <c:pt idx="377">
                  <c:v>-60.059695467663104</c:v>
                </c:pt>
                <c:pt idx="378">
                  <c:v>-59.82447892548727</c:v>
                </c:pt>
                <c:pt idx="379">
                  <c:v>-59.590765826029397</c:v>
                </c:pt>
                <c:pt idx="380">
                  <c:v>-59.358543292272856</c:v>
                </c:pt>
                <c:pt idx="381">
                  <c:v>-59.127798585571952</c:v>
                </c:pt>
                <c:pt idx="382">
                  <c:v>-58.898519103865048</c:v>
                </c:pt>
                <c:pt idx="383">
                  <c:v>-58.670692379914385</c:v>
                </c:pt>
                <c:pt idx="384">
                  <c:v>-58.444306079572456</c:v>
                </c:pt>
                <c:pt idx="385">
                  <c:v>-58.219348000074199</c:v>
                </c:pt>
                <c:pt idx="386">
                  <c:v>-57.995806068355158</c:v>
                </c:pt>
                <c:pt idx="387">
                  <c:v>-57.773668339394334</c:v>
                </c:pt>
                <c:pt idx="388">
                  <c:v>-57.55292299458209</c:v>
                </c:pt>
                <c:pt idx="389">
                  <c:v>-57.333558340112205</c:v>
                </c:pt>
                <c:pt idx="390">
                  <c:v>-57.115562805397708</c:v>
                </c:pt>
                <c:pt idx="391">
                  <c:v>-56.898924941510309</c:v>
                </c:pt>
                <c:pt idx="392">
                  <c:v>-56.683633419642959</c:v>
                </c:pt>
                <c:pt idx="393">
                  <c:v>-56.46967702959482</c:v>
                </c:pt>
                <c:pt idx="394">
                  <c:v>-56.25704467827893</c:v>
                </c:pt>
                <c:pt idx="395">
                  <c:v>-56.04572538825132</c:v>
                </c:pt>
                <c:pt idx="396">
                  <c:v>-55.835708296262197</c:v>
                </c:pt>
                <c:pt idx="397">
                  <c:v>-55.626982651827824</c:v>
                </c:pt>
                <c:pt idx="398">
                  <c:v>-55.419537815823702</c:v>
                </c:pt>
                <c:pt idx="399">
                  <c:v>-55.213363259097839</c:v>
                </c:pt>
                <c:pt idx="400">
                  <c:v>-55.008448561104373</c:v>
                </c:pt>
                <c:pt idx="401">
                  <c:v>-54.804783408557228</c:v>
                </c:pt>
                <c:pt idx="402">
                  <c:v>-52.804172785952311</c:v>
                </c:pt>
                <c:pt idx="403">
                  <c:v>-50.922109630418817</c:v>
                </c:pt>
                <c:pt idx="404">
                  <c:v>-49.149317951125028</c:v>
                </c:pt>
                <c:pt idx="405">
                  <c:v>-47.477419074709893</c:v>
                </c:pt>
                <c:pt idx="406">
                  <c:v>-45.898828862665319</c:v>
                </c:pt>
                <c:pt idx="407">
                  <c:v>-44.406668463985305</c:v>
                </c:pt>
                <c:pt idx="408">
                  <c:v>-42.994686596768325</c:v>
                </c:pt>
                <c:pt idx="409">
                  <c:v>-41.657191681846307</c:v>
                </c:pt>
                <c:pt idx="410">
                  <c:v>-40.388992421754686</c:v>
                </c:pt>
                <c:pt idx="411">
                  <c:v>-39.185345640952406</c:v>
                </c:pt>
                <c:pt idx="412">
                  <c:v>-38.041910387245252</c:v>
                </c:pt>
                <c:pt idx="413">
                  <c:v>-36.954707447095856</c:v>
                </c:pt>
                <c:pt idx="414">
                  <c:v>-35.920083554690592</c:v>
                </c:pt>
                <c:pt idx="415">
                  <c:v>-34.934679680908971</c:v>
                </c:pt>
                <c:pt idx="416">
                  <c:v>-33.995402877433825</c:v>
                </c:pt>
                <c:pt idx="417">
                  <c:v>-33.099401226160822</c:v>
                </c:pt>
                <c:pt idx="418">
                  <c:v>-32.244041507262878</c:v>
                </c:pt>
                <c:pt idx="419">
                  <c:v>-31.426889252725509</c:v>
                </c:pt>
                <c:pt idx="420">
                  <c:v>-30.645690897524521</c:v>
                </c:pt>
                <c:pt idx="421">
                  <c:v>-29.898357779198626</c:v>
                </c:pt>
                <c:pt idx="422">
                  <c:v>-29.182951769477498</c:v>
                </c:pt>
                <c:pt idx="423">
                  <c:v>-28.497672349764546</c:v>
                </c:pt>
                <c:pt idx="424">
                  <c:v>-27.8408449663957</c:v>
                </c:pt>
                <c:pt idx="425">
                  <c:v>-27.210910522321882</c:v>
                </c:pt>
                <c:pt idx="426">
                  <c:v>-26.606415879714667</c:v>
                </c:pt>
                <c:pt idx="427">
                  <c:v>-26.026005263403952</c:v>
                </c:pt>
                <c:pt idx="428">
                  <c:v>-25.468412468386919</c:v>
                </c:pt>
                <c:pt idx="429">
                  <c:v>-24.932453786204555</c:v>
                </c:pt>
                <c:pt idx="430">
                  <c:v>-24.41702157502063</c:v>
                </c:pt>
                <c:pt idx="431">
                  <c:v>-23.921078406977045</c:v>
                </c:pt>
                <c:pt idx="432">
                  <c:v>-23.443651734020001</c:v>
                </c:pt>
                <c:pt idx="433">
                  <c:v>-22.983829020050763</c:v>
                </c:pt>
                <c:pt idx="434">
                  <c:v>-22.54075329308332</c:v>
                </c:pt>
                <c:pt idx="435">
                  <c:v>-22.113619076203079</c:v>
                </c:pt>
                <c:pt idx="436">
                  <c:v>-21.701668660610082</c:v>
                </c:pt>
                <c:pt idx="437">
                  <c:v>-21.304188687981682</c:v>
                </c:pt>
                <c:pt idx="438">
                  <c:v>-20.920507012870573</c:v>
                </c:pt>
                <c:pt idx="439">
                  <c:v>-20.54998981892804</c:v>
                </c:pt>
                <c:pt idx="440">
                  <c:v>-20.19203896545892</c:v>
                </c:pt>
                <c:pt idx="441">
                  <c:v>-19.846089543220646</c:v>
                </c:pt>
                <c:pt idx="442">
                  <c:v>-19.511607620511121</c:v>
                </c:pt>
                <c:pt idx="443">
                  <c:v>-19.188088162484242</c:v>
                </c:pt>
                <c:pt idx="444">
                  <c:v>-18.87505310831498</c:v>
                </c:pt>
                <c:pt idx="445">
                  <c:v>-18.572049592334892</c:v>
                </c:pt>
                <c:pt idx="446">
                  <c:v>-18.278648296594156</c:v>
                </c:pt>
                <c:pt idx="447">
                  <c:v>-17.994441923498307</c:v>
                </c:pt>
                <c:pt idx="448">
                  <c:v>-17.719043778232319</c:v>
                </c:pt>
                <c:pt idx="449">
                  <c:v>-17.452086451636525</c:v>
                </c:pt>
                <c:pt idx="450">
                  <c:v>-17.19322059505113</c:v>
                </c:pt>
                <c:pt idx="451">
                  <c:v>-16.942113779408949</c:v>
                </c:pt>
                <c:pt idx="452">
                  <c:v>-16.698449431540691</c:v>
                </c:pt>
                <c:pt idx="453">
                  <c:v>-16.461925841270634</c:v>
                </c:pt>
                <c:pt idx="454">
                  <c:v>-16.232255233431541</c:v>
                </c:pt>
                <c:pt idx="455">
                  <c:v>-16.009162899422545</c:v>
                </c:pt>
                <c:pt idx="456">
                  <c:v>-15.792386383377575</c:v>
                </c:pt>
                <c:pt idx="457">
                  <c:v>-15.581674718411259</c:v>
                </c:pt>
                <c:pt idx="458">
                  <c:v>-15.376787708766946</c:v>
                </c:pt>
                <c:pt idx="459">
                  <c:v>-15.177495254013113</c:v>
                </c:pt>
                <c:pt idx="460">
                  <c:v>-14.983576711722081</c:v>
                </c:pt>
                <c:pt idx="461">
                  <c:v>-14.794820295322907</c:v>
                </c:pt>
                <c:pt idx="462">
                  <c:v>-14.611022504050222</c:v>
                </c:pt>
                <c:pt idx="463">
                  <c:v>-14.431987582115918</c:v>
                </c:pt>
                <c:pt idx="464">
                  <c:v>-14.257527004412214</c:v>
                </c:pt>
                <c:pt idx="465">
                  <c:v>-14.087458986215271</c:v>
                </c:pt>
                <c:pt idx="466">
                  <c:v>-13.921608014499018</c:v>
                </c:pt>
                <c:pt idx="467">
                  <c:v>-13.75980439859136</c:v>
                </c:pt>
                <c:pt idx="468">
                  <c:v>-13.601883838009687</c:v>
                </c:pt>
                <c:pt idx="469">
                  <c:v>-13.447687005401438</c:v>
                </c:pt>
                <c:pt idx="470">
                  <c:v>-13.297059142588481</c:v>
                </c:pt>
                <c:pt idx="471">
                  <c:v>-13.149849667772417</c:v>
                </c:pt>
                <c:pt idx="472">
                  <c:v>-13.005911792001701</c:v>
                </c:pt>
                <c:pt idx="473">
                  <c:v>-12.865102143031553</c:v>
                </c:pt>
                <c:pt idx="474">
                  <c:v>-12.727280394723593</c:v>
                </c:pt>
                <c:pt idx="475">
                  <c:v>-12.592308900135002</c:v>
                </c:pt>
                <c:pt idx="476">
                  <c:v>-12.460052326436074</c:v>
                </c:pt>
                <c:pt idx="477">
                  <c:v>-12.330377289770681</c:v>
                </c:pt>
                <c:pt idx="478">
                  <c:v>-12.203151988136353</c:v>
                </c:pt>
                <c:pt idx="479">
                  <c:v>-12.078245830309097</c:v>
                </c:pt>
                <c:pt idx="480">
                  <c:v>-11.955529058772578</c:v>
                </c:pt>
                <c:pt idx="481">
                  <c:v>-11.834872364532069</c:v>
                </c:pt>
                <c:pt idx="482">
                  <c:v>-11.716146491599908</c:v>
                </c:pt>
                <c:pt idx="483">
                  <c:v>-11.59922182883184</c:v>
                </c:pt>
                <c:pt idx="484">
                  <c:v>-11.483967986671907</c:v>
                </c:pt>
                <c:pt idx="485">
                  <c:v>-11.370253356228496</c:v>
                </c:pt>
                <c:pt idx="486">
                  <c:v>-11.257944647956002</c:v>
                </c:pt>
                <c:pt idx="487">
                  <c:v>-11.146906407056624</c:v>
                </c:pt>
                <c:pt idx="488">
                  <c:v>-11.03700050254669</c:v>
                </c:pt>
                <c:pt idx="489">
                  <c:v>-10.928085586754332</c:v>
                </c:pt>
                <c:pt idx="490">
                  <c:v>-10.820016521833626</c:v>
                </c:pt>
                <c:pt idx="491">
                  <c:v>-10.712643769699653</c:v>
                </c:pt>
                <c:pt idx="492">
                  <c:v>-10.605812741616154</c:v>
                </c:pt>
                <c:pt idx="493">
                  <c:v>-10.499363103511456</c:v>
                </c:pt>
                <c:pt idx="494">
                  <c:v>-10.393128032971527</c:v>
                </c:pt>
                <c:pt idx="495">
                  <c:v>-10.286933423776814</c:v>
                </c:pt>
                <c:pt idx="496">
                  <c:v>-10.180597033833111</c:v>
                </c:pt>
                <c:pt idx="497">
                  <c:v>-10.073927572421862</c:v>
                </c:pt>
                <c:pt idx="498">
                  <c:v>-9.9667237228970755</c:v>
                </c:pt>
                <c:pt idx="499">
                  <c:v>-9.8587730973263898</c:v>
                </c:pt>
                <c:pt idx="500">
                  <c:v>-9.7498511201687279</c:v>
                </c:pt>
                <c:pt idx="501">
                  <c:v>-9.6397198389677783</c:v>
                </c:pt>
                <c:pt idx="502">
                  <c:v>-9.5281266613053255</c:v>
                </c:pt>
                <c:pt idx="503">
                  <c:v>-9.4148030190064862</c:v>
                </c:pt>
                <c:pt idx="504">
                  <c:v>-9.2994629629494696</c:v>
                </c:pt>
                <c:pt idx="505">
                  <c:v>-9.1818016949632035</c:v>
                </c:pt>
                <c:pt idx="506">
                  <c:v>-9.0614940473856542</c:v>
                </c:pt>
                <c:pt idx="507">
                  <c:v>-8.9381929261284476</c:v>
                </c:pt>
                <c:pt idx="508">
                  <c:v>-8.8115277398114831</c:v>
                </c:pt>
                <c:pt idx="509">
                  <c:v>-8.6811028459945501</c:v>
                </c:pt>
                <c:pt idx="510">
                  <c:v>-8.5464960560767249</c:v>
                </c:pt>
                <c:pt idx="511">
                  <c:v>-8.4072572534189547</c:v>
                </c:pt>
                <c:pt idx="512">
                  <c:v>-8.2629071950403308</c:v>
                </c:pt>
                <c:pt idx="513">
                  <c:v>-8.1129365861906724</c:v>
                </c:pt>
                <c:pt idx="514">
                  <c:v>-7.9568055394888226</c:v>
                </c:pt>
                <c:pt idx="515">
                  <c:v>-7.7939435562728328</c:v>
                </c:pt>
                <c:pt idx="516">
                  <c:v>-7.623750197226002</c:v>
                </c:pt>
                <c:pt idx="517">
                  <c:v>-7.4455966417277191</c:v>
                </c:pt>
                <c:pt idx="518">
                  <c:v>-7.2588283696653439</c:v>
                </c:pt>
                <c:pt idx="519">
                  <c:v>-7.0627692337667973</c:v>
                </c:pt>
                <c:pt idx="520">
                  <c:v>-6.8567272219334674</c:v>
                </c:pt>
                <c:pt idx="521">
                  <c:v>-6.6400022332623161</c:v>
                </c:pt>
                <c:pt idx="522">
                  <c:v>-6.4118962024993875</c:v>
                </c:pt>
                <c:pt idx="523">
                  <c:v>-6.1717258977976828</c:v>
                </c:pt>
                <c:pt idx="524">
                  <c:v>-5.9188386762985266</c:v>
                </c:pt>
                <c:pt idx="525">
                  <c:v>-5.6526314002380422</c:v>
                </c:pt>
                <c:pt idx="526">
                  <c:v>-5.372572581533845</c:v>
                </c:pt>
                <c:pt idx="527">
                  <c:v>-5.0782276248525058</c:v>
                </c:pt>
                <c:pt idx="528">
                  <c:v>-4.769286771467228</c:v>
                </c:pt>
                <c:pt idx="529">
                  <c:v>-4.4455950094612646</c:v>
                </c:pt>
                <c:pt idx="530">
                  <c:v>-4.1071828219471982</c:v>
                </c:pt>
                <c:pt idx="531">
                  <c:v>-3.7542962211110984</c:v>
                </c:pt>
                <c:pt idx="532">
                  <c:v>-3.3874241071170808</c:v>
                </c:pt>
                <c:pt idx="533">
                  <c:v>-3.0073206599827924</c:v>
                </c:pt>
                <c:pt idx="534">
                  <c:v>-2.6150202950863344</c:v>
                </c:pt>
                <c:pt idx="535">
                  <c:v>-2.2118427668298093</c:v>
                </c:pt>
                <c:pt idx="536">
                  <c:v>-1.7993863538985841</c:v>
                </c:pt>
                <c:pt idx="537">
                  <c:v>-1.3795077334809349</c:v>
                </c:pt>
                <c:pt idx="538">
                  <c:v>-0.95428812865459789</c:v>
                </c:pt>
                <c:pt idx="539">
                  <c:v>-0.52598650823738846</c:v>
                </c:pt>
                <c:pt idx="540">
                  <c:v>-9.6981887850157072E-2</c:v>
                </c:pt>
                <c:pt idx="541">
                  <c:v>0.33029205805793466</c:v>
                </c:pt>
                <c:pt idx="542">
                  <c:v>0.75341599766562384</c:v>
                </c:pt>
                <c:pt idx="543">
                  <c:v>1.1700530597214946</c:v>
                </c:pt>
                <c:pt idx="544">
                  <c:v>1.5780116694359192</c:v>
                </c:pt>
                <c:pt idx="545">
                  <c:v>1.9752993049464274</c:v>
                </c:pt>
                <c:pt idx="546">
                  <c:v>2.3601643751916268</c:v>
                </c:pt>
                <c:pt idx="547">
                  <c:v>2.731124647438647</c:v>
                </c:pt>
                <c:pt idx="548">
                  <c:v>3.0869819187806193</c:v>
                </c:pt>
                <c:pt idx="549">
                  <c:v>3.4268237579858165</c:v>
                </c:pt>
                <c:pt idx="550">
                  <c:v>3.750014017846762</c:v>
                </c:pt>
                <c:pt idx="551">
                  <c:v>4.0561743719861694</c:v>
                </c:pt>
                <c:pt idx="552">
                  <c:v>4.3451593627040133</c:v>
                </c:pt>
                <c:pt idx="553">
                  <c:v>4.6170274029452063</c:v>
                </c:pt>
                <c:pt idx="554">
                  <c:v>4.872009927546908</c:v>
                </c:pt>
                <c:pt idx="555">
                  <c:v>5.1104805159393329</c:v>
                </c:pt>
                <c:pt idx="556">
                  <c:v>5.3329253828736274</c:v>
                </c:pt>
                <c:pt idx="557">
                  <c:v>5.5399162125416579</c:v>
                </c:pt>
                <c:pt idx="558">
                  <c:v>5.7320859332096168</c:v>
                </c:pt>
                <c:pt idx="559">
                  <c:v>5.9101077154248376</c:v>
                </c:pt>
                <c:pt idx="560">
                  <c:v>6.0746772341976571</c:v>
                </c:pt>
                <c:pt idx="561">
                  <c:v>6.2264980617102461</c:v>
                </c:pt>
                <c:pt idx="562">
                  <c:v>6.3662699435849905</c:v>
                </c:pt>
                <c:pt idx="563">
                  <c:v>6.494679647380277</c:v>
                </c:pt>
                <c:pt idx="564">
                  <c:v>6.6123940451483225</c:v>
                </c:pt>
                <c:pt idx="565">
                  <c:v>6.7200550919084909</c:v>
                </c:pt>
                <c:pt idx="566">
                  <c:v>6.8182763797311807</c:v>
                </c:pt>
                <c:pt idx="567">
                  <c:v>6.9076409756373254</c:v>
                </c:pt>
                <c:pt idx="568">
                  <c:v>6.9887002853443594</c:v>
                </c:pt>
                <c:pt idx="569">
                  <c:v>7.0619737202456552</c:v>
                </c:pt>
                <c:pt idx="570">
                  <c:v>7.1279489793871793</c:v>
                </c:pt>
                <c:pt idx="571">
                  <c:v>7.1870827900714893</c:v>
                </c:pt>
                <c:pt idx="572">
                  <c:v>7.2398019792613875</c:v>
                </c:pt>
                <c:pt idx="573">
                  <c:v>7.2865047728589198</c:v>
                </c:pt>
                <c:pt idx="574">
                  <c:v>7.3275622412132044</c:v>
                </c:pt>
                <c:pt idx="575">
                  <c:v>7.3633198270779872</c:v>
                </c:pt>
                <c:pt idx="576">
                  <c:v>7.3940989070215126</c:v>
                </c:pt>
                <c:pt idx="577">
                  <c:v>7.4201983493595041</c:v>
                </c:pt>
                <c:pt idx="578">
                  <c:v>7.4418960414162436</c:v>
                </c:pt>
                <c:pt idx="579">
                  <c:v>7.4594503666796843</c:v>
                </c:pt>
                <c:pt idx="580">
                  <c:v>7.4731016185338062</c:v>
                </c:pt>
                <c:pt idx="581">
                  <c:v>7.4830733420158619</c:v>
                </c:pt>
                <c:pt idx="582">
                  <c:v>7.4895735987096792</c:v>
                </c:pt>
                <c:pt idx="583">
                  <c:v>7.4927961526620228</c:v>
                </c:pt>
                <c:pt idx="584">
                  <c:v>7.4929215772762152</c:v>
                </c:pt>
                <c:pt idx="585">
                  <c:v>7.490118284643339</c:v>
                </c:pt>
                <c:pt idx="586">
                  <c:v>7.4845434798371926</c:v>
                </c:pt>
                <c:pt idx="587">
                  <c:v>7.476344043423313</c:v>
                </c:pt>
                <c:pt idx="588">
                  <c:v>7.4656573458930771</c:v>
                </c:pt>
                <c:pt idx="589">
                  <c:v>7.4526119979948415</c:v>
                </c:pt>
                <c:pt idx="590">
                  <c:v>7.4373285410448489</c:v>
                </c:pt>
                <c:pt idx="591">
                  <c:v>7.4199200813007247</c:v>
                </c:pt>
                <c:pt idx="592">
                  <c:v>7.400492872400811</c:v>
                </c:pt>
                <c:pt idx="593">
                  <c:v>7.3791468497368111</c:v>
                </c:pt>
                <c:pt idx="594">
                  <c:v>7.3559761204540868</c:v>
                </c:pt>
                <c:pt idx="595">
                  <c:v>7.3310694125772109</c:v>
                </c:pt>
                <c:pt idx="596">
                  <c:v>7.3045104865486961</c:v>
                </c:pt>
                <c:pt idx="597">
                  <c:v>7.2763785122539666</c:v>
                </c:pt>
                <c:pt idx="598">
                  <c:v>7.2467484143917051</c:v>
                </c:pt>
                <c:pt idx="599">
                  <c:v>7.2156911888391173</c:v>
                </c:pt>
                <c:pt idx="600">
                  <c:v>7.1832741924602335</c:v>
                </c:pt>
                <c:pt idx="601">
                  <c:v>7.1495614086128905</c:v>
                </c:pt>
                <c:pt idx="602">
                  <c:v>7.1146136904287323</c:v>
                </c:pt>
                <c:pt idx="603">
                  <c:v>7.0784889837701161</c:v>
                </c:pt>
                <c:pt idx="604">
                  <c:v>7.041242531609182</c:v>
                </c:pt>
                <c:pt idx="605">
                  <c:v>7.0029270614268011</c:v>
                </c:pt>
                <c:pt idx="606">
                  <c:v>6.9635929570928186</c:v>
                </c:pt>
                <c:pt idx="607">
                  <c:v>6.9232884165634356</c:v>
                </c:pt>
                <c:pt idx="608">
                  <c:v>6.8820595966157638</c:v>
                </c:pt>
                <c:pt idx="609">
                  <c:v>6.8399507457337529</c:v>
                </c:pt>
                <c:pt idx="610">
                  <c:v>6.7970043261624191</c:v>
                </c:pt>
                <c:pt idx="611">
                  <c:v>6.7532611260584012</c:v>
                </c:pt>
                <c:pt idx="612">
                  <c:v>6.7087603625838215</c:v>
                </c:pt>
                <c:pt idx="613">
                  <c:v>6.6635397767161342</c:v>
                </c:pt>
                <c:pt idx="614">
                  <c:v>6.6176357204791714</c:v>
                </c:pt>
                <c:pt idx="615">
                  <c:v>6.5710832372389429</c:v>
                </c:pt>
                <c:pt idx="616">
                  <c:v>6.5239161356515307</c:v>
                </c:pt>
                <c:pt idx="617">
                  <c:v>6.4761670577993655</c:v>
                </c:pt>
                <c:pt idx="618">
                  <c:v>6.4278675420055151</c:v>
                </c:pt>
                <c:pt idx="619">
                  <c:v>6.3790480807732175</c:v>
                </c:pt>
                <c:pt idx="620">
                  <c:v>6.3297381742592433</c:v>
                </c:pt>
                <c:pt idx="621">
                  <c:v>6.2799663796545504</c:v>
                </c:pt>
                <c:pt idx="622">
                  <c:v>6.2297603568135296</c:v>
                </c:pt>
                <c:pt idx="623">
                  <c:v>6.1791469104440493</c:v>
                </c:pt>
                <c:pt idx="624">
                  <c:v>6.1281520291439175</c:v>
                </c:pt>
                <c:pt idx="625">
                  <c:v>6.0768009215450087</c:v>
                </c:pt>
                <c:pt idx="626">
                  <c:v>6.02511804980435</c:v>
                </c:pt>
                <c:pt idx="627">
                  <c:v>5.9731271606612015</c:v>
                </c:pt>
                <c:pt idx="628">
                  <c:v>5.9208513142608066</c:v>
                </c:pt>
                <c:pt idx="629">
                  <c:v>5.8683129109287364</c:v>
                </c:pt>
                <c:pt idx="630">
                  <c:v>5.8155337160643121</c:v>
                </c:pt>
                <c:pt idx="631">
                  <c:v>5.762534883307719</c:v>
                </c:pt>
                <c:pt idx="632">
                  <c:v>5.709336976122529</c:v>
                </c:pt>
                <c:pt idx="633">
                  <c:v>5.655959987923703</c:v>
                </c:pt>
                <c:pt idx="634">
                  <c:v>5.6024233608703966</c:v>
                </c:pt>
                <c:pt idx="635">
                  <c:v>5.5487460034331324</c:v>
                </c:pt>
                <c:pt idx="636">
                  <c:v>5.4949463068359039</c:v>
                </c:pt>
                <c:pt idx="637">
                  <c:v>5.4410421604655523</c:v>
                </c:pt>
                <c:pt idx="638">
                  <c:v>5.3870509663332884</c:v>
                </c:pt>
                <c:pt idx="639">
                  <c:v>5.3329896526662095</c:v>
                </c:pt>
                <c:pt idx="640">
                  <c:v>5.2788746867004521</c:v>
                </c:pt>
                <c:pt idx="641">
                  <c:v>5.2247220867416946</c:v>
                </c:pt>
                <c:pt idx="642">
                  <c:v>5.1705474335534722</c:v>
                </c:pt>
                <c:pt idx="643">
                  <c:v>5.1163658811288144</c:v>
                </c:pt>
                <c:pt idx="644">
                  <c:v>5.0621921668961889</c:v>
                </c:pt>
                <c:pt idx="645">
                  <c:v>5.0080406214066446</c:v>
                </c:pt>
                <c:pt idx="646">
                  <c:v>4.9539251775452238</c:v>
                </c:pt>
                <c:pt idx="647">
                  <c:v>4.899859379306128</c:v>
                </c:pt>
                <c:pt idx="648">
                  <c:v>4.8458563901680023</c:v>
                </c:pt>
                <c:pt idx="649">
                  <c:v>4.7919290011027016</c:v>
                </c:pt>
                <c:pt idx="650">
                  <c:v>4.7380896382480522</c:v>
                </c:pt>
                <c:pt idx="651">
                  <c:v>4.6843503702728118</c:v>
                </c:pt>
                <c:pt idx="652">
                  <c:v>4.6307229154594785</c:v>
                </c:pt>
                <c:pt idx="653">
                  <c:v>4.5772186485286186</c:v>
                </c:pt>
                <c:pt idx="654">
                  <c:v>4.5238486072263804</c:v>
                </c:pt>
                <c:pt idx="655">
                  <c:v>4.4706234986949109</c:v>
                </c:pt>
                <c:pt idx="656">
                  <c:v>4.4175537056438996</c:v>
                </c:pt>
                <c:pt idx="657">
                  <c:v>4.364649292339819</c:v>
                </c:pt>
                <c:pt idx="658">
                  <c:v>4.3119200104279782</c:v>
                </c:pt>
                <c:pt idx="659">
                  <c:v>4.2593753046013036</c:v>
                </c:pt>
                <c:pt idx="660">
                  <c:v>4.2070243181283296</c:v>
                </c:pt>
                <c:pt idx="661">
                  <c:v>4.154875898252099</c:v>
                </c:pt>
                <c:pt idx="662">
                  <c:v>4.1029386014702416</c:v>
                </c:pt>
                <c:pt idx="663">
                  <c:v>4.0512206987058548</c:v>
                </c:pt>
                <c:pt idx="664">
                  <c:v>3.9997301803777985</c:v>
                </c:pt>
                <c:pt idx="665">
                  <c:v>3.9484747613781881</c:v>
                </c:pt>
                <c:pt idx="666">
                  <c:v>3.8974618859641961</c:v>
                </c:pt>
                <c:pt idx="667">
                  <c:v>3.8466987325705126</c:v>
                </c:pt>
                <c:pt idx="668">
                  <c:v>3.7961922185482679</c:v>
                </c:pt>
                <c:pt idx="669">
                  <c:v>3.7459490048355066</c:v>
                </c:pt>
                <c:pt idx="670">
                  <c:v>3.6959755005638959</c:v>
                </c:pt>
                <c:pt idx="671">
                  <c:v>3.6462778676058356</c:v>
                </c:pt>
                <c:pt idx="672">
                  <c:v>3.5968620250655405</c:v>
                </c:pt>
                <c:pt idx="673">
                  <c:v>3.5477336537175059</c:v>
                </c:pt>
                <c:pt idx="674">
                  <c:v>3.4988982003951472</c:v>
                </c:pt>
                <c:pt idx="675">
                  <c:v>3.4503608823321716</c:v>
                </c:pt>
                <c:pt idx="676">
                  <c:v>3.4021266914589638</c:v>
                </c:pt>
                <c:pt idx="677">
                  <c:v>3.3542003986558049</c:v>
                </c:pt>
                <c:pt idx="678">
                  <c:v>3.3065865579647147</c:v>
                </c:pt>
                <c:pt idx="679">
                  <c:v>3.2592895107612128</c:v>
                </c:pt>
                <c:pt idx="680">
                  <c:v>3.2123133898873419</c:v>
                </c:pt>
                <c:pt idx="681">
                  <c:v>3.1656621237467979</c:v>
                </c:pt>
                <c:pt idx="682">
                  <c:v>3.1193394403631212</c:v>
                </c:pt>
                <c:pt idx="683">
                  <c:v>3.0733488714015511</c:v>
                </c:pt>
                <c:pt idx="684">
                  <c:v>3.0276937561550419</c:v>
                </c:pt>
                <c:pt idx="685">
                  <c:v>2.9823772454948472</c:v>
                </c:pt>
                <c:pt idx="686">
                  <c:v>2.9374023057859437</c:v>
                </c:pt>
                <c:pt idx="687">
                  <c:v>2.8927717227674012</c:v>
                </c:pt>
                <c:pt idx="688">
                  <c:v>2.8484881053978199</c:v>
                </c:pt>
                <c:pt idx="689">
                  <c:v>2.8045538896657849</c:v>
                </c:pt>
                <c:pt idx="690">
                  <c:v>2.7609713423652602</c:v>
                </c:pt>
                <c:pt idx="691">
                  <c:v>2.7177425648357412</c:v>
                </c:pt>
                <c:pt idx="692">
                  <c:v>2.674869496667025</c:v>
                </c:pt>
                <c:pt idx="693">
                  <c:v>2.6323539193682599</c:v>
                </c:pt>
                <c:pt idx="694">
                  <c:v>2.5901974600010433</c:v>
                </c:pt>
                <c:pt idx="695">
                  <c:v>2.5484015947762311</c:v>
                </c:pt>
                <c:pt idx="696">
                  <c:v>2.5069676526140965</c:v>
                </c:pt>
                <c:pt idx="697">
                  <c:v>2.4658968186674937</c:v>
                </c:pt>
                <c:pt idx="698">
                  <c:v>2.4251901378076042</c:v>
                </c:pt>
                <c:pt idx="699">
                  <c:v>2.3848485180719168</c:v>
                </c:pt>
                <c:pt idx="700">
                  <c:v>2.3448727340740314</c:v>
                </c:pt>
                <c:pt idx="701">
                  <c:v>2.3052634303748247</c:v>
                </c:pt>
                <c:pt idx="702">
                  <c:v>2.266021124814694</c:v>
                </c:pt>
                <c:pt idx="703">
                  <c:v>2.2271462118063727</c:v>
                </c:pt>
                <c:pt idx="704">
                  <c:v>2.1886389655879874</c:v>
                </c:pt>
                <c:pt idx="705">
                  <c:v>2.1504995434359957</c:v>
                </c:pt>
                <c:pt idx="706">
                  <c:v>2.1127279888375812</c:v>
                </c:pt>
                <c:pt idx="707">
                  <c:v>2.0753242346222009</c:v>
                </c:pt>
                <c:pt idx="708">
                  <c:v>2.0382881060519722</c:v>
                </c:pt>
                <c:pt idx="709">
                  <c:v>2.0016193238704965</c:v>
                </c:pt>
                <c:pt idx="710">
                  <c:v>1.9653175073099369</c:v>
                </c:pt>
                <c:pt idx="711">
                  <c:v>1.9293821770560147</c:v>
                </c:pt>
                <c:pt idx="712">
                  <c:v>1.8938127581706432</c:v>
                </c:pt>
                <c:pt idx="713">
                  <c:v>1.8586085829720593</c:v>
                </c:pt>
                <c:pt idx="714">
                  <c:v>1.8237688938721632</c:v>
                </c:pt>
                <c:pt idx="715">
                  <c:v>1.7892928461709063</c:v>
                </c:pt>
                <c:pt idx="716">
                  <c:v>1.7551795108076202</c:v>
                </c:pt>
                <c:pt idx="717">
                  <c:v>1.7214278770690736</c:v>
                </c:pt>
                <c:pt idx="718">
                  <c:v>1.6880368552541842</c:v>
                </c:pt>
                <c:pt idx="719">
                  <c:v>1.6550052792953363</c:v>
                </c:pt>
                <c:pt idx="720">
                  <c:v>1.6223319093361859</c:v>
                </c:pt>
                <c:pt idx="721">
                  <c:v>1.5900154342659452</c:v>
                </c:pt>
                <c:pt idx="722">
                  <c:v>1.5580544742101594</c:v>
                </c:pt>
                <c:pt idx="723">
                  <c:v>1.5264475829779514</c:v>
                </c:pt>
                <c:pt idx="724">
                  <c:v>1.4951932504657854</c:v>
                </c:pt>
                <c:pt idx="725">
                  <c:v>1.4642899050178428</c:v>
                </c:pt>
                <c:pt idx="726">
                  <c:v>1.4337359157430374</c:v>
                </c:pt>
                <c:pt idx="727">
                  <c:v>1.4035295947888766</c:v>
                </c:pt>
                <c:pt idx="728">
                  <c:v>1.3736691995721291</c:v>
                </c:pt>
                <c:pt idx="729">
                  <c:v>1.3441529349666741</c:v>
                </c:pt>
                <c:pt idx="730">
                  <c:v>1.3149789554485274</c:v>
                </c:pt>
                <c:pt idx="731">
                  <c:v>1.2861453671983281</c:v>
                </c:pt>
                <c:pt idx="732">
                  <c:v>1.2576502301614525</c:v>
                </c:pt>
                <c:pt idx="733">
                  <c:v>1.2294915600660534</c:v>
                </c:pt>
                <c:pt idx="734">
                  <c:v>1.2016673303992214</c:v>
                </c:pt>
                <c:pt idx="735">
                  <c:v>1.1741754743415402</c:v>
                </c:pt>
                <c:pt idx="736">
                  <c:v>1.1470138866604014</c:v>
                </c:pt>
                <c:pt idx="737">
                  <c:v>1.1201804255622427</c:v>
                </c:pt>
                <c:pt idx="738">
                  <c:v>1.0936729145042072</c:v>
                </c:pt>
                <c:pt idx="739">
                  <c:v>1.0674891439654104</c:v>
                </c:pt>
                <c:pt idx="740">
                  <c:v>1.0416268731782345</c:v>
                </c:pt>
                <c:pt idx="741">
                  <c:v>1.0160838318200351</c:v>
                </c:pt>
                <c:pt idx="742">
                  <c:v>0.99085772166556829</c:v>
                </c:pt>
                <c:pt idx="743">
                  <c:v>0.96594621820063331</c:v>
                </c:pt>
                <c:pt idx="744">
                  <c:v>0.94134697219721986</c:v>
                </c:pt>
                <c:pt idx="745">
                  <c:v>0.91705761125065166</c:v>
                </c:pt>
                <c:pt idx="746">
                  <c:v>0.89307574127913014</c:v>
                </c:pt>
                <c:pt idx="747">
                  <c:v>0.86939894798611128</c:v>
                </c:pt>
                <c:pt idx="748">
                  <c:v>0.84602479828595101</c:v>
                </c:pt>
                <c:pt idx="749">
                  <c:v>0.82295084169329691</c:v>
                </c:pt>
                <c:pt idx="750">
                  <c:v>0.8001746116766526</c:v>
                </c:pt>
                <c:pt idx="751">
                  <c:v>0.77769362697661215</c:v>
                </c:pt>
                <c:pt idx="752">
                  <c:v>0.75550539288922103</c:v>
                </c:pt>
                <c:pt idx="753">
                  <c:v>0.7336074025149415</c:v>
                </c:pt>
                <c:pt idx="754">
                  <c:v>0.71199713797374287</c:v>
                </c:pt>
                <c:pt idx="755">
                  <c:v>0.69067207158673583</c:v>
                </c:pt>
                <c:pt idx="756">
                  <c:v>0.66962966702492999</c:v>
                </c:pt>
                <c:pt idx="757">
                  <c:v>0.64886738042554803</c:v>
                </c:pt>
                <c:pt idx="758">
                  <c:v>0.62838266147641519</c:v>
                </c:pt>
                <c:pt idx="759">
                  <c:v>0.60817295446897823</c:v>
                </c:pt>
                <c:pt idx="760">
                  <c:v>0.58823569932035191</c:v>
                </c:pt>
                <c:pt idx="761">
                  <c:v>0.56856833256502526</c:v>
                </c:pt>
                <c:pt idx="762">
                  <c:v>0.54916828831664333</c:v>
                </c:pt>
                <c:pt idx="763">
                  <c:v>0.53003299920042224</c:v>
                </c:pt>
                <c:pt idx="764">
                  <c:v>0.51115989725668243</c:v>
                </c:pt>
                <c:pt idx="765">
                  <c:v>0.49254641481607031</c:v>
                </c:pt>
                <c:pt idx="766">
                  <c:v>0.47418998534685919</c:v>
                </c:pt>
                <c:pt idx="767">
                  <c:v>0.4560880442749653</c:v>
                </c:pt>
                <c:pt idx="768">
                  <c:v>0.43823802977712845</c:v>
                </c:pt>
                <c:pt idx="769">
                  <c:v>0.42063738354774038</c:v>
                </c:pt>
                <c:pt idx="770">
                  <c:v>0.40328355153991957</c:v>
                </c:pt>
                <c:pt idx="771">
                  <c:v>0.38617398468118935</c:v>
                </c:pt>
                <c:pt idx="772">
                  <c:v>0.36930613956439018</c:v>
                </c:pt>
                <c:pt idx="773">
                  <c:v>0.35267747911428771</c:v>
                </c:pt>
                <c:pt idx="774">
                  <c:v>0.33628547323033864</c:v>
                </c:pt>
                <c:pt idx="775">
                  <c:v>0.3201275994061028</c:v>
                </c:pt>
                <c:pt idx="776">
                  <c:v>0.304201343325877</c:v>
                </c:pt>
                <c:pt idx="777">
                  <c:v>0.28850419943891481</c:v>
                </c:pt>
                <c:pt idx="778">
                  <c:v>0.2730336715117847</c:v>
                </c:pt>
                <c:pt idx="779">
                  <c:v>0.25778727315936401</c:v>
                </c:pt>
                <c:pt idx="780">
                  <c:v>0.24276252835482559</c:v>
                </c:pt>
                <c:pt idx="781">
                  <c:v>0.22795697191924447</c:v>
                </c:pt>
                <c:pt idx="782">
                  <c:v>0.21336814999115994</c:v>
                </c:pt>
                <c:pt idx="783">
                  <c:v>0.1989936204765943</c:v>
                </c:pt>
                <c:pt idx="784">
                  <c:v>0.18483095348000589</c:v>
                </c:pt>
                <c:pt idx="785">
                  <c:v>0.17087773171657084</c:v>
                </c:pt>
                <c:pt idx="786">
                  <c:v>0.15713155090628383</c:v>
                </c:pt>
                <c:pt idx="787">
                  <c:v>0.14359002015028643</c:v>
                </c:pt>
                <c:pt idx="788">
                  <c:v>0.13025076228988119</c:v>
                </c:pt>
                <c:pt idx="789">
                  <c:v>0.11711141424858518</c:v>
                </c:pt>
                <c:pt idx="790">
                  <c:v>0.10416962735776636</c:v>
                </c:pt>
                <c:pt idx="791">
                  <c:v>9.142306766613828E-2</c:v>
                </c:pt>
                <c:pt idx="792">
                  <c:v>7.8869416233644074E-2</c:v>
                </c:pt>
                <c:pt idx="793">
                  <c:v>6.6506369410040733E-2</c:v>
                </c:pt>
                <c:pt idx="794">
                  <c:v>5.4331639098622375E-2</c:v>
                </c:pt>
                <c:pt idx="795">
                  <c:v>4.234295300544666E-2</c:v>
                </c:pt>
                <c:pt idx="796">
                  <c:v>3.0538054874540421E-2</c:v>
                </c:pt>
                <c:pt idx="797">
                  <c:v>1.891470470926393E-2</c:v>
                </c:pt>
                <c:pt idx="798">
                  <c:v>7.4706789804643847E-3</c:v>
                </c:pt>
                <c:pt idx="799">
                  <c:v>-3.7962291784872093E-3</c:v>
                </c:pt>
                <c:pt idx="800">
                  <c:v>-1.4888209789138074E-2</c:v>
                </c:pt>
                <c:pt idx="801">
                  <c:v>-2.5807435857771566E-2</c:v>
                </c:pt>
                <c:pt idx="802">
                  <c:v>-3.6556063217126678E-2</c:v>
                </c:pt>
                <c:pt idx="803">
                  <c:v>-4.7136230379640764E-2</c:v>
                </c:pt>
                <c:pt idx="804">
                  <c:v>-5.755005840199523E-2</c:v>
                </c:pt>
                <c:pt idx="805">
                  <c:v>-6.7799650760564489E-2</c:v>
                </c:pt>
                <c:pt idx="806">
                  <c:v>-7.7887093237459126E-2</c:v>
                </c:pt>
                <c:pt idx="807">
                  <c:v>-8.7814453816811522E-2</c:v>
                </c:pt>
                <c:pt idx="808">
                  <c:v>-8.7824216675837619E-2</c:v>
                </c:pt>
                <c:pt idx="809">
                  <c:v>-8.7833979379407623E-2</c:v>
                </c:pt>
                <c:pt idx="810">
                  <c:v>-8.7843741927526864E-2</c:v>
                </c:pt>
                <c:pt idx="811">
                  <c:v>-8.7853504320195341E-2</c:v>
                </c:pt>
                <c:pt idx="812">
                  <c:v>-8.7863266557416608E-2</c:v>
                </c:pt>
                <c:pt idx="813">
                  <c:v>-8.7873028639195994E-2</c:v>
                </c:pt>
                <c:pt idx="814">
                  <c:v>-8.7882790565526392E-2</c:v>
                </c:pt>
                <c:pt idx="815">
                  <c:v>-8.7892552336422014E-2</c:v>
                </c:pt>
                <c:pt idx="816">
                  <c:v>-8.7902313951868649E-2</c:v>
                </c:pt>
                <c:pt idx="817">
                  <c:v>-8.7912075411885837E-2</c:v>
                </c:pt>
                <c:pt idx="818">
                  <c:v>-8.7921836716461144E-2</c:v>
                </c:pt>
                <c:pt idx="819">
                  <c:v>-8.793159786560345E-2</c:v>
                </c:pt>
                <c:pt idx="820">
                  <c:v>-8.7941358859321639E-2</c:v>
                </c:pt>
                <c:pt idx="821">
                  <c:v>-8.7951119697603275E-2</c:v>
                </c:pt>
                <c:pt idx="822">
                  <c:v>-8.796088038045724E-2</c:v>
                </c:pt>
                <c:pt idx="823">
                  <c:v>-8.797064090789064E-2</c:v>
                </c:pt>
                <c:pt idx="824">
                  <c:v>-8.798040127989637E-2</c:v>
                </c:pt>
                <c:pt idx="825">
                  <c:v>-8.799016149648331E-2</c:v>
                </c:pt>
                <c:pt idx="826">
                  <c:v>-8.7999921557649685E-2</c:v>
                </c:pt>
                <c:pt idx="827">
                  <c:v>-8.8009681463393719E-2</c:v>
                </c:pt>
                <c:pt idx="828">
                  <c:v>-8.8019441213733174E-2</c:v>
                </c:pt>
                <c:pt idx="829">
                  <c:v>-8.8029200808648511E-2</c:v>
                </c:pt>
                <c:pt idx="830">
                  <c:v>-8.8038960248155718E-2</c:v>
                </c:pt>
                <c:pt idx="831">
                  <c:v>-8.8048719532253017E-2</c:v>
                </c:pt>
                <c:pt idx="832">
                  <c:v>-8.8058478660943962E-2</c:v>
                </c:pt>
                <c:pt idx="833">
                  <c:v>-8.8068237634223223E-2</c:v>
                </c:pt>
                <c:pt idx="834">
                  <c:v>-8.8077996452108565E-2</c:v>
                </c:pt>
                <c:pt idx="835">
                  <c:v>-8.8087755114591104E-2</c:v>
                </c:pt>
                <c:pt idx="836">
                  <c:v>-8.8097513621667289E-2</c:v>
                </c:pt>
                <c:pt idx="837">
                  <c:v>-8.8107271973346002E-2</c:v>
                </c:pt>
                <c:pt idx="838">
                  <c:v>-8.8117030169632571E-2</c:v>
                </c:pt>
                <c:pt idx="839">
                  <c:v>-8.812678821052522E-2</c:v>
                </c:pt>
                <c:pt idx="840">
                  <c:v>-8.8136546096025725E-2</c:v>
                </c:pt>
                <c:pt idx="841">
                  <c:v>-8.8146303826139416E-2</c:v>
                </c:pt>
                <c:pt idx="842">
                  <c:v>-8.8156061400855634E-2</c:v>
                </c:pt>
                <c:pt idx="843">
                  <c:v>-8.816581882019392E-2</c:v>
                </c:pt>
                <c:pt idx="844">
                  <c:v>-8.8175576084143614E-2</c:v>
                </c:pt>
                <c:pt idx="845">
                  <c:v>-8.8185333192715376E-2</c:v>
                </c:pt>
                <c:pt idx="846">
                  <c:v>-8.8195090145907429E-2</c:v>
                </c:pt>
                <c:pt idx="847">
                  <c:v>-8.8204846943717996E-2</c:v>
                </c:pt>
                <c:pt idx="848">
                  <c:v>-8.8214603586159512E-2</c:v>
                </c:pt>
                <c:pt idx="849">
                  <c:v>-8.8224360073223096E-2</c:v>
                </c:pt>
                <c:pt idx="850">
                  <c:v>-8.8234116404917629E-2</c:v>
                </c:pt>
                <c:pt idx="851">
                  <c:v>-8.8243872581239557E-2</c:v>
                </c:pt>
                <c:pt idx="852">
                  <c:v>-8.8253628602192435E-2</c:v>
                </c:pt>
                <c:pt idx="853">
                  <c:v>-8.8263384467783368E-2</c:v>
                </c:pt>
                <c:pt idx="854">
                  <c:v>-8.8273140178007026E-2</c:v>
                </c:pt>
                <c:pt idx="855">
                  <c:v>-8.8282895732866962E-2</c:v>
                </c:pt>
                <c:pt idx="856">
                  <c:v>-8.8292651132366728E-2</c:v>
                </c:pt>
                <c:pt idx="857">
                  <c:v>-8.8302406376516984E-2</c:v>
                </c:pt>
                <c:pt idx="858">
                  <c:v>-8.8312161465301742E-2</c:v>
                </c:pt>
                <c:pt idx="859">
                  <c:v>-8.8321916398738765E-2</c:v>
                </c:pt>
                <c:pt idx="860">
                  <c:v>-8.8331671176819171E-2</c:v>
                </c:pt>
                <c:pt idx="861">
                  <c:v>-8.8341425799551843E-2</c:v>
                </c:pt>
                <c:pt idx="862">
                  <c:v>-8.835118026693678E-2</c:v>
                </c:pt>
                <c:pt idx="863">
                  <c:v>-8.8360934578977535E-2</c:v>
                </c:pt>
                <c:pt idx="864">
                  <c:v>-8.8370688735674108E-2</c:v>
                </c:pt>
                <c:pt idx="865">
                  <c:v>-8.8380442737026499E-2</c:v>
                </c:pt>
                <c:pt idx="866">
                  <c:v>-8.8390196583040037E-2</c:v>
                </c:pt>
                <c:pt idx="867">
                  <c:v>-8.8399950273720052E-2</c:v>
                </c:pt>
                <c:pt idx="868">
                  <c:v>-8.8409703809059437E-2</c:v>
                </c:pt>
                <c:pt idx="869">
                  <c:v>-8.8419457189061745E-2</c:v>
                </c:pt>
                <c:pt idx="870">
                  <c:v>-8.8429210413735859E-2</c:v>
                </c:pt>
                <c:pt idx="871">
                  <c:v>-8.8438963483081778E-2</c:v>
                </c:pt>
                <c:pt idx="872">
                  <c:v>-8.8448716397094174E-2</c:v>
                </c:pt>
                <c:pt idx="873">
                  <c:v>-8.845846915578548E-2</c:v>
                </c:pt>
                <c:pt idx="874">
                  <c:v>-8.8468221759148591E-2</c:v>
                </c:pt>
                <c:pt idx="875">
                  <c:v>-8.8477974207192389E-2</c:v>
                </c:pt>
                <c:pt idx="876">
                  <c:v>-8.8487726499916874E-2</c:v>
                </c:pt>
                <c:pt idx="877">
                  <c:v>-8.8497478637322047E-2</c:v>
                </c:pt>
                <c:pt idx="878">
                  <c:v>-8.850723061940613E-2</c:v>
                </c:pt>
                <c:pt idx="879">
                  <c:v>-8.8516982446181558E-2</c:v>
                </c:pt>
                <c:pt idx="880">
                  <c:v>-8.8526734117648331E-2</c:v>
                </c:pt>
                <c:pt idx="881">
                  <c:v>-8.8536485633797568E-2</c:v>
                </c:pt>
                <c:pt idx="882">
                  <c:v>-8.8546236994641703E-2</c:v>
                </c:pt>
                <c:pt idx="883">
                  <c:v>-8.8555988200184288E-2</c:v>
                </c:pt>
                <c:pt idx="884">
                  <c:v>-8.8565739250416442E-2</c:v>
                </c:pt>
                <c:pt idx="885">
                  <c:v>-8.8575490145348823E-2</c:v>
                </c:pt>
                <c:pt idx="886">
                  <c:v>-8.8585240884981431E-2</c:v>
                </c:pt>
                <c:pt idx="887">
                  <c:v>-8.8594991469314266E-2</c:v>
                </c:pt>
                <c:pt idx="888">
                  <c:v>-8.8604741898354433E-2</c:v>
                </c:pt>
                <c:pt idx="889">
                  <c:v>-8.8614492172096604E-2</c:v>
                </c:pt>
                <c:pt idx="890">
                  <c:v>-8.8624242290547883E-2</c:v>
                </c:pt>
                <c:pt idx="891">
                  <c:v>-8.8633992253708271E-2</c:v>
                </c:pt>
                <c:pt idx="892">
                  <c:v>-8.864374206158665E-2</c:v>
                </c:pt>
                <c:pt idx="893">
                  <c:v>-8.8653491714170585E-2</c:v>
                </c:pt>
                <c:pt idx="894">
                  <c:v>-8.8663241211474286E-2</c:v>
                </c:pt>
                <c:pt idx="895">
                  <c:v>-8.8672990553490649E-2</c:v>
                </c:pt>
                <c:pt idx="896">
                  <c:v>-8.8682739740232108E-2</c:v>
                </c:pt>
                <c:pt idx="897">
                  <c:v>-8.8692488771693334E-2</c:v>
                </c:pt>
                <c:pt idx="898">
                  <c:v>-8.8702237647876103E-2</c:v>
                </c:pt>
                <c:pt idx="899">
                  <c:v>-8.871198636879285E-2</c:v>
                </c:pt>
                <c:pt idx="900">
                  <c:v>-8.8721734934427587E-2</c:v>
                </c:pt>
                <c:pt idx="901">
                  <c:v>-8.8731483344798079E-2</c:v>
                </c:pt>
                <c:pt idx="902">
                  <c:v>-8.8741231599897219E-2</c:v>
                </c:pt>
                <c:pt idx="903">
                  <c:v>-8.8750979699732113E-2</c:v>
                </c:pt>
                <c:pt idx="904">
                  <c:v>-8.8760727644300985E-2</c:v>
                </c:pt>
                <c:pt idx="905">
                  <c:v>-8.8770475433609164E-2</c:v>
                </c:pt>
                <c:pt idx="906">
                  <c:v>-8.8780223067660202E-2</c:v>
                </c:pt>
                <c:pt idx="907">
                  <c:v>-8.8789970546445218E-2</c:v>
                </c:pt>
                <c:pt idx="908">
                  <c:v>-8.8799717869973094E-2</c:v>
                </c:pt>
                <c:pt idx="909">
                  <c:v>-8.8809465038252711E-2</c:v>
                </c:pt>
                <c:pt idx="910">
                  <c:v>-8.8819212051280516E-2</c:v>
                </c:pt>
                <c:pt idx="911">
                  <c:v>-8.8828958909058287E-2</c:v>
                </c:pt>
                <c:pt idx="912">
                  <c:v>-8.8838705611578916E-2</c:v>
                </c:pt>
                <c:pt idx="913">
                  <c:v>-8.8848452158867275E-2</c:v>
                </c:pt>
                <c:pt idx="914">
                  <c:v>-8.8858198550898493E-2</c:v>
                </c:pt>
                <c:pt idx="915">
                  <c:v>-8.8867944787693887E-2</c:v>
                </c:pt>
                <c:pt idx="916">
                  <c:v>-8.8877690869246351E-2</c:v>
                </c:pt>
                <c:pt idx="917">
                  <c:v>-8.8887436795561214E-2</c:v>
                </c:pt>
                <c:pt idx="918">
                  <c:v>-8.8897182566643806E-2</c:v>
                </c:pt>
                <c:pt idx="919">
                  <c:v>-8.8906928182487022E-2</c:v>
                </c:pt>
                <c:pt idx="920">
                  <c:v>-8.8916673643096189E-2</c:v>
                </c:pt>
                <c:pt idx="921">
                  <c:v>-8.8926418948473085E-2</c:v>
                </c:pt>
                <c:pt idx="922">
                  <c:v>-8.8936164098628367E-2</c:v>
                </c:pt>
                <c:pt idx="923">
                  <c:v>-8.8945909093558484E-2</c:v>
                </c:pt>
                <c:pt idx="924">
                  <c:v>-8.8955653933259882E-2</c:v>
                </c:pt>
                <c:pt idx="925">
                  <c:v>-8.8965398617734337E-2</c:v>
                </c:pt>
                <c:pt idx="926">
                  <c:v>-8.8975143146992508E-2</c:v>
                </c:pt>
                <c:pt idx="927">
                  <c:v>-8.8984887521032618E-2</c:v>
                </c:pt>
                <c:pt idx="928">
                  <c:v>-8.8994631739859997E-2</c:v>
                </c:pt>
                <c:pt idx="929">
                  <c:v>-8.9004375803465763E-2</c:v>
                </c:pt>
                <c:pt idx="930">
                  <c:v>-8.9014119711864126E-2</c:v>
                </c:pt>
                <c:pt idx="931">
                  <c:v>-8.9023863465051534E-2</c:v>
                </c:pt>
                <c:pt idx="932">
                  <c:v>-8.9033607063022657E-2</c:v>
                </c:pt>
                <c:pt idx="933">
                  <c:v>-8.904335050579526E-2</c:v>
                </c:pt>
                <c:pt idx="934">
                  <c:v>-8.905309379336046E-2</c:v>
                </c:pt>
                <c:pt idx="935">
                  <c:v>-8.9062836925721811E-2</c:v>
                </c:pt>
                <c:pt idx="936">
                  <c:v>-8.9072579902888194E-2</c:v>
                </c:pt>
                <c:pt idx="937">
                  <c:v>-8.9082322724850727E-2</c:v>
                </c:pt>
                <c:pt idx="938">
                  <c:v>-8.9092065391618291E-2</c:v>
                </c:pt>
                <c:pt idx="939">
                  <c:v>-8.9101807903196217E-2</c:v>
                </c:pt>
                <c:pt idx="940">
                  <c:v>-8.9111550259573846E-2</c:v>
                </c:pt>
                <c:pt idx="941">
                  <c:v>-8.9121292460763613E-2</c:v>
                </c:pt>
                <c:pt idx="942">
                  <c:v>-8.913103450676374E-2</c:v>
                </c:pt>
                <c:pt idx="943">
                  <c:v>-8.9140776397581334E-2</c:v>
                </c:pt>
                <c:pt idx="944">
                  <c:v>-8.9150518133209289E-2</c:v>
                </c:pt>
                <c:pt idx="945">
                  <c:v>-8.916025971365471E-2</c:v>
                </c:pt>
                <c:pt idx="946">
                  <c:v>-8.9170001138921151E-2</c:v>
                </c:pt>
                <c:pt idx="947">
                  <c:v>-8.9179742409010387E-2</c:v>
                </c:pt>
                <c:pt idx="948">
                  <c:v>-8.9189483523915314E-2</c:v>
                </c:pt>
                <c:pt idx="949">
                  <c:v>-8.919922448365547E-2</c:v>
                </c:pt>
                <c:pt idx="950">
                  <c:v>-8.9208965288218423E-2</c:v>
                </c:pt>
                <c:pt idx="951">
                  <c:v>-8.9218705937607723E-2</c:v>
                </c:pt>
                <c:pt idx="952">
                  <c:v>-8.9228446431832253E-2</c:v>
                </c:pt>
                <c:pt idx="953">
                  <c:v>-8.9238186770890238E-2</c:v>
                </c:pt>
                <c:pt idx="954">
                  <c:v>-8.9247926954781676E-2</c:v>
                </c:pt>
                <c:pt idx="955">
                  <c:v>-8.9257666983513673E-2</c:v>
                </c:pt>
                <c:pt idx="956">
                  <c:v>-8.92674068570809E-2</c:v>
                </c:pt>
                <c:pt idx="957">
                  <c:v>-8.9277146575490463E-2</c:v>
                </c:pt>
                <c:pt idx="958">
                  <c:v>-8.9286886138740584E-2</c:v>
                </c:pt>
                <c:pt idx="959">
                  <c:v>-8.9296625546838371E-2</c:v>
                </c:pt>
                <c:pt idx="960">
                  <c:v>-8.9306364799782045E-2</c:v>
                </c:pt>
                <c:pt idx="961">
                  <c:v>-8.9316103897576937E-2</c:v>
                </c:pt>
                <c:pt idx="962">
                  <c:v>-8.9325842840217717E-2</c:v>
                </c:pt>
                <c:pt idx="963">
                  <c:v>-8.9335581627720373E-2</c:v>
                </c:pt>
                <c:pt idx="964">
                  <c:v>-8.9345320260074246E-2</c:v>
                </c:pt>
                <c:pt idx="965">
                  <c:v>-8.9355058737281112E-2</c:v>
                </c:pt>
                <c:pt idx="966">
                  <c:v>-8.9364797059351631E-2</c:v>
                </c:pt>
                <c:pt idx="967">
                  <c:v>-8.9374535226284024E-2</c:v>
                </c:pt>
                <c:pt idx="968">
                  <c:v>-8.938427323808007E-2</c:v>
                </c:pt>
                <c:pt idx="969">
                  <c:v>-8.9394011094729109E-2</c:v>
                </c:pt>
                <c:pt idx="970">
                  <c:v>-8.9403748796259563E-2</c:v>
                </c:pt>
                <c:pt idx="971">
                  <c:v>-8.941348634265367E-2</c:v>
                </c:pt>
                <c:pt idx="972">
                  <c:v>-8.9423223733922086E-2</c:v>
                </c:pt>
                <c:pt idx="973">
                  <c:v>-8.9432960970061259E-2</c:v>
                </c:pt>
                <c:pt idx="974">
                  <c:v>-8.944269805107119E-2</c:v>
                </c:pt>
                <c:pt idx="975">
                  <c:v>-8.9452434976964312E-2</c:v>
                </c:pt>
                <c:pt idx="976">
                  <c:v>-8.9462171747735297E-2</c:v>
                </c:pt>
                <c:pt idx="977">
                  <c:v>-8.9471908363384145E-2</c:v>
                </c:pt>
                <c:pt idx="978">
                  <c:v>-8.9481644823914408E-2</c:v>
                </c:pt>
                <c:pt idx="979">
                  <c:v>-8.9491381129334968E-2</c:v>
                </c:pt>
                <c:pt idx="980">
                  <c:v>-8.950111727963872E-2</c:v>
                </c:pt>
                <c:pt idx="981">
                  <c:v>-8.9510853274830993E-2</c:v>
                </c:pt>
                <c:pt idx="982">
                  <c:v>-8.9520589114917115E-2</c:v>
                </c:pt>
                <c:pt idx="983">
                  <c:v>-8.9530324799893535E-2</c:v>
                </c:pt>
                <c:pt idx="984">
                  <c:v>-8.954006032977091E-2</c:v>
                </c:pt>
                <c:pt idx="985">
                  <c:v>-8.9549795704543911E-2</c:v>
                </c:pt>
                <c:pt idx="986">
                  <c:v>-8.9559530924208985E-2</c:v>
                </c:pt>
                <c:pt idx="987">
                  <c:v>-8.9569265988773239E-2</c:v>
                </c:pt>
                <c:pt idx="988">
                  <c:v>-8.957900089824733E-2</c:v>
                </c:pt>
                <c:pt idx="989">
                  <c:v>-8.9588735652622375E-2</c:v>
                </c:pt>
                <c:pt idx="990">
                  <c:v>-8.9598470251910811E-2</c:v>
                </c:pt>
                <c:pt idx="991">
                  <c:v>-8.9608204696105531E-2</c:v>
                </c:pt>
                <c:pt idx="992">
                  <c:v>-8.9617938985208312E-2</c:v>
                </c:pt>
                <c:pt idx="993">
                  <c:v>-8.9627673119224482E-2</c:v>
                </c:pt>
                <c:pt idx="994">
                  <c:v>-8.9637407098155819E-2</c:v>
                </c:pt>
                <c:pt idx="995">
                  <c:v>-8.9647140922000546E-2</c:v>
                </c:pt>
                <c:pt idx="996">
                  <c:v>-8.9656874590765767E-2</c:v>
                </c:pt>
                <c:pt idx="997">
                  <c:v>-8.966660810445326E-2</c:v>
                </c:pt>
                <c:pt idx="998">
                  <c:v>-8.9676341463057696E-2</c:v>
                </c:pt>
                <c:pt idx="999">
                  <c:v>-8.9686074666596838E-2</c:v>
                </c:pt>
                <c:pt idx="1000">
                  <c:v>-8.9695807715061804E-2</c:v>
                </c:pt>
              </c:numCache>
            </c:numRef>
          </c:yVal>
          <c:smooth val="0"/>
          <c:extLst>
            <c:ext xmlns:c16="http://schemas.microsoft.com/office/drawing/2014/chart" uri="{C3380CC4-5D6E-409C-BE32-E72D297353CC}">
              <c16:uniqueId val="{00000000-BDD6-4E9B-9AFA-2396233049A9}"/>
            </c:ext>
          </c:extLst>
        </c:ser>
        <c:ser>
          <c:idx val="1"/>
          <c:order val="1"/>
          <c:tx>
            <c:strRef>
              <c:f>Courbes!$B$138</c:f>
              <c:strCache>
                <c:ptCount val="1"/>
                <c:pt idx="0">
                  <c:v>Charge vue par un capteur</c:v>
                </c:pt>
              </c:strCache>
            </c:strRef>
          </c:tx>
          <c:spPr>
            <a:ln w="25400">
              <a:solidFill>
                <a:srgbClr val="008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34.800000000000182</c:v>
                </c:pt>
                <c:pt idx="709">
                  <c:v>34.900000000000183</c:v>
                </c:pt>
                <c:pt idx="710">
                  <c:v>35.000000000000185</c:v>
                </c:pt>
                <c:pt idx="711">
                  <c:v>35.100000000000186</c:v>
                </c:pt>
                <c:pt idx="712">
                  <c:v>35.200000000000188</c:v>
                </c:pt>
                <c:pt idx="713">
                  <c:v>35.300000000000189</c:v>
                </c:pt>
                <c:pt idx="714">
                  <c:v>35.40000000000019</c:v>
                </c:pt>
                <c:pt idx="715">
                  <c:v>35.500000000000192</c:v>
                </c:pt>
                <c:pt idx="716">
                  <c:v>35.600000000000193</c:v>
                </c:pt>
                <c:pt idx="717">
                  <c:v>35.700000000000195</c:v>
                </c:pt>
                <c:pt idx="718">
                  <c:v>35.800000000000196</c:v>
                </c:pt>
                <c:pt idx="719">
                  <c:v>35.900000000000198</c:v>
                </c:pt>
                <c:pt idx="720">
                  <c:v>36.000000000000199</c:v>
                </c:pt>
                <c:pt idx="721">
                  <c:v>36.1000000000002</c:v>
                </c:pt>
                <c:pt idx="722">
                  <c:v>36.200000000000202</c:v>
                </c:pt>
                <c:pt idx="723">
                  <c:v>36.300000000000203</c:v>
                </c:pt>
                <c:pt idx="724">
                  <c:v>36.400000000000205</c:v>
                </c:pt>
                <c:pt idx="725">
                  <c:v>36.500000000000206</c:v>
                </c:pt>
                <c:pt idx="726">
                  <c:v>36.600000000000207</c:v>
                </c:pt>
                <c:pt idx="727">
                  <c:v>36.700000000000209</c:v>
                </c:pt>
                <c:pt idx="728">
                  <c:v>36.80000000000021</c:v>
                </c:pt>
                <c:pt idx="729">
                  <c:v>36.900000000000212</c:v>
                </c:pt>
                <c:pt idx="730">
                  <c:v>37.000000000000213</c:v>
                </c:pt>
                <c:pt idx="731">
                  <c:v>37.100000000000215</c:v>
                </c:pt>
                <c:pt idx="732">
                  <c:v>37.200000000000216</c:v>
                </c:pt>
                <c:pt idx="733">
                  <c:v>37.300000000000217</c:v>
                </c:pt>
                <c:pt idx="734">
                  <c:v>37.400000000000219</c:v>
                </c:pt>
                <c:pt idx="735">
                  <c:v>37.50000000000022</c:v>
                </c:pt>
                <c:pt idx="736">
                  <c:v>37.600000000000222</c:v>
                </c:pt>
                <c:pt idx="737">
                  <c:v>37.700000000000223</c:v>
                </c:pt>
                <c:pt idx="738">
                  <c:v>37.800000000000225</c:v>
                </c:pt>
                <c:pt idx="739">
                  <c:v>37.900000000000226</c:v>
                </c:pt>
                <c:pt idx="740">
                  <c:v>38.000000000000227</c:v>
                </c:pt>
                <c:pt idx="741">
                  <c:v>38.100000000000229</c:v>
                </c:pt>
                <c:pt idx="742">
                  <c:v>38.20000000000023</c:v>
                </c:pt>
                <c:pt idx="743">
                  <c:v>38.300000000000232</c:v>
                </c:pt>
                <c:pt idx="744">
                  <c:v>38.400000000000233</c:v>
                </c:pt>
                <c:pt idx="745">
                  <c:v>38.500000000000234</c:v>
                </c:pt>
                <c:pt idx="746">
                  <c:v>38.600000000000236</c:v>
                </c:pt>
                <c:pt idx="747">
                  <c:v>38.700000000000237</c:v>
                </c:pt>
                <c:pt idx="748">
                  <c:v>38.800000000000239</c:v>
                </c:pt>
                <c:pt idx="749">
                  <c:v>38.90000000000024</c:v>
                </c:pt>
                <c:pt idx="750">
                  <c:v>39.000000000000242</c:v>
                </c:pt>
                <c:pt idx="751">
                  <c:v>39.100000000000243</c:v>
                </c:pt>
                <c:pt idx="752">
                  <c:v>39.200000000000244</c:v>
                </c:pt>
                <c:pt idx="753">
                  <c:v>39.300000000000246</c:v>
                </c:pt>
                <c:pt idx="754">
                  <c:v>39.400000000000247</c:v>
                </c:pt>
                <c:pt idx="755">
                  <c:v>39.500000000000249</c:v>
                </c:pt>
                <c:pt idx="756">
                  <c:v>39.60000000000025</c:v>
                </c:pt>
                <c:pt idx="757">
                  <c:v>39.700000000000252</c:v>
                </c:pt>
                <c:pt idx="758">
                  <c:v>39.800000000000253</c:v>
                </c:pt>
                <c:pt idx="759">
                  <c:v>39.900000000000254</c:v>
                </c:pt>
                <c:pt idx="760">
                  <c:v>40.000000000000256</c:v>
                </c:pt>
                <c:pt idx="761">
                  <c:v>40.100000000000257</c:v>
                </c:pt>
                <c:pt idx="762">
                  <c:v>40.200000000000259</c:v>
                </c:pt>
                <c:pt idx="763">
                  <c:v>40.30000000000026</c:v>
                </c:pt>
                <c:pt idx="764">
                  <c:v>40.400000000000261</c:v>
                </c:pt>
                <c:pt idx="765">
                  <c:v>40.500000000000263</c:v>
                </c:pt>
                <c:pt idx="766">
                  <c:v>40.600000000000264</c:v>
                </c:pt>
                <c:pt idx="767">
                  <c:v>40.700000000000266</c:v>
                </c:pt>
                <c:pt idx="768">
                  <c:v>40.800000000000267</c:v>
                </c:pt>
                <c:pt idx="769">
                  <c:v>40.900000000000269</c:v>
                </c:pt>
                <c:pt idx="770">
                  <c:v>41.00000000000027</c:v>
                </c:pt>
                <c:pt idx="771">
                  <c:v>41.100000000000271</c:v>
                </c:pt>
                <c:pt idx="772">
                  <c:v>41.200000000000273</c:v>
                </c:pt>
                <c:pt idx="773">
                  <c:v>41.300000000000274</c:v>
                </c:pt>
                <c:pt idx="774">
                  <c:v>41.400000000000276</c:v>
                </c:pt>
                <c:pt idx="775">
                  <c:v>41.500000000000277</c:v>
                </c:pt>
                <c:pt idx="776">
                  <c:v>41.600000000000279</c:v>
                </c:pt>
                <c:pt idx="777">
                  <c:v>41.70000000000028</c:v>
                </c:pt>
                <c:pt idx="778">
                  <c:v>41.800000000000281</c:v>
                </c:pt>
                <c:pt idx="779">
                  <c:v>41.900000000000283</c:v>
                </c:pt>
                <c:pt idx="780">
                  <c:v>42.000000000000284</c:v>
                </c:pt>
                <c:pt idx="781">
                  <c:v>42.100000000000286</c:v>
                </c:pt>
                <c:pt idx="782">
                  <c:v>42.200000000000287</c:v>
                </c:pt>
                <c:pt idx="783">
                  <c:v>42.300000000000288</c:v>
                </c:pt>
                <c:pt idx="784">
                  <c:v>42.40000000000029</c:v>
                </c:pt>
                <c:pt idx="785">
                  <c:v>42.500000000000291</c:v>
                </c:pt>
                <c:pt idx="786">
                  <c:v>42.600000000000293</c:v>
                </c:pt>
                <c:pt idx="787">
                  <c:v>42.700000000000294</c:v>
                </c:pt>
                <c:pt idx="788">
                  <c:v>42.800000000000296</c:v>
                </c:pt>
                <c:pt idx="789">
                  <c:v>42.900000000000297</c:v>
                </c:pt>
                <c:pt idx="790">
                  <c:v>43.000000000000298</c:v>
                </c:pt>
                <c:pt idx="791">
                  <c:v>43.1000000000003</c:v>
                </c:pt>
                <c:pt idx="792">
                  <c:v>43.200000000000301</c:v>
                </c:pt>
                <c:pt idx="793">
                  <c:v>43.300000000000303</c:v>
                </c:pt>
                <c:pt idx="794">
                  <c:v>43.400000000000304</c:v>
                </c:pt>
                <c:pt idx="795">
                  <c:v>43.500000000000306</c:v>
                </c:pt>
                <c:pt idx="796">
                  <c:v>43.600000000000307</c:v>
                </c:pt>
                <c:pt idx="797">
                  <c:v>43.700000000000308</c:v>
                </c:pt>
                <c:pt idx="798">
                  <c:v>43.80000000000031</c:v>
                </c:pt>
                <c:pt idx="799">
                  <c:v>43.900000000000311</c:v>
                </c:pt>
                <c:pt idx="800">
                  <c:v>44.000000000000313</c:v>
                </c:pt>
                <c:pt idx="801">
                  <c:v>44.100000000000314</c:v>
                </c:pt>
                <c:pt idx="802">
                  <c:v>44.200000000000315</c:v>
                </c:pt>
                <c:pt idx="803">
                  <c:v>44.300000000000317</c:v>
                </c:pt>
                <c:pt idx="804">
                  <c:v>44.400000000000318</c:v>
                </c:pt>
                <c:pt idx="805">
                  <c:v>44.50000000000032</c:v>
                </c:pt>
                <c:pt idx="806">
                  <c:v>44.600000000000321</c:v>
                </c:pt>
                <c:pt idx="807">
                  <c:v>44.600100000000324</c:v>
                </c:pt>
                <c:pt idx="808">
                  <c:v>44.600200000000328</c:v>
                </c:pt>
                <c:pt idx="809">
                  <c:v>44.600300000000331</c:v>
                </c:pt>
                <c:pt idx="810">
                  <c:v>44.600400000000334</c:v>
                </c:pt>
                <c:pt idx="811">
                  <c:v>44.600500000000338</c:v>
                </c:pt>
                <c:pt idx="812">
                  <c:v>44.600600000000341</c:v>
                </c:pt>
                <c:pt idx="813">
                  <c:v>44.600700000000344</c:v>
                </c:pt>
                <c:pt idx="814">
                  <c:v>44.600800000000348</c:v>
                </c:pt>
                <c:pt idx="815">
                  <c:v>44.600900000000351</c:v>
                </c:pt>
                <c:pt idx="816">
                  <c:v>44.601000000000354</c:v>
                </c:pt>
                <c:pt idx="817">
                  <c:v>44.601100000000358</c:v>
                </c:pt>
                <c:pt idx="818">
                  <c:v>44.601200000000361</c:v>
                </c:pt>
                <c:pt idx="819">
                  <c:v>44.601300000000364</c:v>
                </c:pt>
                <c:pt idx="820">
                  <c:v>44.601400000000368</c:v>
                </c:pt>
                <c:pt idx="821">
                  <c:v>44.601500000000371</c:v>
                </c:pt>
                <c:pt idx="822">
                  <c:v>44.601600000000374</c:v>
                </c:pt>
                <c:pt idx="823">
                  <c:v>44.601700000000378</c:v>
                </c:pt>
                <c:pt idx="824">
                  <c:v>44.601800000000381</c:v>
                </c:pt>
                <c:pt idx="825">
                  <c:v>44.601900000000384</c:v>
                </c:pt>
                <c:pt idx="826">
                  <c:v>44.602000000000388</c:v>
                </c:pt>
                <c:pt idx="827">
                  <c:v>44.602100000000391</c:v>
                </c:pt>
                <c:pt idx="828">
                  <c:v>44.602200000000394</c:v>
                </c:pt>
                <c:pt idx="829">
                  <c:v>44.602300000000398</c:v>
                </c:pt>
                <c:pt idx="830">
                  <c:v>44.602400000000401</c:v>
                </c:pt>
                <c:pt idx="831">
                  <c:v>44.602500000000404</c:v>
                </c:pt>
                <c:pt idx="832">
                  <c:v>44.602600000000407</c:v>
                </c:pt>
                <c:pt idx="833">
                  <c:v>44.602700000000411</c:v>
                </c:pt>
                <c:pt idx="834">
                  <c:v>44.602800000000414</c:v>
                </c:pt>
                <c:pt idx="835">
                  <c:v>44.602900000000417</c:v>
                </c:pt>
                <c:pt idx="836">
                  <c:v>44.603000000000421</c:v>
                </c:pt>
                <c:pt idx="837">
                  <c:v>44.603100000000424</c:v>
                </c:pt>
                <c:pt idx="838">
                  <c:v>44.603200000000427</c:v>
                </c:pt>
                <c:pt idx="839">
                  <c:v>44.603300000000431</c:v>
                </c:pt>
                <c:pt idx="840">
                  <c:v>44.603400000000434</c:v>
                </c:pt>
                <c:pt idx="841">
                  <c:v>44.603500000000437</c:v>
                </c:pt>
                <c:pt idx="842">
                  <c:v>44.603600000000441</c:v>
                </c:pt>
                <c:pt idx="843">
                  <c:v>44.603700000000444</c:v>
                </c:pt>
                <c:pt idx="844">
                  <c:v>44.603800000000447</c:v>
                </c:pt>
                <c:pt idx="845">
                  <c:v>44.603900000000451</c:v>
                </c:pt>
                <c:pt idx="846">
                  <c:v>44.604000000000454</c:v>
                </c:pt>
                <c:pt idx="847">
                  <c:v>44.604100000000457</c:v>
                </c:pt>
                <c:pt idx="848">
                  <c:v>44.604200000000461</c:v>
                </c:pt>
                <c:pt idx="849">
                  <c:v>44.604300000000464</c:v>
                </c:pt>
                <c:pt idx="850">
                  <c:v>44.604400000000467</c:v>
                </c:pt>
                <c:pt idx="851">
                  <c:v>44.604500000000471</c:v>
                </c:pt>
                <c:pt idx="852">
                  <c:v>44.604600000000474</c:v>
                </c:pt>
                <c:pt idx="853">
                  <c:v>44.604700000000477</c:v>
                </c:pt>
                <c:pt idx="854">
                  <c:v>44.604800000000481</c:v>
                </c:pt>
                <c:pt idx="855">
                  <c:v>44.604900000000484</c:v>
                </c:pt>
                <c:pt idx="856">
                  <c:v>44.605000000000487</c:v>
                </c:pt>
                <c:pt idx="857">
                  <c:v>44.60510000000049</c:v>
                </c:pt>
                <c:pt idx="858">
                  <c:v>44.605200000000494</c:v>
                </c:pt>
                <c:pt idx="859">
                  <c:v>44.605300000000497</c:v>
                </c:pt>
                <c:pt idx="860">
                  <c:v>44.6054000000005</c:v>
                </c:pt>
                <c:pt idx="861">
                  <c:v>44.605500000000504</c:v>
                </c:pt>
                <c:pt idx="862">
                  <c:v>44.605600000000507</c:v>
                </c:pt>
                <c:pt idx="863">
                  <c:v>44.60570000000051</c:v>
                </c:pt>
                <c:pt idx="864">
                  <c:v>44.605800000000514</c:v>
                </c:pt>
                <c:pt idx="865">
                  <c:v>44.605900000000517</c:v>
                </c:pt>
                <c:pt idx="866">
                  <c:v>44.60600000000052</c:v>
                </c:pt>
                <c:pt idx="867">
                  <c:v>44.606100000000524</c:v>
                </c:pt>
                <c:pt idx="868">
                  <c:v>44.606200000000527</c:v>
                </c:pt>
                <c:pt idx="869">
                  <c:v>44.60630000000053</c:v>
                </c:pt>
                <c:pt idx="870">
                  <c:v>44.606400000000534</c:v>
                </c:pt>
                <c:pt idx="871">
                  <c:v>44.606500000000537</c:v>
                </c:pt>
                <c:pt idx="872">
                  <c:v>44.60660000000054</c:v>
                </c:pt>
                <c:pt idx="873">
                  <c:v>44.606700000000544</c:v>
                </c:pt>
                <c:pt idx="874">
                  <c:v>44.606800000000547</c:v>
                </c:pt>
                <c:pt idx="875">
                  <c:v>44.60690000000055</c:v>
                </c:pt>
                <c:pt idx="876">
                  <c:v>44.607000000000554</c:v>
                </c:pt>
                <c:pt idx="877">
                  <c:v>44.607100000000557</c:v>
                </c:pt>
                <c:pt idx="878">
                  <c:v>44.60720000000056</c:v>
                </c:pt>
                <c:pt idx="879">
                  <c:v>44.607300000000564</c:v>
                </c:pt>
                <c:pt idx="880">
                  <c:v>44.607400000000567</c:v>
                </c:pt>
                <c:pt idx="881">
                  <c:v>44.60750000000057</c:v>
                </c:pt>
                <c:pt idx="882">
                  <c:v>44.607600000000573</c:v>
                </c:pt>
                <c:pt idx="883">
                  <c:v>44.607700000000577</c:v>
                </c:pt>
                <c:pt idx="884">
                  <c:v>44.60780000000058</c:v>
                </c:pt>
                <c:pt idx="885">
                  <c:v>44.607900000000583</c:v>
                </c:pt>
                <c:pt idx="886">
                  <c:v>44.608000000000587</c:v>
                </c:pt>
                <c:pt idx="887">
                  <c:v>44.60810000000059</c:v>
                </c:pt>
                <c:pt idx="888">
                  <c:v>44.608200000000593</c:v>
                </c:pt>
                <c:pt idx="889">
                  <c:v>44.608300000000597</c:v>
                </c:pt>
                <c:pt idx="890">
                  <c:v>44.6084000000006</c:v>
                </c:pt>
                <c:pt idx="891">
                  <c:v>44.608500000000603</c:v>
                </c:pt>
                <c:pt idx="892">
                  <c:v>44.608600000000607</c:v>
                </c:pt>
                <c:pt idx="893">
                  <c:v>44.60870000000061</c:v>
                </c:pt>
                <c:pt idx="894">
                  <c:v>44.608800000000613</c:v>
                </c:pt>
                <c:pt idx="895">
                  <c:v>44.608900000000617</c:v>
                </c:pt>
                <c:pt idx="896">
                  <c:v>44.60900000000062</c:v>
                </c:pt>
                <c:pt idx="897">
                  <c:v>44.609100000000623</c:v>
                </c:pt>
                <c:pt idx="898">
                  <c:v>44.609200000000627</c:v>
                </c:pt>
                <c:pt idx="899">
                  <c:v>44.60930000000063</c:v>
                </c:pt>
                <c:pt idx="900">
                  <c:v>44.609400000000633</c:v>
                </c:pt>
                <c:pt idx="901">
                  <c:v>44.609500000000637</c:v>
                </c:pt>
                <c:pt idx="902">
                  <c:v>44.60960000000064</c:v>
                </c:pt>
                <c:pt idx="903">
                  <c:v>44.609700000000643</c:v>
                </c:pt>
                <c:pt idx="904">
                  <c:v>44.609800000000646</c:v>
                </c:pt>
                <c:pt idx="905">
                  <c:v>44.60990000000065</c:v>
                </c:pt>
                <c:pt idx="906">
                  <c:v>44.610000000000653</c:v>
                </c:pt>
                <c:pt idx="907">
                  <c:v>44.610100000000656</c:v>
                </c:pt>
                <c:pt idx="908">
                  <c:v>44.61020000000066</c:v>
                </c:pt>
                <c:pt idx="909">
                  <c:v>44.610300000000663</c:v>
                </c:pt>
                <c:pt idx="910">
                  <c:v>44.610400000000666</c:v>
                </c:pt>
                <c:pt idx="911">
                  <c:v>44.61050000000067</c:v>
                </c:pt>
                <c:pt idx="912">
                  <c:v>44.610600000000673</c:v>
                </c:pt>
                <c:pt idx="913">
                  <c:v>44.610700000000676</c:v>
                </c:pt>
                <c:pt idx="914">
                  <c:v>44.61080000000068</c:v>
                </c:pt>
                <c:pt idx="915">
                  <c:v>44.610900000000683</c:v>
                </c:pt>
                <c:pt idx="916">
                  <c:v>44.611000000000686</c:v>
                </c:pt>
                <c:pt idx="917">
                  <c:v>44.61110000000069</c:v>
                </c:pt>
                <c:pt idx="918">
                  <c:v>44.611200000000693</c:v>
                </c:pt>
                <c:pt idx="919">
                  <c:v>44.611300000000696</c:v>
                </c:pt>
                <c:pt idx="920">
                  <c:v>44.6114000000007</c:v>
                </c:pt>
                <c:pt idx="921">
                  <c:v>44.611500000000703</c:v>
                </c:pt>
                <c:pt idx="922">
                  <c:v>44.611600000000706</c:v>
                </c:pt>
                <c:pt idx="923">
                  <c:v>44.61170000000071</c:v>
                </c:pt>
                <c:pt idx="924">
                  <c:v>44.611800000000713</c:v>
                </c:pt>
                <c:pt idx="925">
                  <c:v>44.611900000000716</c:v>
                </c:pt>
                <c:pt idx="926">
                  <c:v>44.61200000000072</c:v>
                </c:pt>
                <c:pt idx="927">
                  <c:v>44.612100000000723</c:v>
                </c:pt>
                <c:pt idx="928">
                  <c:v>44.612200000000726</c:v>
                </c:pt>
                <c:pt idx="929">
                  <c:v>44.612300000000729</c:v>
                </c:pt>
                <c:pt idx="930">
                  <c:v>44.612400000000733</c:v>
                </c:pt>
                <c:pt idx="931">
                  <c:v>44.612500000000736</c:v>
                </c:pt>
                <c:pt idx="932">
                  <c:v>44.612600000000739</c:v>
                </c:pt>
                <c:pt idx="933">
                  <c:v>44.612700000000743</c:v>
                </c:pt>
                <c:pt idx="934">
                  <c:v>44.612800000000746</c:v>
                </c:pt>
                <c:pt idx="935">
                  <c:v>44.612900000000749</c:v>
                </c:pt>
                <c:pt idx="936">
                  <c:v>44.613000000000753</c:v>
                </c:pt>
                <c:pt idx="937">
                  <c:v>44.613100000000756</c:v>
                </c:pt>
                <c:pt idx="938">
                  <c:v>44.613200000000759</c:v>
                </c:pt>
                <c:pt idx="939">
                  <c:v>44.613300000000763</c:v>
                </c:pt>
                <c:pt idx="940">
                  <c:v>44.613400000000766</c:v>
                </c:pt>
                <c:pt idx="941">
                  <c:v>44.613500000000769</c:v>
                </c:pt>
                <c:pt idx="942">
                  <c:v>44.613600000000773</c:v>
                </c:pt>
                <c:pt idx="943">
                  <c:v>44.613700000000776</c:v>
                </c:pt>
                <c:pt idx="944">
                  <c:v>44.613800000000779</c:v>
                </c:pt>
                <c:pt idx="945">
                  <c:v>44.613900000000783</c:v>
                </c:pt>
                <c:pt idx="946">
                  <c:v>44.614000000000786</c:v>
                </c:pt>
                <c:pt idx="947">
                  <c:v>44.614100000000789</c:v>
                </c:pt>
                <c:pt idx="948">
                  <c:v>44.614200000000793</c:v>
                </c:pt>
                <c:pt idx="949">
                  <c:v>44.614300000000796</c:v>
                </c:pt>
                <c:pt idx="950">
                  <c:v>44.614400000000799</c:v>
                </c:pt>
                <c:pt idx="951">
                  <c:v>44.614500000000803</c:v>
                </c:pt>
                <c:pt idx="952">
                  <c:v>44.614600000000806</c:v>
                </c:pt>
                <c:pt idx="953">
                  <c:v>44.614700000000809</c:v>
                </c:pt>
                <c:pt idx="954">
                  <c:v>44.614800000000812</c:v>
                </c:pt>
                <c:pt idx="955">
                  <c:v>44.614900000000816</c:v>
                </c:pt>
                <c:pt idx="956">
                  <c:v>44.615000000000819</c:v>
                </c:pt>
                <c:pt idx="957">
                  <c:v>44.615100000000822</c:v>
                </c:pt>
                <c:pt idx="958">
                  <c:v>44.615200000000826</c:v>
                </c:pt>
                <c:pt idx="959">
                  <c:v>44.615300000000829</c:v>
                </c:pt>
                <c:pt idx="960">
                  <c:v>44.615400000000832</c:v>
                </c:pt>
                <c:pt idx="961">
                  <c:v>44.615500000000836</c:v>
                </c:pt>
                <c:pt idx="962">
                  <c:v>44.615600000000839</c:v>
                </c:pt>
                <c:pt idx="963">
                  <c:v>44.615700000000842</c:v>
                </c:pt>
                <c:pt idx="964">
                  <c:v>44.615800000000846</c:v>
                </c:pt>
                <c:pt idx="965">
                  <c:v>44.615900000000849</c:v>
                </c:pt>
                <c:pt idx="966">
                  <c:v>44.616000000000852</c:v>
                </c:pt>
                <c:pt idx="967">
                  <c:v>44.616100000000856</c:v>
                </c:pt>
                <c:pt idx="968">
                  <c:v>44.616200000000859</c:v>
                </c:pt>
                <c:pt idx="969">
                  <c:v>44.616300000000862</c:v>
                </c:pt>
                <c:pt idx="970">
                  <c:v>44.616400000000866</c:v>
                </c:pt>
                <c:pt idx="971">
                  <c:v>44.616500000000869</c:v>
                </c:pt>
                <c:pt idx="972">
                  <c:v>44.616600000000872</c:v>
                </c:pt>
                <c:pt idx="973">
                  <c:v>44.616700000000876</c:v>
                </c:pt>
                <c:pt idx="974">
                  <c:v>44.616800000000879</c:v>
                </c:pt>
                <c:pt idx="975">
                  <c:v>44.616900000000882</c:v>
                </c:pt>
                <c:pt idx="976">
                  <c:v>44.617000000000886</c:v>
                </c:pt>
                <c:pt idx="977">
                  <c:v>44.617100000000889</c:v>
                </c:pt>
                <c:pt idx="978">
                  <c:v>44.617200000000892</c:v>
                </c:pt>
                <c:pt idx="979">
                  <c:v>44.617300000000895</c:v>
                </c:pt>
                <c:pt idx="980">
                  <c:v>44.617400000000899</c:v>
                </c:pt>
                <c:pt idx="981">
                  <c:v>44.617500000000902</c:v>
                </c:pt>
                <c:pt idx="982">
                  <c:v>44.617600000000905</c:v>
                </c:pt>
                <c:pt idx="983">
                  <c:v>44.617700000000909</c:v>
                </c:pt>
                <c:pt idx="984">
                  <c:v>44.617800000000912</c:v>
                </c:pt>
                <c:pt idx="985">
                  <c:v>44.617900000000915</c:v>
                </c:pt>
                <c:pt idx="986">
                  <c:v>44.618000000000919</c:v>
                </c:pt>
                <c:pt idx="987">
                  <c:v>44.618100000000922</c:v>
                </c:pt>
                <c:pt idx="988">
                  <c:v>44.618200000000925</c:v>
                </c:pt>
                <c:pt idx="989">
                  <c:v>44.618300000000929</c:v>
                </c:pt>
                <c:pt idx="990">
                  <c:v>44.618400000000932</c:v>
                </c:pt>
                <c:pt idx="991">
                  <c:v>44.618500000000935</c:v>
                </c:pt>
                <c:pt idx="992">
                  <c:v>44.618600000000939</c:v>
                </c:pt>
                <c:pt idx="993">
                  <c:v>44.618700000000942</c:v>
                </c:pt>
                <c:pt idx="994">
                  <c:v>44.618800000000945</c:v>
                </c:pt>
                <c:pt idx="995">
                  <c:v>44.618900000000949</c:v>
                </c:pt>
                <c:pt idx="996">
                  <c:v>44.619000000000952</c:v>
                </c:pt>
                <c:pt idx="997">
                  <c:v>44.619100000000955</c:v>
                </c:pt>
                <c:pt idx="998">
                  <c:v>44.619200000000959</c:v>
                </c:pt>
                <c:pt idx="999">
                  <c:v>44.619300000000962</c:v>
                </c:pt>
                <c:pt idx="1000">
                  <c:v>44.619400000000965</c:v>
                </c:pt>
              </c:numCache>
            </c:numRef>
          </c:xVal>
          <c:yVal>
            <c:numRef>
              <c:f>Calculs!$AH$4:$AH$1004</c:f>
              <c:numCache>
                <c:formatCode>0.00</c:formatCode>
                <c:ptCount val="1001"/>
                <c:pt idx="0">
                  <c:v>0</c:v>
                </c:pt>
                <c:pt idx="1">
                  <c:v>8.4517091496488703</c:v>
                </c:pt>
                <c:pt idx="2">
                  <c:v>37.666315562386487</c:v>
                </c:pt>
                <c:pt idx="3">
                  <c:v>66.867588902721337</c:v>
                </c:pt>
                <c:pt idx="4">
                  <c:v>96.068094909558255</c:v>
                </c:pt>
                <c:pt idx="5">
                  <c:v>125.28009048272229</c:v>
                </c:pt>
                <c:pt idx="6">
                  <c:v>139.69244595198469</c:v>
                </c:pt>
                <c:pt idx="7">
                  <c:v>139.28312640671919</c:v>
                </c:pt>
                <c:pt idx="8">
                  <c:v>138.87145342827895</c:v>
                </c:pt>
                <c:pt idx="9">
                  <c:v>138.45744783406107</c:v>
                </c:pt>
                <c:pt idx="10">
                  <c:v>138.0411305857923</c:v>
                </c:pt>
                <c:pt idx="11">
                  <c:v>137.62252278623305</c:v>
                </c:pt>
                <c:pt idx="12">
                  <c:v>137.20164567586582</c:v>
                </c:pt>
                <c:pt idx="13">
                  <c:v>136.77852062956944</c:v>
                </c:pt>
                <c:pt idx="14">
                  <c:v>136.35316915327957</c:v>
                </c:pt>
                <c:pt idx="15">
                  <c:v>135.92561288063686</c:v>
                </c:pt>
                <c:pt idx="16">
                  <c:v>135.49587356962331</c:v>
                </c:pt>
                <c:pt idx="17">
                  <c:v>135.0639730991881</c:v>
                </c:pt>
                <c:pt idx="18">
                  <c:v>134.62993346586327</c:v>
                </c:pt>
                <c:pt idx="19">
                  <c:v>134.19377678037077</c:v>
                </c:pt>
                <c:pt idx="20">
                  <c:v>133.75552526422126</c:v>
                </c:pt>
                <c:pt idx="21">
                  <c:v>133.315201246306</c:v>
                </c:pt>
                <c:pt idx="22">
                  <c:v>132.8728271594824</c:v>
                </c:pt>
                <c:pt idx="23">
                  <c:v>132.42842553715425</c:v>
                </c:pt>
                <c:pt idx="24">
                  <c:v>131.98201900984756</c:v>
                </c:pt>
                <c:pt idx="25">
                  <c:v>131.53363030178289</c:v>
                </c:pt>
                <c:pt idx="26">
                  <c:v>131.08328222744512</c:v>
                </c:pt>
                <c:pt idx="27">
                  <c:v>130.63099768815133</c:v>
                </c:pt>
                <c:pt idx="28">
                  <c:v>130.17679966861778</c:v>
                </c:pt>
                <c:pt idx="29">
                  <c:v>129.72071123352714</c:v>
                </c:pt>
                <c:pt idx="30">
                  <c:v>129.26275552409638</c:v>
                </c:pt>
                <c:pt idx="31">
                  <c:v>128.80295575464655</c:v>
                </c:pt>
                <c:pt idx="32">
                  <c:v>128.34133520917496</c:v>
                </c:pt>
                <c:pt idx="33">
                  <c:v>127.87791723793096</c:v>
                </c:pt>
                <c:pt idx="34">
                  <c:v>127.41272525399621</c:v>
                </c:pt>
                <c:pt idx="35">
                  <c:v>126.94578272986973</c:v>
                </c:pt>
                <c:pt idx="36">
                  <c:v>126.47711319405913</c:v>
                </c:pt>
                <c:pt idx="37">
                  <c:v>126.00674022767862</c:v>
                </c:pt>
                <c:pt idx="38">
                  <c:v>125.53468746105472</c:v>
                </c:pt>
                <c:pt idx="39">
                  <c:v>125.06097857034017</c:v>
                </c:pt>
                <c:pt idx="40">
                  <c:v>124.58563727413751</c:v>
                </c:pt>
                <c:pt idx="41">
                  <c:v>124.10868733013216</c:v>
                </c:pt>
                <c:pt idx="42">
                  <c:v>123.63015253173667</c:v>
                </c:pt>
                <c:pt idx="43">
                  <c:v>123.15005670474659</c:v>
                </c:pt>
                <c:pt idx="44">
                  <c:v>122.66842370400843</c:v>
                </c:pt>
                <c:pt idx="45">
                  <c:v>122.18527741010102</c:v>
                </c:pt>
                <c:pt idx="46">
                  <c:v>121.70064172603053</c:v>
                </c:pt>
                <c:pt idx="47">
                  <c:v>121.2145405739403</c:v>
                </c:pt>
                <c:pt idx="48">
                  <c:v>120.72699789183577</c:v>
                </c:pt>
                <c:pt idx="49">
                  <c:v>120.23803763032568</c:v>
                </c:pt>
                <c:pt idx="50">
                  <c:v>119.7476837493799</c:v>
                </c:pt>
                <c:pt idx="51">
                  <c:v>119.3347835453788</c:v>
                </c:pt>
                <c:pt idx="52">
                  <c:v>118.99940965174382</c:v>
                </c:pt>
                <c:pt idx="53">
                  <c:v>118.66269962873488</c:v>
                </c:pt>
                <c:pt idx="54">
                  <c:v>118.32466945228339</c:v>
                </c:pt>
                <c:pt idx="55">
                  <c:v>117.98533513893869</c:v>
                </c:pt>
                <c:pt idx="56">
                  <c:v>117.64471274387495</c:v>
                </c:pt>
                <c:pt idx="57">
                  <c:v>117.30281835890088</c:v>
                </c:pt>
                <c:pt idx="58">
                  <c:v>116.95966811047349</c:v>
                </c:pt>
                <c:pt idx="59">
                  <c:v>116.61527815771592</c:v>
                </c:pt>
                <c:pt idx="60">
                  <c:v>116.26966469043978</c:v>
                </c:pt>
                <c:pt idx="61">
                  <c:v>115.92284392717252</c:v>
                </c:pt>
                <c:pt idx="62">
                  <c:v>115.57483211319001</c:v>
                </c:pt>
                <c:pt idx="63">
                  <c:v>115.22564551855513</c:v>
                </c:pt>
                <c:pt idx="64">
                  <c:v>114.87530043616206</c:v>
                </c:pt>
                <c:pt idx="65">
                  <c:v>114.52381317978755</c:v>
                </c:pt>
                <c:pt idx="66">
                  <c:v>114.17120008214874</c:v>
                </c:pt>
                <c:pt idx="67">
                  <c:v>113.81747749296839</c:v>
                </c:pt>
                <c:pt idx="68">
                  <c:v>113.46266177704763</c:v>
                </c:pt>
                <c:pt idx="69">
                  <c:v>113.1067693123469</c:v>
                </c:pt>
                <c:pt idx="70">
                  <c:v>112.749816488075</c:v>
                </c:pt>
                <c:pt idx="71">
                  <c:v>112.39181970278692</c:v>
                </c:pt>
                <c:pt idx="72">
                  <c:v>112.03279536249102</c:v>
                </c:pt>
                <c:pt idx="73">
                  <c:v>111.67275987876505</c:v>
                </c:pt>
                <c:pt idx="74">
                  <c:v>111.3117296668825</c:v>
                </c:pt>
                <c:pt idx="75">
                  <c:v>110.94972114394857</c:v>
                </c:pt>
                <c:pt idx="76">
                  <c:v>110.58675072704682</c:v>
                </c:pt>
                <c:pt idx="77">
                  <c:v>110.22283483139645</c:v>
                </c:pt>
                <c:pt idx="78">
                  <c:v>109.85798986852076</c:v>
                </c:pt>
                <c:pt idx="79">
                  <c:v>109.49223224442659</c:v>
                </c:pt>
                <c:pt idx="80">
                  <c:v>109.12557835779607</c:v>
                </c:pt>
                <c:pt idx="81">
                  <c:v>108.75804459818967</c:v>
                </c:pt>
                <c:pt idx="82">
                  <c:v>108.38964734426206</c:v>
                </c:pt>
                <c:pt idx="83">
                  <c:v>108.02040296199029</c:v>
                </c:pt>
                <c:pt idx="84">
                  <c:v>107.65032780291466</c:v>
                </c:pt>
                <c:pt idx="85">
                  <c:v>107.27943820239321</c:v>
                </c:pt>
                <c:pt idx="86">
                  <c:v>106.90775047786909</c:v>
                </c:pt>
                <c:pt idx="87">
                  <c:v>106.53528092715194</c:v>
                </c:pt>
                <c:pt idx="88">
                  <c:v>106.16204582671305</c:v>
                </c:pt>
                <c:pt idx="89">
                  <c:v>105.78806142999477</c:v>
                </c:pt>
                <c:pt idx="90">
                  <c:v>105.41334396573436</c:v>
                </c:pt>
                <c:pt idx="91">
                  <c:v>105.03790963630254</c:v>
                </c:pt>
                <c:pt idx="92">
                  <c:v>104.66177461605693</c:v>
                </c:pt>
                <c:pt idx="93">
                  <c:v>104.28495504971073</c:v>
                </c:pt>
                <c:pt idx="94">
                  <c:v>103.90746705071659</c:v>
                </c:pt>
                <c:pt idx="95">
                  <c:v>103.52932669966634</c:v>
                </c:pt>
                <c:pt idx="96">
                  <c:v>103.1505500427065</c:v>
                </c:pt>
                <c:pt idx="97">
                  <c:v>102.77115308996949</c:v>
                </c:pt>
                <c:pt idx="98">
                  <c:v>102.39115181402163</c:v>
                </c:pt>
                <c:pt idx="99">
                  <c:v>102.01056214832698</c:v>
                </c:pt>
                <c:pt idx="100">
                  <c:v>101.62939998572836</c:v>
                </c:pt>
                <c:pt idx="101">
                  <c:v>101.21093196348772</c:v>
                </c:pt>
                <c:pt idx="102">
                  <c:v>100.75518346905702</c:v>
                </c:pt>
                <c:pt idx="103">
                  <c:v>100.29897868692788</c:v>
                </c:pt>
                <c:pt idx="104">
                  <c:v>99.842336458302668</c:v>
                </c:pt>
                <c:pt idx="105">
                  <c:v>99.385275545438304</c:v>
                </c:pt>
                <c:pt idx="106">
                  <c:v>98.927814629956302</c:v>
                </c:pt>
                <c:pt idx="107">
                  <c:v>98.469972311179546</c:v>
                </c:pt>
                <c:pt idx="108">
                  <c:v>98.011767104495959</c:v>
                </c:pt>
                <c:pt idx="109">
                  <c:v>97.553217439749147</c:v>
                </c:pt>
                <c:pt idx="110">
                  <c:v>97.094341659656152</c:v>
                </c:pt>
                <c:pt idx="111">
                  <c:v>96.635158018252511</c:v>
                </c:pt>
                <c:pt idx="112">
                  <c:v>96.175684679364522</c:v>
                </c:pt>
                <c:pt idx="113">
                  <c:v>95.715939715108917</c:v>
                </c:pt>
                <c:pt idx="114">
                  <c:v>95.255941104420074</c:v>
                </c:pt>
                <c:pt idx="115">
                  <c:v>94.795706731604724</c:v>
                </c:pt>
                <c:pt idx="116">
                  <c:v>94.335254384924298</c:v>
                </c:pt>
                <c:pt idx="117">
                  <c:v>93.874601755204793</c:v>
                </c:pt>
                <c:pt idx="118">
                  <c:v>93.41376643447434</c:v>
                </c:pt>
                <c:pt idx="119">
                  <c:v>92.952765914628813</c:v>
                </c:pt>
                <c:pt idx="120">
                  <c:v>92.491617586124619</c:v>
                </c:pt>
                <c:pt idx="121">
                  <c:v>92.03033873669969</c:v>
                </c:pt>
                <c:pt idx="122">
                  <c:v>91.568946550122192</c:v>
                </c:pt>
                <c:pt idx="123">
                  <c:v>91.107458104966724</c:v>
                </c:pt>
                <c:pt idx="124">
                  <c:v>90.645890373418453</c:v>
                </c:pt>
                <c:pt idx="125">
                  <c:v>90.184260220105202</c:v>
                </c:pt>
                <c:pt idx="126">
                  <c:v>89.722584400956919</c:v>
                </c:pt>
                <c:pt idx="127">
                  <c:v>89.260879562092924</c:v>
                </c:pt>
                <c:pt idx="128">
                  <c:v>88.799162238736997</c:v>
                </c:pt>
                <c:pt idx="129">
                  <c:v>88.337448854159732</c:v>
                </c:pt>
                <c:pt idx="130">
                  <c:v>87.875755718648861</c:v>
                </c:pt>
                <c:pt idx="131">
                  <c:v>87.414099028506712</c:v>
                </c:pt>
                <c:pt idx="132">
                  <c:v>86.952494865075323</c:v>
                </c:pt>
                <c:pt idx="133">
                  <c:v>86.490959193788782</c:v>
                </c:pt>
                <c:pt idx="134">
                  <c:v>86.029507863252846</c:v>
                </c:pt>
                <c:pt idx="135">
                  <c:v>85.568156604351884</c:v>
                </c:pt>
                <c:pt idx="136">
                  <c:v>85.106921029382789</c:v>
                </c:pt>
                <c:pt idx="137">
                  <c:v>84.645816631215851</c:v>
                </c:pt>
                <c:pt idx="138">
                  <c:v>84.184858782482678</c:v>
                </c:pt>
                <c:pt idx="139">
                  <c:v>83.724062734790721</c:v>
                </c:pt>
                <c:pt idx="140">
                  <c:v>83.263443617964541</c:v>
                </c:pt>
                <c:pt idx="141">
                  <c:v>82.803016439313566</c:v>
                </c:pt>
                <c:pt idx="142">
                  <c:v>82.342796082926441</c:v>
                </c:pt>
                <c:pt idx="143">
                  <c:v>81.882797308991243</c:v>
                </c:pt>
                <c:pt idx="144">
                  <c:v>81.423034753142289</c:v>
                </c:pt>
                <c:pt idx="145">
                  <c:v>80.963522925832464</c:v>
                </c:pt>
                <c:pt idx="146">
                  <c:v>80.50427621173182</c:v>
                </c:pt>
                <c:pt idx="147">
                  <c:v>80.045308869151526</c:v>
                </c:pt>
                <c:pt idx="148">
                  <c:v>79.58663502949338</c:v>
                </c:pt>
                <c:pt idx="149">
                  <c:v>79.128268696724845</c:v>
                </c:pt>
                <c:pt idx="150">
                  <c:v>78.670223746878975</c:v>
                </c:pt>
                <c:pt idx="151">
                  <c:v>78.225148986463296</c:v>
                </c:pt>
                <c:pt idx="152">
                  <c:v>77.793043942382653</c:v>
                </c:pt>
                <c:pt idx="153">
                  <c:v>77.361257368068337</c:v>
                </c:pt>
                <c:pt idx="154">
                  <c:v>76.929801811309787</c:v>
                </c:pt>
                <c:pt idx="155">
                  <c:v>76.498689702729848</c:v>
                </c:pt>
                <c:pt idx="156">
                  <c:v>76.067933355432189</c:v>
                </c:pt>
                <c:pt idx="157">
                  <c:v>75.637544964669502</c:v>
                </c:pt>
                <c:pt idx="158">
                  <c:v>75.2075366075331</c:v>
                </c:pt>
                <c:pt idx="159">
                  <c:v>74.777920242663086</c:v>
                </c:pt>
                <c:pt idx="160">
                  <c:v>74.348707709979408</c:v>
                </c:pt>
                <c:pt idx="161">
                  <c:v>73.919910730433344</c:v>
                </c:pt>
                <c:pt idx="162">
                  <c:v>73.491540905779246</c:v>
                </c:pt>
                <c:pt idx="163">
                  <c:v>73.063609718366379</c:v>
                </c:pt>
                <c:pt idx="164">
                  <c:v>72.636128530950913</c:v>
                </c:pt>
                <c:pt idx="165">
                  <c:v>72.209108586527279</c:v>
                </c:pt>
                <c:pt idx="166">
                  <c:v>71.782561008179428</c:v>
                </c:pt>
                <c:pt idx="167">
                  <c:v>71.356496798951341</c:v>
                </c:pt>
                <c:pt idx="168">
                  <c:v>70.930926841736365</c:v>
                </c:pt>
                <c:pt idx="169">
                  <c:v>70.50586189918603</c:v>
                </c:pt>
                <c:pt idx="170">
                  <c:v>70.081312613637209</c:v>
                </c:pt>
                <c:pt idx="171">
                  <c:v>69.657289507057882</c:v>
                </c:pt>
                <c:pt idx="172">
                  <c:v>69.233802981011252</c:v>
                </c:pt>
                <c:pt idx="173">
                  <c:v>68.810863316638148</c:v>
                </c:pt>
                <c:pt idx="174">
                  <c:v>68.388480674656932</c:v>
                </c:pt>
                <c:pt idx="175">
                  <c:v>67.966665095381387</c:v>
                </c:pt>
                <c:pt idx="176">
                  <c:v>67.545426498756044</c:v>
                </c:pt>
                <c:pt idx="177">
                  <c:v>67.124774684408749</c:v>
                </c:pt>
                <c:pt idx="178">
                  <c:v>66.704719331719872</c:v>
                </c:pt>
                <c:pt idx="179">
                  <c:v>66.285269999909175</c:v>
                </c:pt>
                <c:pt idx="180">
                  <c:v>65.866436128138361</c:v>
                </c:pt>
                <c:pt idx="181">
                  <c:v>65.448227035630552</c:v>
                </c:pt>
                <c:pt idx="182">
                  <c:v>65.0306519218056</c:v>
                </c:pt>
                <c:pt idx="183">
                  <c:v>64.613719866431751</c:v>
                </c:pt>
                <c:pt idx="184">
                  <c:v>64.197439829792302</c:v>
                </c:pt>
                <c:pt idx="185">
                  <c:v>63.781820652868369</c:v>
                </c:pt>
                <c:pt idx="186">
                  <c:v>63.366871057536599</c:v>
                </c:pt>
                <c:pt idx="187">
                  <c:v>62.95259964678187</c:v>
                </c:pt>
                <c:pt idx="188">
                  <c:v>62.539014904924805</c:v>
                </c:pt>
                <c:pt idx="189">
                  <c:v>62.126125197863978</c:v>
                </c:pt>
                <c:pt idx="190">
                  <c:v>61.713938773332231</c:v>
                </c:pt>
                <c:pt idx="191">
                  <c:v>61.302463761167097</c:v>
                </c:pt>
                <c:pt idx="192">
                  <c:v>60.891708173595298</c:v>
                </c:pt>
                <c:pt idx="193">
                  <c:v>60.481679905530783</c:v>
                </c:pt>
                <c:pt idx="194">
                  <c:v>60.072386734885754</c:v>
                </c:pt>
                <c:pt idx="195">
                  <c:v>59.663836322895662</c:v>
                </c:pt>
                <c:pt idx="196">
                  <c:v>59.256036214456522</c:v>
                </c:pt>
                <c:pt idx="197">
                  <c:v>58.848993838475039</c:v>
                </c:pt>
                <c:pt idx="198">
                  <c:v>58.442716508231314</c:v>
                </c:pt>
                <c:pt idx="199">
                  <c:v>58.037211421753916</c:v>
                </c:pt>
                <c:pt idx="200">
                  <c:v>57.63248566220679</c:v>
                </c:pt>
                <c:pt idx="201">
                  <c:v>57.22854619828788</c:v>
                </c:pt>
                <c:pt idx="202">
                  <c:v>56.825399884639516</c:v>
                </c:pt>
                <c:pt idx="203">
                  <c:v>56.423053462270175</c:v>
                </c:pt>
                <c:pt idx="204">
                  <c:v>56.021513558986967</c:v>
                </c:pt>
                <c:pt idx="205">
                  <c:v>55.620786689839569</c:v>
                </c:pt>
                <c:pt idx="206">
                  <c:v>55.220879257574367</c:v>
                </c:pt>
                <c:pt idx="207">
                  <c:v>54.821797553099039</c:v>
                </c:pt>
                <c:pt idx="208">
                  <c:v>54.423547755957763</c:v>
                </c:pt>
                <c:pt idx="209">
                  <c:v>54.02613593481589</c:v>
                </c:pt>
                <c:pt idx="210">
                  <c:v>53.629568047954692</c:v>
                </c:pt>
                <c:pt idx="211">
                  <c:v>53.233849943775574</c:v>
                </c:pt>
                <c:pt idx="212">
                  <c:v>52.838987361313499</c:v>
                </c:pt>
                <c:pt idx="213">
                  <c:v>52.444985930759657</c:v>
                </c:pt>
                <c:pt idx="214">
                  <c:v>52.051851173992951</c:v>
                </c:pt>
                <c:pt idx="215">
                  <c:v>51.659588505120098</c:v>
                </c:pt>
                <c:pt idx="216">
                  <c:v>51.268203231024238</c:v>
                </c:pt>
                <c:pt idx="217">
                  <c:v>50.877700551921713</c:v>
                </c:pt>
                <c:pt idx="218">
                  <c:v>50.488085561926908</c:v>
                </c:pt>
                <c:pt idx="219">
                  <c:v>50.099363249624929</c:v>
                </c:pt>
                <c:pt idx="220">
                  <c:v>49.711538498651628</c:v>
                </c:pt>
                <c:pt idx="221">
                  <c:v>49.324616088281388</c:v>
                </c:pt>
                <c:pt idx="222">
                  <c:v>48.938600694021837</c:v>
                </c:pt>
                <c:pt idx="223">
                  <c:v>48.55349688821552</c:v>
                </c:pt>
                <c:pt idx="224">
                  <c:v>48.169309140648423</c:v>
                </c:pt>
                <c:pt idx="225">
                  <c:v>47.78604181916495</c:v>
                </c:pt>
                <c:pt idx="226">
                  <c:v>47.403699190289537</c:v>
                </c:pt>
                <c:pt idx="227">
                  <c:v>47.022285419853858</c:v>
                </c:pt>
                <c:pt idx="228">
                  <c:v>46.641804573630623</c:v>
                </c:pt>
                <c:pt idx="229">
                  <c:v>46.262260617972622</c:v>
                </c:pt>
                <c:pt idx="230">
                  <c:v>45.88365742045778</c:v>
                </c:pt>
                <c:pt idx="231">
                  <c:v>45.505998750539042</c:v>
                </c:pt>
                <c:pt idx="232">
                  <c:v>45.129288280200164</c:v>
                </c:pt>
                <c:pt idx="233">
                  <c:v>44.753529584615585</c:v>
                </c:pt>
                <c:pt idx="234">
                  <c:v>44.378726142815765</c:v>
                </c:pt>
                <c:pt idx="235">
                  <c:v>44.004881338357251</c:v>
                </c:pt>
                <c:pt idx="236">
                  <c:v>43.631998459996268</c:v>
                </c:pt>
                <c:pt idx="237">
                  <c:v>43.260080702367667</c:v>
                </c:pt>
                <c:pt idx="238">
                  <c:v>42.889131166667205</c:v>
                </c:pt>
                <c:pt idx="239">
                  <c:v>42.519152861337737</c:v>
                </c:pt>
                <c:pt idx="240">
                  <c:v>42.150148702759765</c:v>
                </c:pt>
                <c:pt idx="241">
                  <c:v>41.782121515944532</c:v>
                </c:pt>
                <c:pt idx="242">
                  <c:v>41.415074035231342</c:v>
                </c:pt>
                <c:pt idx="243">
                  <c:v>41.049008904987595</c:v>
                </c:pt>
                <c:pt idx="244">
                  <c:v>40.683928680311936</c:v>
                </c:pt>
                <c:pt idx="245">
                  <c:v>40.319835827740356</c:v>
                </c:pt>
                <c:pt idx="246">
                  <c:v>39.956732725954801</c:v>
                </c:pt>
                <c:pt idx="247">
                  <c:v>39.594621666494561</c:v>
                </c:pt>
                <c:pt idx="248">
                  <c:v>39.233504854469594</c:v>
                </c:pt>
                <c:pt idx="249">
                  <c:v>38.87338440927666</c:v>
                </c:pt>
                <c:pt idx="250">
                  <c:v>38.514262365316945</c:v>
                </c:pt>
                <c:pt idx="251">
                  <c:v>38.100637829567205</c:v>
                </c:pt>
                <c:pt idx="252">
                  <c:v>37.632644500708011</c:v>
                </c:pt>
                <c:pt idx="253">
                  <c:v>37.165974030953649</c:v>
                </c:pt>
                <c:pt idx="254">
                  <c:v>36.700629328212734</c:v>
                </c:pt>
                <c:pt idx="255">
                  <c:v>36.236613166921558</c:v>
                </c:pt>
                <c:pt idx="256">
                  <c:v>35.773928189262534</c:v>
                </c:pt>
                <c:pt idx="257">
                  <c:v>35.312576906385679</c:v>
                </c:pt>
                <c:pt idx="258">
                  <c:v>34.852561699633263</c:v>
                </c:pt>
                <c:pt idx="259">
                  <c:v>34.393884821766441</c:v>
                </c:pt>
                <c:pt idx="260">
                  <c:v>33.936548398194674</c:v>
                </c:pt>
                <c:pt idx="261">
                  <c:v>33.480554428206823</c:v>
                </c:pt>
                <c:pt idx="262">
                  <c:v>33.025904786204073</c:v>
                </c:pt>
                <c:pt idx="263">
                  <c:v>32.572601222933947</c:v>
                </c:pt>
                <c:pt idx="264">
                  <c:v>32.120645366725874</c:v>
                </c:pt>
                <c:pt idx="265">
                  <c:v>31.670038724727469</c:v>
                </c:pt>
                <c:pt idx="266">
                  <c:v>31.220782684141213</c:v>
                </c:pt>
                <c:pt idx="267">
                  <c:v>30.772878513461723</c:v>
                </c:pt>
                <c:pt idx="268">
                  <c:v>30.326327363713105</c:v>
                </c:pt>
                <c:pt idx="269">
                  <c:v>29.881130269686004</c:v>
                </c:pt>
                <c:pt idx="270">
                  <c:v>29.437288151174325</c:v>
                </c:pt>
                <c:pt idx="271">
                  <c:v>28.994801814211318</c:v>
                </c:pt>
                <c:pt idx="272">
                  <c:v>28.553671952304907</c:v>
                </c:pt>
                <c:pt idx="273">
                  <c:v>28.113899147671528</c:v>
                </c:pt>
                <c:pt idx="274">
                  <c:v>27.675483872469179</c:v>
                </c:pt>
                <c:pt idx="275">
                  <c:v>27.238426490028438</c:v>
                </c:pt>
                <c:pt idx="276">
                  <c:v>26.802727256081798</c:v>
                </c:pt>
                <c:pt idx="277">
                  <c:v>26.368386319991444</c:v>
                </c:pt>
                <c:pt idx="278">
                  <c:v>25.935403725974059</c:v>
                </c:pt>
                <c:pt idx="279">
                  <c:v>25.50377941432394</c:v>
                </c:pt>
                <c:pt idx="280">
                  <c:v>25.073513222633029</c:v>
                </c:pt>
                <c:pt idx="281">
                  <c:v>24.644604887008395</c:v>
                </c:pt>
                <c:pt idx="282">
                  <c:v>24.217054043286581</c:v>
                </c:pt>
                <c:pt idx="283">
                  <c:v>23.790860228244966</c:v>
                </c:pt>
                <c:pt idx="284">
                  <c:v>23.36602288080935</c:v>
                </c:pt>
                <c:pt idx="285">
                  <c:v>22.942541343258515</c:v>
                </c:pt>
                <c:pt idx="286">
                  <c:v>22.520414862424531</c:v>
                </c:pt>
                <c:pt idx="287">
                  <c:v>22.099642590889637</c:v>
                </c:pt>
                <c:pt idx="288">
                  <c:v>21.680223588178613</c:v>
                </c:pt>
                <c:pt idx="289">
                  <c:v>21.2621568219474</c:v>
                </c:pt>
                <c:pt idx="290">
                  <c:v>20.845441169166879</c:v>
                </c:pt>
                <c:pt idx="291">
                  <c:v>20.430075417302209</c:v>
                </c:pt>
                <c:pt idx="292">
                  <c:v>20.016058265487878</c:v>
                </c:pt>
                <c:pt idx="293">
                  <c:v>19.603388325697189</c:v>
                </c:pt>
                <c:pt idx="294">
                  <c:v>19.192064123907393</c:v>
                </c:pt>
                <c:pt idx="295">
                  <c:v>18.78208410125935</c:v>
                </c:pt>
                <c:pt idx="296">
                  <c:v>18.373446615212018</c:v>
                </c:pt>
                <c:pt idx="297">
                  <c:v>17.966149940691402</c:v>
                </c:pt>
                <c:pt idx="298">
                  <c:v>16.946758635897204</c:v>
                </c:pt>
                <c:pt idx="299">
                  <c:v>15.3170498608796</c:v>
                </c:pt>
                <c:pt idx="300">
                  <c:v>13.692740849968619</c:v>
                </c:pt>
                <c:pt idx="301">
                  <c:v>12.073851851714327</c:v>
                </c:pt>
                <c:pt idx="302">
                  <c:v>10.46040172551578</c:v>
                </c:pt>
                <c:pt idx="303">
                  <c:v>8.852407958055533</c:v>
                </c:pt>
                <c:pt idx="304">
                  <c:v>7.2498866798486068</c:v>
                </c:pt>
                <c:pt idx="305">
                  <c:v>5.6528526818967828</c:v>
                </c:pt>
                <c:pt idx="306">
                  <c:v>4.0613194324369131</c:v>
                </c:pt>
                <c:pt idx="307">
                  <c:v>2.4752990937739296</c:v>
                </c:pt>
                <c:pt idx="308">
                  <c:v>0.89480253918875829</c:v>
                </c:pt>
                <c:pt idx="309">
                  <c:v>-0.68016063008923466</c:v>
                </c:pt>
                <c:pt idx="310">
                  <c:v>-2.249582067853503</c:v>
                </c:pt>
                <c:pt idx="311">
                  <c:v>-3.8134546658457569</c:v>
                </c:pt>
                <c:pt idx="312">
                  <c:v>-5.3717725366432703</c:v>
                </c:pt>
                <c:pt idx="313">
                  <c:v>-6.924530996518488</c:v>
                </c:pt>
                <c:pt idx="314">
                  <c:v>-8.471726548277978</c:v>
                </c:pt>
                <c:pt idx="315">
                  <c:v>-10.013356864090015</c:v>
                </c:pt>
                <c:pt idx="316">
                  <c:v>-11.549420768309435</c:v>
                </c:pt>
                <c:pt idx="317">
                  <c:v>-13.079918220306105</c:v>
                </c:pt>
                <c:pt idx="318">
                  <c:v>-14.604850297307065</c:v>
                </c:pt>
                <c:pt idx="319">
                  <c:v>-16.124219177258297</c:v>
                </c:pt>
                <c:pt idx="320">
                  <c:v>-17.638028121714086</c:v>
                </c:pt>
                <c:pt idx="321">
                  <c:v>-18.901778329683921</c:v>
                </c:pt>
                <c:pt idx="322">
                  <c:v>-19.9163595046317</c:v>
                </c:pt>
                <c:pt idx="323">
                  <c:v>-20.927271932288363</c:v>
                </c:pt>
                <c:pt idx="324">
                  <c:v>-21.934527362274753</c:v>
                </c:pt>
                <c:pt idx="325">
                  <c:v>-22.93813794139718</c:v>
                </c:pt>
                <c:pt idx="326">
                  <c:v>-23.938116206216581</c:v>
                </c:pt>
                <c:pt idx="327">
                  <c:v>-24.934475075680226</c:v>
                </c:pt>
                <c:pt idx="328">
                  <c:v>-25.927227843817832</c:v>
                </c:pt>
                <c:pt idx="329">
                  <c:v>-26.91638817250265</c:v>
                </c:pt>
                <c:pt idx="330">
                  <c:v>-27.901970084279242</c:v>
                </c:pt>
                <c:pt idx="331">
                  <c:v>-28.883987955258274</c:v>
                </c:pt>
                <c:pt idx="332">
                  <c:v>-29.862456508079863</c:v>
                </c:pt>
                <c:pt idx="333">
                  <c:v>-30.837390804946537</c:v>
                </c:pt>
                <c:pt idx="334">
                  <c:v>-31.808806240725843</c:v>
                </c:pt>
                <c:pt idx="335">
                  <c:v>-32.776718536124598</c:v>
                </c:pt>
                <c:pt idx="336">
                  <c:v>-33.741143730934731</c:v>
                </c:pt>
                <c:pt idx="337">
                  <c:v>-34.702098177351793</c:v>
                </c:pt>
                <c:pt idx="338">
                  <c:v>-35.659598533366768</c:v>
                </c:pt>
                <c:pt idx="339">
                  <c:v>-36.613661756232155</c:v>
                </c:pt>
                <c:pt idx="340">
                  <c:v>-37.564305096002336</c:v>
                </c:pt>
                <c:pt idx="341">
                  <c:v>-38.511546089149363</c:v>
                </c:pt>
                <c:pt idx="342">
                  <c:v>-39.455402552254313</c:v>
                </c:pt>
                <c:pt idx="343">
                  <c:v>-40.395892575775093</c:v>
                </c:pt>
                <c:pt idx="344">
                  <c:v>-41.333034517890752</c:v>
                </c:pt>
                <c:pt idx="345">
                  <c:v>-42.26684699842302</c:v>
                </c:pt>
                <c:pt idx="346">
                  <c:v>-43.197348892835059</c:v>
                </c:pt>
                <c:pt idx="347">
                  <c:v>-44.1245593263085</c:v>
                </c:pt>
                <c:pt idx="348">
                  <c:v>-45.022099053922219</c:v>
                </c:pt>
                <c:pt idx="349">
                  <c:v>-45.890093974061664</c:v>
                </c:pt>
                <c:pt idx="350">
                  <c:v>-46.755071524765022</c:v>
                </c:pt>
                <c:pt idx="351">
                  <c:v>-47.617051119136008</c:v>
                </c:pt>
                <c:pt idx="352">
                  <c:v>-48.476052354168814</c:v>
                </c:pt>
                <c:pt idx="353">
                  <c:v>-49.332095006038358</c:v>
                </c:pt>
                <c:pt idx="354">
                  <c:v>-50.185199025461188</c:v>
                </c:pt>
                <c:pt idx="355">
                  <c:v>-51.03538453312769</c:v>
                </c:pt>
                <c:pt idx="356">
                  <c:v>-51.882671815205704</c:v>
                </c:pt>
                <c:pt idx="357">
                  <c:v>-52.72708131891472</c:v>
                </c:pt>
                <c:pt idx="358">
                  <c:v>-53.568633648171172</c:v>
                </c:pt>
                <c:pt idx="359">
                  <c:v>-54.407349559304642</c:v>
                </c:pt>
                <c:pt idx="360">
                  <c:v>-54.694185879604461</c:v>
                </c:pt>
                <c:pt idx="361">
                  <c:v>-54.431436282053333</c:v>
                </c:pt>
                <c:pt idx="362">
                  <c:v>-54.170432489341628</c:v>
                </c:pt>
                <c:pt idx="363">
                  <c:v>-53.91115897101546</c:v>
                </c:pt>
                <c:pt idx="364">
                  <c:v>-53.653600369994869</c:v>
                </c:pt>
                <c:pt idx="365">
                  <c:v>-53.39774150024823</c:v>
                </c:pt>
                <c:pt idx="366">
                  <c:v>-53.143567344502749</c:v>
                </c:pt>
                <c:pt idx="367">
                  <c:v>-52.891063051990962</c:v>
                </c:pt>
                <c:pt idx="368">
                  <c:v>-52.640213936232229</c:v>
                </c:pt>
                <c:pt idx="369">
                  <c:v>-52.391005472848875</c:v>
                </c:pt>
                <c:pt idx="370">
                  <c:v>-52.143423297415893</c:v>
                </c:pt>
                <c:pt idx="371">
                  <c:v>-51.897453203344405</c:v>
                </c:pt>
                <c:pt idx="372">
                  <c:v>-51.653081139797408</c:v>
                </c:pt>
                <c:pt idx="373">
                  <c:v>-51.410293209637778</c:v>
                </c:pt>
                <c:pt idx="374">
                  <c:v>-51.169075667407938</c:v>
                </c:pt>
                <c:pt idx="375">
                  <c:v>-50.929414917340331</c:v>
                </c:pt>
                <c:pt idx="376">
                  <c:v>-50.691297511398616</c:v>
                </c:pt>
                <c:pt idx="377">
                  <c:v>-50.454710147348372</c:v>
                </c:pt>
                <c:pt idx="378">
                  <c:v>-50.219639666857702</c:v>
                </c:pt>
                <c:pt idx="379">
                  <c:v>-49.986073053626214</c:v>
                </c:pt>
                <c:pt idx="380">
                  <c:v>-49.753997431542963</c:v>
                </c:pt>
                <c:pt idx="381">
                  <c:v>-49.523400062871666</c:v>
                </c:pt>
                <c:pt idx="382">
                  <c:v>-49.294268346463802</c:v>
                </c:pt>
                <c:pt idx="383">
                  <c:v>-49.066589815998462</c:v>
                </c:pt>
                <c:pt idx="384">
                  <c:v>-48.840352138248733</c:v>
                </c:pt>
                <c:pt idx="385">
                  <c:v>-48.615543111373881</c:v>
                </c:pt>
                <c:pt idx="386">
                  <c:v>-48.392150663237572</c:v>
                </c:pt>
                <c:pt idx="387">
                  <c:v>-48.170162849750696</c:v>
                </c:pt>
                <c:pt idx="388">
                  <c:v>-47.949567853239301</c:v>
                </c:pt>
                <c:pt idx="389">
                  <c:v>-47.730353980836647</c:v>
                </c:pt>
                <c:pt idx="390">
                  <c:v>-47.51250966289907</c:v>
                </c:pt>
                <c:pt idx="391">
                  <c:v>-47.296023451445429</c:v>
                </c:pt>
                <c:pt idx="392">
                  <c:v>-47.080884018619649</c:v>
                </c:pt>
                <c:pt idx="393">
                  <c:v>-46.867080155175749</c:v>
                </c:pt>
                <c:pt idx="394">
                  <c:v>-46.654600768985475</c:v>
                </c:pt>
                <c:pt idx="395">
                  <c:v>-46.44343488356747</c:v>
                </c:pt>
                <c:pt idx="396">
                  <c:v>-46.233571636638437</c:v>
                </c:pt>
                <c:pt idx="397">
                  <c:v>-46.025000278685049</c:v>
                </c:pt>
                <c:pt idx="398">
                  <c:v>-45.81771017155716</c:v>
                </c:pt>
                <c:pt idx="399">
                  <c:v>-45.611690787081066</c:v>
                </c:pt>
                <c:pt idx="400">
                  <c:v>-45.406931705693133</c:v>
                </c:pt>
                <c:pt idx="401">
                  <c:v>-45.203422615093494</c:v>
                </c:pt>
                <c:pt idx="402">
                  <c:v>-43.204410201245572</c:v>
                </c:pt>
                <c:pt idx="403">
                  <c:v>-41.323991632642482</c:v>
                </c:pt>
                <c:pt idx="404">
                  <c:v>-39.55289198840326</c:v>
                </c:pt>
                <c:pt idx="405">
                  <c:v>-37.882733709552021</c:v>
                </c:pt>
                <c:pt idx="406">
                  <c:v>-36.305933818052324</c:v>
                </c:pt>
                <c:pt idx="407">
                  <c:v>-34.815614671203143</c:v>
                </c:pt>
                <c:pt idx="408">
                  <c:v>-33.405526245087472</c:v>
                </c:pt>
                <c:pt idx="409">
                  <c:v>-32.069978270151623</c:v>
                </c:pt>
                <c:pt idx="410">
                  <c:v>-30.803780812235004</c:v>
                </c:pt>
                <c:pt idx="411">
                  <c:v>-29.602192114964801</c:v>
                </c:pt>
                <c:pt idx="412">
                  <c:v>-28.460872703475108</c:v>
                </c:pt>
                <c:pt idx="413">
                  <c:v>-27.375844902140209</c:v>
                </c:pt>
                <c:pt idx="414">
                  <c:v>-26.343457046199347</c:v>
                </c:pt>
                <c:pt idx="415">
                  <c:v>-25.360351773426043</c:v>
                </c:pt>
                <c:pt idx="416">
                  <c:v>-24.423437871088193</c:v>
                </c:pt>
                <c:pt idx="417">
                  <c:v>-23.529865228366269</c:v>
                </c:pt>
                <c:pt idx="418">
                  <c:v>-22.677002507594246</c:v>
                </c:pt>
                <c:pt idx="419">
                  <c:v>-21.862417201149299</c:v>
                </c:pt>
                <c:pt idx="420">
                  <c:v>-21.083857786172171</c:v>
                </c:pt>
                <c:pt idx="421">
                  <c:v>-20.339237727882239</c:v>
                </c:pt>
                <c:pt idx="422">
                  <c:v>-19.626621115159818</c:v>
                </c:pt>
                <c:pt idx="423">
                  <c:v>-18.944209740208148</c:v>
                </c:pt>
                <c:pt idx="424">
                  <c:v>-18.290331458230224</c:v>
                </c:pt>
                <c:pt idx="425">
                  <c:v>-17.663429683783129</c:v>
                </c:pt>
                <c:pt idx="426">
                  <c:v>-17.06205389832548</c:v>
                </c:pt>
                <c:pt idx="427">
                  <c:v>-16.484851058883951</c:v>
                </c:pt>
                <c:pt idx="428">
                  <c:v>-15.930557811096753</c:v>
                </c:pt>
                <c:pt idx="429">
                  <c:v>-15.397993421450055</c:v>
                </c:pt>
                <c:pt idx="430">
                  <c:v>-14.886053353563653</c:v>
                </c:pt>
                <c:pt idx="431">
                  <c:v>-14.393703422122691</c:v>
                </c:pt>
                <c:pt idx="432">
                  <c:v>-13.919974465674445</c:v>
                </c:pt>
                <c:pt idx="433">
                  <c:v>-13.463957486170493</c:v>
                </c:pt>
                <c:pt idx="434">
                  <c:v>-13.024799208964984</c:v>
                </c:pt>
                <c:pt idx="435">
                  <c:v>-12.601698022093812</c:v>
                </c:pt>
                <c:pt idx="436">
                  <c:v>-12.193900258151254</c:v>
                </c:pt>
                <c:pt idx="437">
                  <c:v>-11.800696786034417</c:v>
                </c:pt>
                <c:pt idx="438">
                  <c:v>-11.421419883309872</c:v>
                </c:pt>
                <c:pt idx="439">
                  <c:v>-11.055440363033542</c:v>
                </c:pt>
                <c:pt idx="440">
                  <c:v>-10.702164931574998</c:v>
                </c:pt>
                <c:pt idx="441">
                  <c:v>-10.361033756406597</c:v>
                </c:pt>
                <c:pt idx="442">
                  <c:v>-10.031518224954199</c:v>
                </c:pt>
                <c:pt idx="443">
                  <c:v>-9.713118877504467</c:v>
                </c:pt>
                <c:pt idx="444">
                  <c:v>-9.40536349885131</c:v>
                </c:pt>
                <c:pt idx="445">
                  <c:v>-9.1078053548680273</c:v>
                </c:pt>
                <c:pt idx="446">
                  <c:v>-8.8200215615322719</c:v>
                </c:pt>
                <c:pt idx="447">
                  <c:v>-8.5416115751290214</c:v>
                </c:pt>
                <c:pt idx="448">
                  <c:v>-8.2721957934274251</c:v>
                </c:pt>
                <c:pt idx="449">
                  <c:v>-8.0114142585864521</c:v>
                </c:pt>
                <c:pt idx="450">
                  <c:v>-7.758925453403994</c:v>
                </c:pt>
                <c:pt idx="451">
                  <c:v>-7.5144051832953851</c:v>
                </c:pt>
                <c:pt idx="452">
                  <c:v>-7.2775455370810489</c:v>
                </c:pt>
                <c:pt idx="453">
                  <c:v>-7.0480539202864234</c:v>
                </c:pt>
                <c:pt idx="454">
                  <c:v>-6.8256521552192719</c:v>
                </c:pt>
                <c:pt idx="455">
                  <c:v>-6.6100756425961746</c:v>
                </c:pt>
                <c:pt idx="456">
                  <c:v>-6.4010725799469395</c:v>
                </c:pt>
                <c:pt idx="457">
                  <c:v>-6.1984032324392047</c:v>
                </c:pt>
                <c:pt idx="458">
                  <c:v>-6.0018392521389252</c:v>
                </c:pt>
                <c:pt idx="459">
                  <c:v>-5.8111630420610458</c:v>
                </c:pt>
                <c:pt idx="460">
                  <c:v>-5.626167161671189</c:v>
                </c:pt>
                <c:pt idx="461">
                  <c:v>-5.4466537707776128</c:v>
                </c:pt>
                <c:pt idx="462">
                  <c:v>-5.2724341090051992</c:v>
                </c:pt>
                <c:pt idx="463">
                  <c:v>-5.1033280082730617</c:v>
                </c:pt>
                <c:pt idx="464">
                  <c:v>-4.9391634359062353</c:v>
                </c:pt>
                <c:pt idx="465">
                  <c:v>-4.7797760662022091</c:v>
                </c:pt>
                <c:pt idx="466">
                  <c:v>-4.6250088784465149</c:v>
                </c:pt>
                <c:pt idx="467">
                  <c:v>-4.474711779529744</c:v>
                </c:pt>
                <c:pt idx="468">
                  <c:v>-4.3287412494628432</c:v>
                </c:pt>
                <c:pt idx="469">
                  <c:v>-4.1869600082194882</c:v>
                </c:pt>
                <c:pt idx="470">
                  <c:v>-4.0492367024550333</c:v>
                </c:pt>
                <c:pt idx="471">
                  <c:v>-3.9154456107620192</c:v>
                </c:pt>
                <c:pt idx="472">
                  <c:v>-3.7854663662233192</c:v>
                </c:pt>
                <c:pt idx="473">
                  <c:v>-3.6591836951169046</c:v>
                </c:pt>
                <c:pt idx="474">
                  <c:v>-3.5364871707110743</c:v>
                </c:pt>
                <c:pt idx="475">
                  <c:v>-3.4172709811672854</c:v>
                </c:pt>
                <c:pt idx="476">
                  <c:v>-3.3014337106393801</c:v>
                </c:pt>
                <c:pt idx="477">
                  <c:v>-3.1888781327239628</c:v>
                </c:pt>
                <c:pt idx="478">
                  <c:v>-3.0795110154774155</c:v>
                </c:pt>
                <c:pt idx="479">
                  <c:v>-2.9732429372708564</c:v>
                </c:pt>
                <c:pt idx="480">
                  <c:v>-2.8699881128058533</c:v>
                </c:pt>
                <c:pt idx="481">
                  <c:v>-2.7696642286610871</c:v>
                </c:pt>
                <c:pt idx="482">
                  <c:v>-2.6721922877839659</c:v>
                </c:pt>
                <c:pt idx="483">
                  <c:v>-2.5774964623815357</c:v>
                </c:pt>
                <c:pt idx="484">
                  <c:v>-2.4855039547023319</c:v>
                </c:pt>
                <c:pt idx="485">
                  <c:v>-2.396144865235259</c:v>
                </c:pt>
                <c:pt idx="486">
                  <c:v>-2.3093520678834349</c:v>
                </c:pt>
                <c:pt idx="487">
                  <c:v>-2.2250610917003697</c:v>
                </c:pt>
                <c:pt idx="488">
                  <c:v>-2.1432100088031198</c:v>
                </c:pt>
                <c:pt idx="489">
                  <c:v>-2.0637393281022476</c:v>
                </c:pt>
                <c:pt idx="490">
                  <c:v>-1.9865918945117658</c:v>
                </c:pt>
                <c:pt idx="491">
                  <c:v>-1.911712793323896</c:v>
                </c:pt>
                <c:pt idx="492">
                  <c:v>-1.8390492594534407</c:v>
                </c:pt>
                <c:pt idx="493">
                  <c:v>-1.7685505912751671</c:v>
                </c:pt>
                <c:pt idx="494">
                  <c:v>-1.7001680687947469</c:v>
                </c:pt>
                <c:pt idx="495">
                  <c:v>-1.6338548759097058</c:v>
                </c:pt>
                <c:pt idx="496">
                  <c:v>-1.5695660265315869</c:v>
                </c:pt>
                <c:pt idx="497">
                  <c:v>-1.5072582943541026</c:v>
                </c:pt>
                <c:pt idx="498">
                  <c:v>-1.4468901460646948</c:v>
                </c:pt>
                <c:pt idx="499">
                  <c:v>-1.388421677808505</c:v>
                </c:pt>
                <c:pt idx="500">
                  <c:v>-1.3318145547244742</c:v>
                </c:pt>
                <c:pt idx="501">
                  <c:v>-1.2770319533831589</c:v>
                </c:pt>
                <c:pt idx="502">
                  <c:v>-1.2240385069648581</c:v>
                </c:pt>
                <c:pt idx="503">
                  <c:v>-1.1728002530249131</c:v>
                </c:pt>
                <c:pt idx="504">
                  <c:v>-1.1232845837005567</c:v>
                </c:pt>
                <c:pt idx="505">
                  <c:v>-1.0754601982204388</c:v>
                </c:pt>
                <c:pt idx="506">
                  <c:v>-1.0292970575840903</c:v>
                </c:pt>
                <c:pt idx="507">
                  <c:v>-0.98476634128393914</c:v>
                </c:pt>
                <c:pt idx="508">
                  <c:v>-0.94184040594724117</c:v>
                </c:pt>
                <c:pt idx="509">
                  <c:v>-0.9004927457793428</c:v>
                </c:pt>
                <c:pt idx="510">
                  <c:v>-0.86069795469307964</c:v>
                </c:pt>
                <c:pt idx="511">
                  <c:v>-0.82243169001182692</c:v>
                </c:pt>
                <c:pt idx="512">
                  <c:v>-0.78567063763578449</c:v>
                </c:pt>
                <c:pt idx="513">
                  <c:v>-0.75039247856242774</c:v>
                </c:pt>
                <c:pt idx="514">
                  <c:v>-0.71657585665275425</c:v>
                </c:pt>
                <c:pt idx="515">
                  <c:v>-0.68420034753494852</c:v>
                </c:pt>
                <c:pt idx="516">
                  <c:v>-0.65324642853639225</c:v>
                </c:pt>
                <c:pt idx="517">
                  <c:v>-0.62369544953359346</c:v>
                </c:pt>
                <c:pt idx="518">
                  <c:v>-0.59552960460759474</c:v>
                </c:pt>
                <c:pt idx="519">
                  <c:v>-0.56873190438979937</c:v>
                </c:pt>
                <c:pt idx="520">
                  <c:v>-0.54328614898003991</c:v>
                </c:pt>
                <c:pt idx="521">
                  <c:v>-0.51917690131514405</c:v>
                </c:pt>
                <c:pt idx="522">
                  <c:v>-0.49638946086247765</c:v>
                </c:pt>
                <c:pt idx="523">
                  <c:v>-0.47490983750912413</c:v>
                </c:pt>
                <c:pt idx="524">
                  <c:v>-0.45472472551381998</c:v>
                </c:pt>
                <c:pt idx="525">
                  <c:v>-0.43582147738589233</c:v>
                </c:pt>
                <c:pt idx="526">
                  <c:v>-0.41818807755370585</c:v>
                </c:pt>
                <c:pt idx="527">
                  <c:v>-0.40181311568509215</c:v>
                </c:pt>
                <c:pt idx="528">
                  <c:v>-0.38668575952460521</c:v>
                </c:pt>
                <c:pt idx="529">
                  <c:v>-0.37279572711791398</c:v>
                </c:pt>
                <c:pt idx="530">
                  <c:v>-0.36013325830303672</c:v>
                </c:pt>
                <c:pt idx="531">
                  <c:v>-0.34868908536218968</c:v>
                </c:pt>
                <c:pt idx="532">
                  <c:v>-0.33845440274740829</c:v>
                </c:pt>
                <c:pt idx="533">
                  <c:v>-0.32942083581833786</c:v>
                </c:pt>
                <c:pt idx="534">
                  <c:v>-0.32158040856175468</c:v>
                </c:pt>
                <c:pt idx="535">
                  <c:v>-0.314925510299291</c:v>
                </c:pt>
                <c:pt idx="536">
                  <c:v>-0.30944886143158801</c:v>
                </c:pt>
                <c:pt idx="537">
                  <c:v>-0.30514347831237149</c:v>
                </c:pt>
                <c:pt idx="538">
                  <c:v>-0.30200263739266425</c:v>
                </c:pt>
                <c:pt idx="539">
                  <c:v>-0.3000198388210456</c:v>
                </c:pt>
                <c:pt idx="540">
                  <c:v>-0.29918876972770397</c:v>
                </c:pt>
                <c:pt idx="541">
                  <c:v>-0.29950326745510453</c:v>
                </c:pt>
                <c:pt idx="542">
                  <c:v>-0.30095728302382718</c:v>
                </c:pt>
                <c:pt idx="543">
                  <c:v>-0.30354484513647323</c:v>
                </c:pt>
                <c:pt idx="544">
                  <c:v>-0.3072600250243453</c:v>
                </c:pt>
                <c:pt idx="545">
                  <c:v>-0.31209690243075994</c:v>
                </c:pt>
                <c:pt idx="546">
                  <c:v>-0.31804953300224392</c:v>
                </c:pt>
                <c:pt idx="547">
                  <c:v>-0.32511191732636258</c:v>
                </c:pt>
                <c:pt idx="548">
                  <c:v>-0.33327797181502783</c:v>
                </c:pt>
                <c:pt idx="549">
                  <c:v>-0.34254150158772634</c:v>
                </c:pt>
                <c:pt idx="550">
                  <c:v>-0.35289617546308377</c:v>
                </c:pt>
                <c:pt idx="551">
                  <c:v>-0.3643355031221992</c:v>
                </c:pt>
                <c:pt idx="552">
                  <c:v>-0.37685281446540581</c:v>
                </c:pt>
                <c:pt idx="553">
                  <c:v>-0.39044124114711465</c:v>
                </c:pt>
                <c:pt idx="554">
                  <c:v>-0.40509370024215791</c:v>
                </c:pt>
                <c:pt idx="555">
                  <c:v>-0.42080287997194371</c:v>
                </c:pt>
                <c:pt idx="556">
                  <c:v>-0.43756122739971248</c:v>
                </c:pt>
                <c:pt idx="557">
                  <c:v>-0.4553609379908094</c:v>
                </c:pt>
                <c:pt idx="558">
                  <c:v>-0.47419394692551392</c:v>
                </c:pt>
                <c:pt idx="559">
                  <c:v>-0.49405192204783127</c:v>
                </c:pt>
                <c:pt idx="560">
                  <c:v>-0.51492625833294692</c:v>
                </c:pt>
                <c:pt idx="561">
                  <c:v>-0.53680807375799577</c:v>
                </c:pt>
                <c:pt idx="562">
                  <c:v>-0.55968820646473316</c:v>
                </c:pt>
                <c:pt idx="563">
                  <c:v>-0.58355721310797704</c:v>
                </c:pt>
                <c:pt idx="564">
                  <c:v>-0.60840536828985126</c:v>
                </c:pt>
                <c:pt idx="565">
                  <c:v>-0.63422266498648505</c:v>
                </c:pt>
                <c:pt idx="566">
                  <c:v>-0.66099881588059017</c:v>
                </c:pt>
                <c:pt idx="567">
                  <c:v>-0.68872325552006619</c:v>
                </c:pt>
                <c:pt idx="568">
                  <c:v>-0.71738514322924329</c:v>
                </c:pt>
                <c:pt idx="569">
                  <c:v>-0.7469733667055084</c:v>
                </c:pt>
                <c:pt idx="570">
                  <c:v>-0.77747654623979723</c:v>
                </c:pt>
                <c:pt idx="571">
                  <c:v>-0.80888303950470242</c:v>
                </c:pt>
                <c:pt idx="572">
                  <c:v>-0.84118094685879996</c:v>
                </c:pt>
                <c:pt idx="573">
                  <c:v>-0.87435811712016254</c:v>
                </c:pt>
                <c:pt idx="574">
                  <c:v>-0.90840215376601785</c:v>
                </c:pt>
                <c:pt idx="575">
                  <c:v>-0.94330042151904292</c:v>
                </c:pt>
                <c:pt idx="576">
                  <c:v>-0.97904005328399479</c:v>
                </c:pt>
                <c:pt idx="577">
                  <c:v>-1.0156079574012293</c:v>
                </c:pt>
                <c:pt idx="578">
                  <c:v>-1.0529908251861864</c:v>
                </c:pt>
                <c:pt idx="579">
                  <c:v>-1.0911751387262176</c:v>
                </c:pt>
                <c:pt idx="580">
                  <c:v>-1.1301471789081237</c:v>
                </c:pt>
                <c:pt idx="581">
                  <c:v>-1.1698930336515989</c:v>
                </c:pt>
                <c:pt idx="582">
                  <c:v>-1.210398606325386</c:v>
                </c:pt>
                <c:pt idx="583">
                  <c:v>-1.2516496243243695</c:v>
                </c:pt>
                <c:pt idx="584">
                  <c:v>-1.2936316477871639</c:v>
                </c:pt>
                <c:pt idx="585">
                  <c:v>-1.3363300784348839</c:v>
                </c:pt>
                <c:pt idx="586">
                  <c:v>-1.3797301685128589</c:v>
                </c:pt>
                <c:pt idx="587">
                  <c:v>-1.4238170298180044</c:v>
                </c:pt>
                <c:pt idx="588">
                  <c:v>-1.468575642795414</c:v>
                </c:pt>
                <c:pt idx="589">
                  <c:v>-1.5139908656885626</c:v>
                </c:pt>
                <c:pt idx="590">
                  <c:v>-1.5600474437282126</c:v>
                </c:pt>
                <c:pt idx="591">
                  <c:v>-1.6067300183458224</c:v>
                </c:pt>
                <c:pt idx="592">
                  <c:v>-1.6540231363978517</c:v>
                </c:pt>
                <c:pt idx="593">
                  <c:v>-1.7019112593879859</c:v>
                </c:pt>
                <c:pt idx="594">
                  <c:v>-1.7503787726748348</c:v>
                </c:pt>
                <c:pt idx="595">
                  <c:v>-1.7994099946531903</c:v>
                </c:pt>
                <c:pt idx="596">
                  <c:v>-1.8489891858974314</c:v>
                </c:pt>
                <c:pt idx="597">
                  <c:v>-1.8991005582561562</c:v>
                </c:pt>
                <c:pt idx="598">
                  <c:v>-1.9497282838875414</c:v>
                </c:pt>
                <c:pt idx="599">
                  <c:v>-2.0008565042254416</c:v>
                </c:pt>
                <c:pt idx="600">
                  <c:v>-2.0524693388665955</c:v>
                </c:pt>
                <c:pt idx="601">
                  <c:v>-2.1045508943697966</c:v>
                </c:pt>
                <c:pt idx="602">
                  <c:v>-2.1570852729582279</c:v>
                </c:pt>
                <c:pt idx="603">
                  <c:v>-2.2100565811166359</c:v>
                </c:pt>
                <c:pt idx="604">
                  <c:v>-2.2634489380753346</c:v>
                </c:pt>
                <c:pt idx="605">
                  <c:v>-2.3172464841734741</c:v>
                </c:pt>
                <c:pt idx="606">
                  <c:v>-2.3714333890943733</c:v>
                </c:pt>
                <c:pt idx="607">
                  <c:v>-2.4259938599660593</c:v>
                </c:pt>
                <c:pt idx="608">
                  <c:v>-2.4809121493205941</c:v>
                </c:pt>
                <c:pt idx="609">
                  <c:v>-2.536172562906045</c:v>
                </c:pt>
                <c:pt idx="610">
                  <c:v>-2.5917594673453972</c:v>
                </c:pt>
                <c:pt idx="611">
                  <c:v>-2.647657297637021</c:v>
                </c:pt>
                <c:pt idx="612">
                  <c:v>-2.7038505644916357</c:v>
                </c:pt>
                <c:pt idx="613">
                  <c:v>-2.7603238615011358</c:v>
                </c:pt>
                <c:pt idx="614">
                  <c:v>-2.817061872134893</c:v>
                </c:pt>
                <c:pt idx="615">
                  <c:v>-2.8740493765595438</c:v>
                </c:pt>
                <c:pt idx="616">
                  <c:v>-2.9312712582786138</c:v>
                </c:pt>
                <c:pt idx="617">
                  <c:v>-2.9887125105885812</c:v>
                </c:pt>
                <c:pt idx="618">
                  <c:v>-3.0463582428484255</c:v>
                </c:pt>
                <c:pt idx="619">
                  <c:v>-3.1041936865598894</c:v>
                </c:pt>
                <c:pt idx="620">
                  <c:v>-3.1622042012561122</c:v>
                </c:pt>
                <c:pt idx="621">
                  <c:v>-3.2203752801965111</c:v>
                </c:pt>
                <c:pt idx="622">
                  <c:v>-3.2786925558661393</c:v>
                </c:pt>
                <c:pt idx="623">
                  <c:v>-3.3371418052780362</c:v>
                </c:pt>
                <c:pt idx="624">
                  <c:v>-3.395708955077323</c:v>
                </c:pt>
                <c:pt idx="625">
                  <c:v>-3.4543800864461671</c:v>
                </c:pt>
                <c:pt idx="626">
                  <c:v>-3.5131414398089191</c:v>
                </c:pt>
                <c:pt idx="627">
                  <c:v>-3.5719794193370595</c:v>
                </c:pt>
                <c:pt idx="628">
                  <c:v>-3.6308805972538334</c:v>
                </c:pt>
                <c:pt idx="629">
                  <c:v>-3.6898317179386435</c:v>
                </c:pt>
                <c:pt idx="630">
                  <c:v>-3.7488197018316693</c:v>
                </c:pt>
                <c:pt idx="631">
                  <c:v>-3.8078316491392012</c:v>
                </c:pt>
                <c:pt idx="632">
                  <c:v>-3.8668548433406293</c:v>
                </c:pt>
                <c:pt idx="633">
                  <c:v>-3.9258767544980651</c:v>
                </c:pt>
                <c:pt idx="634">
                  <c:v>-3.9848850423698905</c:v>
                </c:pt>
                <c:pt idx="635">
                  <c:v>-4.0438675593297404</c:v>
                </c:pt>
                <c:pt idx="636">
                  <c:v>-4.102812353092502</c:v>
                </c:pt>
                <c:pt idx="637">
                  <c:v>-4.161707669249302</c:v>
                </c:pt>
                <c:pt idx="638">
                  <c:v>-4.2205419536133979</c:v>
                </c:pt>
                <c:pt idx="639">
                  <c:v>-4.2793038543792781</c:v>
                </c:pt>
                <c:pt idx="640">
                  <c:v>-4.3379822240972858</c:v>
                </c:pt>
                <c:pt idx="641">
                  <c:v>-4.3965661214663143</c:v>
                </c:pt>
                <c:pt idx="642">
                  <c:v>-4.4550448129472295</c:v>
                </c:pt>
                <c:pt idx="643">
                  <c:v>-4.5134077741998464</c:v>
                </c:pt>
                <c:pt idx="644">
                  <c:v>-4.5716446913463855</c:v>
                </c:pt>
                <c:pt idx="645">
                  <c:v>-4.6297454620644807</c:v>
                </c:pt>
                <c:pt idx="646">
                  <c:v>-4.6877001965128882</c:v>
                </c:pt>
                <c:pt idx="647">
                  <c:v>-4.7454992180932019</c:v>
                </c:pt>
                <c:pt idx="648">
                  <c:v>-4.8031330640509591</c:v>
                </c:pt>
                <c:pt idx="649">
                  <c:v>-4.860592485919538</c:v>
                </c:pt>
                <c:pt idx="650">
                  <c:v>-4.9178684498104932</c:v>
                </c:pt>
                <c:pt idx="651">
                  <c:v>-4.9749521365538474</c:v>
                </c:pt>
                <c:pt idx="652">
                  <c:v>-5.0318349416921153</c:v>
                </c:pt>
                <c:pt idx="653">
                  <c:v>-5.0885084753317615</c:v>
                </c:pt>
                <c:pt idx="654">
                  <c:v>-5.1449645618558524</c:v>
                </c:pt>
                <c:pt idx="655">
                  <c:v>-5.201195239501871</c:v>
                </c:pt>
                <c:pt idx="656">
                  <c:v>-5.2571927598084445</c:v>
                </c:pt>
                <c:pt idx="657">
                  <c:v>-5.3129495869349634</c:v>
                </c:pt>
                <c:pt idx="658">
                  <c:v>-5.3684583968580517</c:v>
                </c:pt>
                <c:pt idx="659">
                  <c:v>-5.4237120764487647</c:v>
                </c:pt>
                <c:pt idx="660">
                  <c:v>-5.4787037224346324</c:v>
                </c:pt>
                <c:pt idx="661">
                  <c:v>-5.5334266402503349</c:v>
                </c:pt>
                <c:pt idx="662">
                  <c:v>-5.5878743427811832</c:v>
                </c:pt>
                <c:pt idx="663">
                  <c:v>-5.6420405490032532</c:v>
                </c:pt>
                <c:pt idx="664">
                  <c:v>-5.6959191825241868</c:v>
                </c:pt>
                <c:pt idx="665">
                  <c:v>-5.7495043700286281</c:v>
                </c:pt>
                <c:pt idx="666">
                  <c:v>-5.802790439632215</c:v>
                </c:pt>
                <c:pt idx="667">
                  <c:v>-5.8557719191480349</c:v>
                </c:pt>
                <c:pt idx="668">
                  <c:v>-5.9084435342694297</c:v>
                </c:pt>
                <c:pt idx="669">
                  <c:v>-5.9608002066730164</c:v>
                </c:pt>
                <c:pt idx="670">
                  <c:v>-6.0128370520457439</c:v>
                </c:pt>
                <c:pt idx="671">
                  <c:v>-6.0645493780397182</c:v>
                </c:pt>
                <c:pt idx="672">
                  <c:v>-6.1159326821585989</c:v>
                </c:pt>
                <c:pt idx="673">
                  <c:v>-6.1669826495791984</c:v>
                </c:pt>
                <c:pt idx="674">
                  <c:v>-6.2176951509119389</c:v>
                </c:pt>
                <c:pt idx="675">
                  <c:v>-6.2680662399037725</c:v>
                </c:pt>
                <c:pt idx="676">
                  <c:v>-6.3180921510870434</c:v>
                </c:pt>
                <c:pt idx="677">
                  <c:v>-6.3677692973778308</c:v>
                </c:pt>
                <c:pt idx="678">
                  <c:v>-6.417094267627113</c:v>
                </c:pt>
                <c:pt idx="679">
                  <c:v>-6.4660638241281694</c:v>
                </c:pt>
                <c:pt idx="680">
                  <c:v>-6.5146749000834223</c:v>
                </c:pt>
                <c:pt idx="681">
                  <c:v>-6.5629245970340326</c:v>
                </c:pt>
                <c:pt idx="682">
                  <c:v>-6.6108101822553129</c:v>
                </c:pt>
                <c:pt idx="683">
                  <c:v>-6.6583290861210767</c:v>
                </c:pt>
                <c:pt idx="684">
                  <c:v>-6.7054788994399424</c:v>
                </c:pt>
                <c:pt idx="685">
                  <c:v>-6.7522573707664968</c:v>
                </c:pt>
                <c:pt idx="686">
                  <c:v>-6.7986624036902024</c:v>
                </c:pt>
                <c:pt idx="687">
                  <c:v>-6.8446920541048364</c:v>
                </c:pt>
                <c:pt idx="688">
                  <c:v>-6.8903445274611723</c:v>
                </c:pt>
                <c:pt idx="689">
                  <c:v>-6.9356181760055478</c:v>
                </c:pt>
                <c:pt idx="690">
                  <c:v>-6.9805114960068648</c:v>
                </c:pt>
                <c:pt idx="691">
                  <c:v>-7.0250231249745569</c:v>
                </c:pt>
                <c:pt idx="692">
                  <c:v>-7.0691518388698658</c:v>
                </c:pt>
                <c:pt idx="693">
                  <c:v>-7.1128965493128415</c:v>
                </c:pt>
                <c:pt idx="694">
                  <c:v>-7.1562563007872626</c:v>
                </c:pt>
                <c:pt idx="695">
                  <c:v>-7.1992302678456968</c:v>
                </c:pt>
                <c:pt idx="696">
                  <c:v>-7.2418177523168046</c:v>
                </c:pt>
                <c:pt idx="697">
                  <c:v>-7.2840181805169024</c:v>
                </c:pt>
                <c:pt idx="698">
                  <c:v>-7.3258311004677772</c:v>
                </c:pt>
                <c:pt idx="699">
                  <c:v>-7.367256179122605</c:v>
                </c:pt>
                <c:pt idx="700">
                  <c:v>-7.4082931996017889</c:v>
                </c:pt>
                <c:pt idx="701">
                  <c:v>-7.4489420584405037</c:v>
                </c:pt>
                <c:pt idx="702">
                  <c:v>-7.4892027628495264</c:v>
                </c:pt>
                <c:pt idx="703">
                  <c:v>-7.5290754279910264</c:v>
                </c:pt>
                <c:pt idx="704">
                  <c:v>-7.5685602742708138</c:v>
                </c:pt>
                <c:pt idx="705">
                  <c:v>-7.6076576246484668</c:v>
                </c:pt>
                <c:pt idx="706">
                  <c:v>-7.6463679019667898</c:v>
                </c:pt>
                <c:pt idx="707">
                  <c:v>-7.6846916263018805</c:v>
                </c:pt>
                <c:pt idx="708">
                  <c:v>-7.7226294123350474</c:v>
                </c:pt>
                <c:pt idx="709">
                  <c:v>-7.7601819667478367</c:v>
                </c:pt>
                <c:pt idx="710">
                  <c:v>-7.797350085641213</c:v>
                </c:pt>
                <c:pt idx="711">
                  <c:v>-7.8341346519799728</c:v>
                </c:pt>
                <c:pt idx="712">
                  <c:v>-7.8705366330634785</c:v>
                </c:pt>
                <c:pt idx="713">
                  <c:v>-7.9065570780235204</c:v>
                </c:pt>
                <c:pt idx="714">
                  <c:v>-7.942197115350293</c:v>
                </c:pt>
                <c:pt idx="715">
                  <c:v>-7.9774579504472909</c:v>
                </c:pt>
                <c:pt idx="716">
                  <c:v>-8.0123408632158366</c:v>
                </c:pt>
                <c:pt idx="717">
                  <c:v>-8.046847205670046</c:v>
                </c:pt>
                <c:pt idx="718">
                  <c:v>-8.0809783995828557</c:v>
                </c:pt>
                <c:pt idx="719">
                  <c:v>-8.114735934163674</c:v>
                </c:pt>
                <c:pt idx="720">
                  <c:v>-8.1481213637683165</c:v>
                </c:pt>
                <c:pt idx="721">
                  <c:v>-8.1811363056416688</c:v>
                </c:pt>
                <c:pt idx="722">
                  <c:v>-8.213782437693542</c:v>
                </c:pt>
                <c:pt idx="723">
                  <c:v>-8.2460614963081955</c:v>
                </c:pt>
                <c:pt idx="724">
                  <c:v>-8.2779752741878454</c:v>
                </c:pt>
                <c:pt idx="725">
                  <c:v>-8.3095256182305111</c:v>
                </c:pt>
                <c:pt idx="726">
                  <c:v>-8.3407144274425136</c:v>
                </c:pt>
                <c:pt idx="727">
                  <c:v>-8.3715436508858012</c:v>
                </c:pt>
                <c:pt idx="728">
                  <c:v>-8.4020152856604629</c:v>
                </c:pt>
                <c:pt idx="729">
                  <c:v>-8.4321313749224078</c:v>
                </c:pt>
                <c:pt idx="730">
                  <c:v>-8.461894005936502</c:v>
                </c:pt>
                <c:pt idx="731">
                  <c:v>-8.4913053081651952</c:v>
                </c:pt>
                <c:pt idx="732">
                  <c:v>-8.5203674513927474</c:v>
                </c:pt>
                <c:pt idx="733">
                  <c:v>-8.5490826438850256</c:v>
                </c:pt>
                <c:pt idx="734">
                  <c:v>-8.5774531305849511</c:v>
                </c:pt>
                <c:pt idx="735">
                  <c:v>-8.6054811913435483</c:v>
                </c:pt>
                <c:pt idx="736">
                  <c:v>-8.6331691391864869</c:v>
                </c:pt>
                <c:pt idx="737">
                  <c:v>-8.6605193186161618</c:v>
                </c:pt>
                <c:pt idx="738">
                  <c:v>-8.6875341039490657</c:v>
                </c:pt>
                <c:pt idx="739">
                  <c:v>-8.7142158976884296</c:v>
                </c:pt>
                <c:pt idx="740">
                  <c:v>-8.7405671289319198</c:v>
                </c:pt>
                <c:pt idx="741">
                  <c:v>-8.7665902518142467</c:v>
                </c:pt>
                <c:pt idx="742">
                  <c:v>-8.7922877439844775</c:v>
                </c:pt>
                <c:pt idx="743">
                  <c:v>-8.8176621051177992</c:v>
                </c:pt>
                <c:pt idx="744">
                  <c:v>-8.8427158554615772</c:v>
                </c:pt>
                <c:pt idx="745">
                  <c:v>-8.8674515344153679</c:v>
                </c:pt>
                <c:pt idx="746">
                  <c:v>-8.8918716991446747</c:v>
                </c:pt>
                <c:pt idx="747">
                  <c:v>-8.9159789232281152</c:v>
                </c:pt>
                <c:pt idx="748">
                  <c:v>-8.9397757953377361</c:v>
                </c:pt>
                <c:pt idx="749">
                  <c:v>-8.9632649179521042</c:v>
                </c:pt>
                <c:pt idx="750">
                  <c:v>-8.9864489061019146</c:v>
                </c:pt>
                <c:pt idx="751">
                  <c:v>-9.0093303861476972</c:v>
                </c:pt>
                <c:pt idx="752">
                  <c:v>-9.0319119945893167</c:v>
                </c:pt>
                <c:pt idx="753">
                  <c:v>-9.0541963769068889</c:v>
                </c:pt>
                <c:pt idx="754">
                  <c:v>-9.0761861864326985</c:v>
                </c:pt>
                <c:pt idx="755">
                  <c:v>-9.0978840832538115</c:v>
                </c:pt>
                <c:pt idx="756">
                  <c:v>-9.1192927331448921</c:v>
                </c:pt>
                <c:pt idx="757">
                  <c:v>-9.1404148065309059</c:v>
                </c:pt>
                <c:pt idx="758">
                  <c:v>-9.1612529774792577</c:v>
                </c:pt>
                <c:pt idx="759">
                  <c:v>-9.1818099227209213</c:v>
                </c:pt>
                <c:pt idx="760">
                  <c:v>-9.2020883207002324</c:v>
                </c:pt>
                <c:pt idx="761">
                  <c:v>-9.2220908506527994</c:v>
                </c:pt>
                <c:pt idx="762">
                  <c:v>-9.2418201917112004</c:v>
                </c:pt>
                <c:pt idx="763">
                  <c:v>-9.2612790220379697</c:v>
                </c:pt>
                <c:pt idx="764">
                  <c:v>-9.2804700179854827</c:v>
                </c:pt>
                <c:pt idx="765">
                  <c:v>-9.299395853282217</c:v>
                </c:pt>
                <c:pt idx="766">
                  <c:v>-9.3180591982450718</c:v>
                </c:pt>
                <c:pt idx="767">
                  <c:v>-9.3364627190171845</c:v>
                </c:pt>
                <c:pt idx="768">
                  <c:v>-9.3546090768308456</c:v>
                </c:pt>
                <c:pt idx="769">
                  <c:v>-9.3725009272950981</c:v>
                </c:pt>
                <c:pt idx="770">
                  <c:v>-9.3901409197074557</c:v>
                </c:pt>
                <c:pt idx="771">
                  <c:v>-9.4075316963894835</c:v>
                </c:pt>
                <c:pt idx="772">
                  <c:v>-9.4246758920455989</c:v>
                </c:pt>
                <c:pt idx="773">
                  <c:v>-9.4415761331447605</c:v>
                </c:pt>
                <c:pt idx="774">
                  <c:v>-9.4582350373245543</c:v>
                </c:pt>
                <c:pt idx="775">
                  <c:v>-9.4746552128172858</c:v>
                </c:pt>
                <c:pt idx="776">
                  <c:v>-9.4908392578975445</c:v>
                </c:pt>
                <c:pt idx="777">
                  <c:v>-9.5067897603508875</c:v>
                </c:pt>
                <c:pt idx="778">
                  <c:v>-9.5225092969631593</c:v>
                </c:pt>
                <c:pt idx="779">
                  <c:v>-9.5380004330300139</c:v>
                </c:pt>
                <c:pt idx="780">
                  <c:v>-9.5532657218862376</c:v>
                </c:pt>
                <c:pt idx="781">
                  <c:v>-9.5683077044543925</c:v>
                </c:pt>
                <c:pt idx="782">
                  <c:v>-9.5831289088123981</c:v>
                </c:pt>
                <c:pt idx="783">
                  <c:v>-9.5977318497796098</c:v>
                </c:pt>
                <c:pt idx="784">
                  <c:v>-9.6121190285209757</c:v>
                </c:pt>
                <c:pt idx="785">
                  <c:v>-9.6262929321688713</c:v>
                </c:pt>
                <c:pt idx="786">
                  <c:v>-9.640256033462169</c:v>
                </c:pt>
                <c:pt idx="787">
                  <c:v>-9.6540107904021752</c:v>
                </c:pt>
                <c:pt idx="788">
                  <c:v>-9.6675596459249924</c:v>
                </c:pt>
                <c:pt idx="789">
                  <c:v>-9.6809050275899757</c:v>
                </c:pt>
                <c:pt idx="790">
                  <c:v>-9.6940493472837854</c:v>
                </c:pt>
                <c:pt idx="791">
                  <c:v>-9.7069950009397665</c:v>
                </c:pt>
                <c:pt idx="792">
                  <c:v>-9.719744368272174</c:v>
                </c:pt>
                <c:pt idx="793">
                  <c:v>-9.7322998125249267</c:v>
                </c:pt>
                <c:pt idx="794">
                  <c:v>-9.744663680234499</c:v>
                </c:pt>
                <c:pt idx="795">
                  <c:v>-9.7568383010065958</c:v>
                </c:pt>
                <c:pt idx="796">
                  <c:v>-9.7688259873061636</c:v>
                </c:pt>
                <c:pt idx="797">
                  <c:v>-9.7806290342605795</c:v>
                </c:pt>
                <c:pt idx="798">
                  <c:v>-9.7922497194753966</c:v>
                </c:pt>
                <c:pt idx="799">
                  <c:v>-9.803690302862579</c:v>
                </c:pt>
                <c:pt idx="800">
                  <c:v>-9.8149530264806302</c:v>
                </c:pt>
                <c:pt idx="801">
                  <c:v>-9.8260401143864762</c:v>
                </c:pt>
                <c:pt idx="802">
                  <c:v>-9.8369537724986991</c:v>
                </c:pt>
                <c:pt idx="803">
                  <c:v>-9.8476961884717351</c:v>
                </c:pt>
                <c:pt idx="804">
                  <c:v>-9.8582695315808433</c:v>
                </c:pt>
                <c:pt idx="805">
                  <c:v>-9.8686759526174406</c:v>
                </c:pt>
                <c:pt idx="806">
                  <c:v>-9.8789175837945429</c:v>
                </c:pt>
                <c:pt idx="807">
                  <c:v>-9.8889965386619512</c:v>
                </c:pt>
                <c:pt idx="808">
                  <c:v>-9.8890064511884788</c:v>
                </c:pt>
                <c:pt idx="809">
                  <c:v>-9.8890163635570243</c:v>
                </c:pt>
                <c:pt idx="810">
                  <c:v>-9.8890262757675913</c:v>
                </c:pt>
                <c:pt idx="811">
                  <c:v>-9.889036187820178</c:v>
                </c:pt>
                <c:pt idx="812">
                  <c:v>-9.8890460997147898</c:v>
                </c:pt>
                <c:pt idx="813">
                  <c:v>-9.8890560114514336</c:v>
                </c:pt>
                <c:pt idx="814">
                  <c:v>-9.889065923030099</c:v>
                </c:pt>
                <c:pt idx="815">
                  <c:v>-9.8890758344508036</c:v>
                </c:pt>
                <c:pt idx="816">
                  <c:v>-9.8890857457135315</c:v>
                </c:pt>
                <c:pt idx="817">
                  <c:v>-9.8890956568183022</c:v>
                </c:pt>
                <c:pt idx="818">
                  <c:v>-9.889105567765105</c:v>
                </c:pt>
                <c:pt idx="819">
                  <c:v>-9.8891154785539452</c:v>
                </c:pt>
                <c:pt idx="820">
                  <c:v>-9.8891253891848336</c:v>
                </c:pt>
                <c:pt idx="821">
                  <c:v>-9.8891352996577613</c:v>
                </c:pt>
                <c:pt idx="822">
                  <c:v>-9.8891452099727317</c:v>
                </c:pt>
                <c:pt idx="823">
                  <c:v>-9.8891551201297556</c:v>
                </c:pt>
                <c:pt idx="824">
                  <c:v>-9.8891650301288241</c:v>
                </c:pt>
                <c:pt idx="825">
                  <c:v>-9.8891749399699442</c:v>
                </c:pt>
                <c:pt idx="826">
                  <c:v>-9.8891848496531196</c:v>
                </c:pt>
                <c:pt idx="827">
                  <c:v>-9.8891947591783467</c:v>
                </c:pt>
                <c:pt idx="828">
                  <c:v>-9.8892046685456396</c:v>
                </c:pt>
                <c:pt idx="829">
                  <c:v>-9.8892145777549825</c:v>
                </c:pt>
                <c:pt idx="830">
                  <c:v>-9.8892244868063894</c:v>
                </c:pt>
                <c:pt idx="831">
                  <c:v>-9.8892343956998623</c:v>
                </c:pt>
                <c:pt idx="832">
                  <c:v>-9.8892443044353993</c:v>
                </c:pt>
                <c:pt idx="833">
                  <c:v>-9.8892542130130003</c:v>
                </c:pt>
                <c:pt idx="834">
                  <c:v>-9.889264121432678</c:v>
                </c:pt>
                <c:pt idx="835">
                  <c:v>-9.8892740296944268</c:v>
                </c:pt>
                <c:pt idx="836">
                  <c:v>-9.8892839377982433</c:v>
                </c:pt>
                <c:pt idx="837">
                  <c:v>-9.8892938457441346</c:v>
                </c:pt>
                <c:pt idx="838">
                  <c:v>-9.8893037535321096</c:v>
                </c:pt>
                <c:pt idx="839">
                  <c:v>-9.8893136611621628</c:v>
                </c:pt>
                <c:pt idx="840">
                  <c:v>-9.889323568634298</c:v>
                </c:pt>
                <c:pt idx="841">
                  <c:v>-9.8893334759485185</c:v>
                </c:pt>
                <c:pt idx="842">
                  <c:v>-9.8893433831048156</c:v>
                </c:pt>
                <c:pt idx="843">
                  <c:v>-9.8893532901032088</c:v>
                </c:pt>
                <c:pt idx="844">
                  <c:v>-9.8893631969436875</c:v>
                </c:pt>
                <c:pt idx="845">
                  <c:v>-9.8893731036262604</c:v>
                </c:pt>
                <c:pt idx="846">
                  <c:v>-9.8893830101509295</c:v>
                </c:pt>
                <c:pt idx="847">
                  <c:v>-9.889392916517691</c:v>
                </c:pt>
                <c:pt idx="848">
                  <c:v>-9.8894028227265558</c:v>
                </c:pt>
                <c:pt idx="849">
                  <c:v>-9.8894127287775184</c:v>
                </c:pt>
                <c:pt idx="850">
                  <c:v>-9.889422634670586</c:v>
                </c:pt>
                <c:pt idx="851">
                  <c:v>-9.8894325404057533</c:v>
                </c:pt>
                <c:pt idx="852">
                  <c:v>-9.8894424459830272</c:v>
                </c:pt>
                <c:pt idx="853">
                  <c:v>-9.8894523514024097</c:v>
                </c:pt>
                <c:pt idx="854">
                  <c:v>-9.8894622566639026</c:v>
                </c:pt>
                <c:pt idx="855">
                  <c:v>-9.8894721617675057</c:v>
                </c:pt>
                <c:pt idx="856">
                  <c:v>-9.8894820667132226</c:v>
                </c:pt>
                <c:pt idx="857">
                  <c:v>-9.8894919715010623</c:v>
                </c:pt>
                <c:pt idx="858">
                  <c:v>-9.8895018761310141</c:v>
                </c:pt>
                <c:pt idx="859">
                  <c:v>-9.8895117806030903</c:v>
                </c:pt>
                <c:pt idx="860">
                  <c:v>-9.8895216849172858</c:v>
                </c:pt>
                <c:pt idx="861">
                  <c:v>-9.8895315890736075</c:v>
                </c:pt>
                <c:pt idx="862">
                  <c:v>-9.8895414930720555</c:v>
                </c:pt>
                <c:pt idx="863">
                  <c:v>-9.8895513969126334</c:v>
                </c:pt>
                <c:pt idx="864">
                  <c:v>-9.8895613005953429</c:v>
                </c:pt>
                <c:pt idx="865">
                  <c:v>-9.8895712041201822</c:v>
                </c:pt>
                <c:pt idx="866">
                  <c:v>-9.8895811074871585</c:v>
                </c:pt>
                <c:pt idx="867">
                  <c:v>-9.8895910106962734</c:v>
                </c:pt>
                <c:pt idx="868">
                  <c:v>-9.8896009137475236</c:v>
                </c:pt>
                <c:pt idx="869">
                  <c:v>-9.8896108166409125</c:v>
                </c:pt>
                <c:pt idx="870">
                  <c:v>-9.8896207193764472</c:v>
                </c:pt>
                <c:pt idx="871">
                  <c:v>-9.8896306219541295</c:v>
                </c:pt>
                <c:pt idx="872">
                  <c:v>-9.889640524373954</c:v>
                </c:pt>
                <c:pt idx="873">
                  <c:v>-9.8896504266359297</c:v>
                </c:pt>
                <c:pt idx="874">
                  <c:v>-9.8896603287400549</c:v>
                </c:pt>
                <c:pt idx="875">
                  <c:v>-9.8896702306863329</c:v>
                </c:pt>
                <c:pt idx="876">
                  <c:v>-9.8896801324747692</c:v>
                </c:pt>
                <c:pt idx="877">
                  <c:v>-9.8896900341053602</c:v>
                </c:pt>
                <c:pt idx="878">
                  <c:v>-9.8896999355781059</c:v>
                </c:pt>
                <c:pt idx="879">
                  <c:v>-9.889709836893017</c:v>
                </c:pt>
                <c:pt idx="880">
                  <c:v>-9.889719738050097</c:v>
                </c:pt>
                <c:pt idx="881">
                  <c:v>-9.8897296390493334</c:v>
                </c:pt>
                <c:pt idx="882">
                  <c:v>-9.8897395398907406</c:v>
                </c:pt>
                <c:pt idx="883">
                  <c:v>-9.8897494405743203</c:v>
                </c:pt>
                <c:pt idx="884">
                  <c:v>-9.889759341100067</c:v>
                </c:pt>
                <c:pt idx="885">
                  <c:v>-9.8897692414679881</c:v>
                </c:pt>
                <c:pt idx="886">
                  <c:v>-9.8897791416780851</c:v>
                </c:pt>
                <c:pt idx="887">
                  <c:v>-9.8897890417303582</c:v>
                </c:pt>
                <c:pt idx="888">
                  <c:v>-9.8897989416248144</c:v>
                </c:pt>
                <c:pt idx="889">
                  <c:v>-9.8898088413614484</c:v>
                </c:pt>
                <c:pt idx="890">
                  <c:v>-9.8898187409402674</c:v>
                </c:pt>
                <c:pt idx="891">
                  <c:v>-9.8898286403612712</c:v>
                </c:pt>
                <c:pt idx="892">
                  <c:v>-9.889838539624467</c:v>
                </c:pt>
                <c:pt idx="893">
                  <c:v>-9.889848438729846</c:v>
                </c:pt>
                <c:pt idx="894">
                  <c:v>-9.8898583376774205</c:v>
                </c:pt>
                <c:pt idx="895">
                  <c:v>-9.8898682364671835</c:v>
                </c:pt>
                <c:pt idx="896">
                  <c:v>-9.8898781350991491</c:v>
                </c:pt>
                <c:pt idx="897">
                  <c:v>-9.8898880335733068</c:v>
                </c:pt>
                <c:pt idx="898">
                  <c:v>-9.8898979318896654</c:v>
                </c:pt>
                <c:pt idx="899">
                  <c:v>-9.8899078300482319</c:v>
                </c:pt>
                <c:pt idx="900">
                  <c:v>-9.8899177280489941</c:v>
                </c:pt>
                <c:pt idx="901">
                  <c:v>-9.8899276258919677</c:v>
                </c:pt>
                <c:pt idx="902">
                  <c:v>-9.8899375235771476</c:v>
                </c:pt>
                <c:pt idx="903">
                  <c:v>-9.8899474211045373</c:v>
                </c:pt>
                <c:pt idx="904">
                  <c:v>-9.8899573184741385</c:v>
                </c:pt>
                <c:pt idx="905">
                  <c:v>-9.8899672156859548</c:v>
                </c:pt>
                <c:pt idx="906">
                  <c:v>-9.8899771127399916</c:v>
                </c:pt>
                <c:pt idx="907">
                  <c:v>-9.8899870096362381</c:v>
                </c:pt>
                <c:pt idx="908">
                  <c:v>-9.8899969063747051</c:v>
                </c:pt>
                <c:pt idx="909">
                  <c:v>-9.8900068029553978</c:v>
                </c:pt>
                <c:pt idx="910">
                  <c:v>-9.8900166993783163</c:v>
                </c:pt>
                <c:pt idx="911">
                  <c:v>-9.8900265956434623</c:v>
                </c:pt>
                <c:pt idx="912">
                  <c:v>-9.8900364917508288</c:v>
                </c:pt>
                <c:pt idx="913">
                  <c:v>-9.890046387700437</c:v>
                </c:pt>
                <c:pt idx="914">
                  <c:v>-9.8900562834922656</c:v>
                </c:pt>
                <c:pt idx="915">
                  <c:v>-9.8900661791263378</c:v>
                </c:pt>
                <c:pt idx="916">
                  <c:v>-9.890076074602641</c:v>
                </c:pt>
                <c:pt idx="917">
                  <c:v>-9.8900859699211843</c:v>
                </c:pt>
                <c:pt idx="918">
                  <c:v>-9.890095865081971</c:v>
                </c:pt>
                <c:pt idx="919">
                  <c:v>-9.8901057600849978</c:v>
                </c:pt>
                <c:pt idx="920">
                  <c:v>-9.8901156549302662</c:v>
                </c:pt>
                <c:pt idx="921">
                  <c:v>-9.89012554961778</c:v>
                </c:pt>
                <c:pt idx="922">
                  <c:v>-9.8901354441475497</c:v>
                </c:pt>
                <c:pt idx="923">
                  <c:v>-9.8901453385195701</c:v>
                </c:pt>
                <c:pt idx="924">
                  <c:v>-9.8901552327338393</c:v>
                </c:pt>
                <c:pt idx="925">
                  <c:v>-9.8901651267903592</c:v>
                </c:pt>
                <c:pt idx="926">
                  <c:v>-9.8901750206891403</c:v>
                </c:pt>
                <c:pt idx="927">
                  <c:v>-9.890184914430181</c:v>
                </c:pt>
                <c:pt idx="928">
                  <c:v>-9.8901948080134865</c:v>
                </c:pt>
                <c:pt idx="929">
                  <c:v>-9.890204701439048</c:v>
                </c:pt>
                <c:pt idx="930">
                  <c:v>-9.8902145947068778</c:v>
                </c:pt>
                <c:pt idx="931">
                  <c:v>-9.8902244878169743</c:v>
                </c:pt>
                <c:pt idx="932">
                  <c:v>-9.8902343807693338</c:v>
                </c:pt>
                <c:pt idx="933">
                  <c:v>-9.8902442735639706</c:v>
                </c:pt>
                <c:pt idx="934">
                  <c:v>-9.8902541662008794</c:v>
                </c:pt>
                <c:pt idx="935">
                  <c:v>-9.8902640586800619</c:v>
                </c:pt>
                <c:pt idx="936">
                  <c:v>-9.8902739510015252</c:v>
                </c:pt>
                <c:pt idx="937">
                  <c:v>-9.890283843165264</c:v>
                </c:pt>
                <c:pt idx="938">
                  <c:v>-9.8902937351712872</c:v>
                </c:pt>
                <c:pt idx="939">
                  <c:v>-9.8903036270195965</c:v>
                </c:pt>
                <c:pt idx="940">
                  <c:v>-9.8903135187101832</c:v>
                </c:pt>
                <c:pt idx="941">
                  <c:v>-9.8903234102430613</c:v>
                </c:pt>
                <c:pt idx="942">
                  <c:v>-9.8903333016182273</c:v>
                </c:pt>
                <c:pt idx="943">
                  <c:v>-9.8903431928356884</c:v>
                </c:pt>
                <c:pt idx="944">
                  <c:v>-9.8903530838954374</c:v>
                </c:pt>
                <c:pt idx="945">
                  <c:v>-9.8903629747974815</c:v>
                </c:pt>
                <c:pt idx="946">
                  <c:v>-9.8903728655418259</c:v>
                </c:pt>
                <c:pt idx="947">
                  <c:v>-9.8903827561284707</c:v>
                </c:pt>
                <c:pt idx="948">
                  <c:v>-9.8903926465574123</c:v>
                </c:pt>
                <c:pt idx="949">
                  <c:v>-9.890402536828665</c:v>
                </c:pt>
                <c:pt idx="950">
                  <c:v>-9.8904124269422198</c:v>
                </c:pt>
                <c:pt idx="951">
                  <c:v>-9.8904223168980785</c:v>
                </c:pt>
                <c:pt idx="952">
                  <c:v>-9.89043220669625</c:v>
                </c:pt>
                <c:pt idx="953">
                  <c:v>-9.8904420963367343</c:v>
                </c:pt>
                <c:pt idx="954">
                  <c:v>-9.8904519858195314</c:v>
                </c:pt>
                <c:pt idx="955">
                  <c:v>-9.8904618751446467</c:v>
                </c:pt>
                <c:pt idx="956">
                  <c:v>-9.8904717643120765</c:v>
                </c:pt>
                <c:pt idx="957">
                  <c:v>-9.890481653321828</c:v>
                </c:pt>
                <c:pt idx="958">
                  <c:v>-9.8904915421738959</c:v>
                </c:pt>
                <c:pt idx="959">
                  <c:v>-9.8905014308682926</c:v>
                </c:pt>
                <c:pt idx="960">
                  <c:v>-9.8905113194050127</c:v>
                </c:pt>
                <c:pt idx="961">
                  <c:v>-9.8905212077840634</c:v>
                </c:pt>
                <c:pt idx="962">
                  <c:v>-9.8905310960054411</c:v>
                </c:pt>
                <c:pt idx="963">
                  <c:v>-9.8905409840691565</c:v>
                </c:pt>
                <c:pt idx="964">
                  <c:v>-9.8905508719752024</c:v>
                </c:pt>
                <c:pt idx="965">
                  <c:v>-9.8905607597235807</c:v>
                </c:pt>
                <c:pt idx="966">
                  <c:v>-9.8905706473143038</c:v>
                </c:pt>
                <c:pt idx="967">
                  <c:v>-9.8905805347473645</c:v>
                </c:pt>
                <c:pt idx="968">
                  <c:v>-9.8905904220227701</c:v>
                </c:pt>
                <c:pt idx="969">
                  <c:v>-9.8906003091405079</c:v>
                </c:pt>
                <c:pt idx="970">
                  <c:v>-9.8906101961006048</c:v>
                </c:pt>
                <c:pt idx="971">
                  <c:v>-9.8906200829030464</c:v>
                </c:pt>
                <c:pt idx="972">
                  <c:v>-9.8906299695478399</c:v>
                </c:pt>
                <c:pt idx="973">
                  <c:v>-9.8906398560349835</c:v>
                </c:pt>
                <c:pt idx="974">
                  <c:v>-9.890649742364479</c:v>
                </c:pt>
                <c:pt idx="975">
                  <c:v>-9.8906596285363353</c:v>
                </c:pt>
                <c:pt idx="976">
                  <c:v>-9.8906695145505505</c:v>
                </c:pt>
                <c:pt idx="977">
                  <c:v>-9.890679400407123</c:v>
                </c:pt>
                <c:pt idx="978">
                  <c:v>-9.8906892861060562</c:v>
                </c:pt>
                <c:pt idx="979">
                  <c:v>-9.8906991716473591</c:v>
                </c:pt>
                <c:pt idx="980">
                  <c:v>-9.8907090570310245</c:v>
                </c:pt>
                <c:pt idx="981">
                  <c:v>-9.8907189422570596</c:v>
                </c:pt>
                <c:pt idx="982">
                  <c:v>-9.8907288273254661</c:v>
                </c:pt>
                <c:pt idx="983">
                  <c:v>-9.890738712236244</c:v>
                </c:pt>
                <c:pt idx="984">
                  <c:v>-9.8907485969894022</c:v>
                </c:pt>
                <c:pt idx="985">
                  <c:v>-9.8907584815849354</c:v>
                </c:pt>
                <c:pt idx="986">
                  <c:v>-9.8907683660228418</c:v>
                </c:pt>
                <c:pt idx="987">
                  <c:v>-9.8907782503031285</c:v>
                </c:pt>
                <c:pt idx="988">
                  <c:v>-9.8907881344258026</c:v>
                </c:pt>
                <c:pt idx="989">
                  <c:v>-9.8907980183908588</c:v>
                </c:pt>
                <c:pt idx="990">
                  <c:v>-9.8908079021983077</c:v>
                </c:pt>
                <c:pt idx="991">
                  <c:v>-9.8908177858481441</c:v>
                </c:pt>
                <c:pt idx="992">
                  <c:v>-9.8908276693403678</c:v>
                </c:pt>
                <c:pt idx="993">
                  <c:v>-9.8908375526749861</c:v>
                </c:pt>
                <c:pt idx="994">
                  <c:v>-9.8908474358519989</c:v>
                </c:pt>
                <c:pt idx="995">
                  <c:v>-9.8908573188714044</c:v>
                </c:pt>
                <c:pt idx="996">
                  <c:v>-9.8908672017332133</c:v>
                </c:pt>
                <c:pt idx="997">
                  <c:v>-9.8908770844374239</c:v>
                </c:pt>
                <c:pt idx="998">
                  <c:v>-9.8908869669840325</c:v>
                </c:pt>
                <c:pt idx="999">
                  <c:v>-9.8908968493730534</c:v>
                </c:pt>
                <c:pt idx="1000">
                  <c:v>-9.890906731604483</c:v>
                </c:pt>
              </c:numCache>
            </c:numRef>
          </c:yVal>
          <c:smooth val="0"/>
          <c:extLst>
            <c:ext xmlns:c16="http://schemas.microsoft.com/office/drawing/2014/chart" uri="{C3380CC4-5D6E-409C-BE32-E72D297353CC}">
              <c16:uniqueId val="{00000001-BDD6-4E9B-9AFA-2396233049A9}"/>
            </c:ext>
          </c:extLst>
        </c:ser>
        <c:dLbls>
          <c:showLegendKey val="0"/>
          <c:showVal val="0"/>
          <c:showCatName val="0"/>
          <c:showSerName val="0"/>
          <c:showPercent val="0"/>
          <c:showBubbleSize val="0"/>
        </c:dLbls>
        <c:axId val="149575168"/>
        <c:axId val="149577088"/>
      </c:scatterChart>
      <c:valAx>
        <c:axId val="149575168"/>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7088"/>
        <c:crosses val="autoZero"/>
        <c:crossBetween val="midCat"/>
      </c:valAx>
      <c:valAx>
        <c:axId val="149577088"/>
        <c:scaling>
          <c:orientation val="minMax"/>
        </c:scaling>
        <c:delete val="0"/>
        <c:axPos val="l"/>
        <c:majorGridlines>
          <c:spPr>
            <a:ln w="3175">
              <a:solidFill>
                <a:srgbClr val="000000"/>
              </a:solidFill>
              <a:prstDash val="sysDash"/>
            </a:ln>
          </c:spPr>
        </c:majorGridlines>
        <c:title>
          <c:tx>
            <c:rich>
              <a:bodyPr/>
              <a:lstStyle/>
              <a:p>
                <a:pPr>
                  <a:defRPr sz="1000" b="1" i="0" u="none" strike="noStrike" baseline="0">
                    <a:solidFill>
                      <a:srgbClr val="000000"/>
                    </a:solidFill>
                    <a:latin typeface="Arial"/>
                    <a:ea typeface="Arial"/>
                    <a:cs typeface="Arial"/>
                  </a:defRPr>
                </a:pPr>
                <a:r>
                  <a:rPr lang="fr-FR"/>
                  <a:t>Accélérations [m/s²]_</a:t>
                </a:r>
              </a:p>
            </c:rich>
          </c:tx>
          <c:layout>
            <c:manualLayout>
              <c:xMode val="edge"/>
              <c:yMode val="edge"/>
              <c:x val="2.712264150943397E-2"/>
              <c:y val="0.297386526684164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5168"/>
        <c:crosses val="autoZero"/>
        <c:crossBetween val="midCat"/>
      </c:valAx>
      <c:spPr>
        <a:noFill/>
        <a:ln w="12700">
          <a:solidFill>
            <a:srgbClr val="808080"/>
          </a:solidFill>
          <a:prstDash val="solid"/>
        </a:ln>
      </c:spPr>
    </c:plotArea>
    <c:legend>
      <c:legendPos val="r"/>
      <c:layout>
        <c:manualLayout>
          <c:xMode val="edge"/>
          <c:yMode val="edge"/>
          <c:x val="0.66195018075570744"/>
          <c:y val="0.25777777777777783"/>
          <c:w val="0.30974867528351424"/>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Positions</a:t>
            </a:r>
          </a:p>
        </c:rich>
      </c:tx>
      <c:overlay val="1"/>
    </c:title>
    <c:autoTitleDeleted val="0"/>
    <c:plotArea>
      <c:layout>
        <c:manualLayout>
          <c:layoutTarget val="inner"/>
          <c:xMode val="edge"/>
          <c:yMode val="edge"/>
          <c:x val="0.11674528301886802"/>
          <c:y val="9.4771544282144501E-2"/>
          <c:w val="0.86438679245283023"/>
          <c:h val="0.73856444854360881"/>
        </c:manualLayout>
      </c:layout>
      <c:scatterChart>
        <c:scatterStyle val="lineMarker"/>
        <c:varyColors val="0"/>
        <c:ser>
          <c:idx val="0"/>
          <c:order val="0"/>
          <c:tx>
            <c:strRef>
              <c:f>Courbes!$B$144</c:f>
              <c:strCache>
                <c:ptCount val="1"/>
                <c:pt idx="0">
                  <c:v>Portée</c:v>
                </c:pt>
              </c:strCache>
            </c:strRef>
          </c:tx>
          <c:spPr>
            <a:ln w="25400">
              <a:solidFill>
                <a:srgbClr val="80000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34.800000000000182</c:v>
                </c:pt>
                <c:pt idx="709">
                  <c:v>34.900000000000183</c:v>
                </c:pt>
                <c:pt idx="710">
                  <c:v>35.000000000000185</c:v>
                </c:pt>
                <c:pt idx="711">
                  <c:v>35.100000000000186</c:v>
                </c:pt>
                <c:pt idx="712">
                  <c:v>35.200000000000188</c:v>
                </c:pt>
                <c:pt idx="713">
                  <c:v>35.300000000000189</c:v>
                </c:pt>
                <c:pt idx="714">
                  <c:v>35.40000000000019</c:v>
                </c:pt>
                <c:pt idx="715">
                  <c:v>35.500000000000192</c:v>
                </c:pt>
                <c:pt idx="716">
                  <c:v>35.600000000000193</c:v>
                </c:pt>
                <c:pt idx="717">
                  <c:v>35.700000000000195</c:v>
                </c:pt>
                <c:pt idx="718">
                  <c:v>35.800000000000196</c:v>
                </c:pt>
                <c:pt idx="719">
                  <c:v>35.900000000000198</c:v>
                </c:pt>
                <c:pt idx="720">
                  <c:v>36.000000000000199</c:v>
                </c:pt>
                <c:pt idx="721">
                  <c:v>36.1000000000002</c:v>
                </c:pt>
                <c:pt idx="722">
                  <c:v>36.200000000000202</c:v>
                </c:pt>
                <c:pt idx="723">
                  <c:v>36.300000000000203</c:v>
                </c:pt>
                <c:pt idx="724">
                  <c:v>36.400000000000205</c:v>
                </c:pt>
                <c:pt idx="725">
                  <c:v>36.500000000000206</c:v>
                </c:pt>
                <c:pt idx="726">
                  <c:v>36.600000000000207</c:v>
                </c:pt>
                <c:pt idx="727">
                  <c:v>36.700000000000209</c:v>
                </c:pt>
                <c:pt idx="728">
                  <c:v>36.80000000000021</c:v>
                </c:pt>
                <c:pt idx="729">
                  <c:v>36.900000000000212</c:v>
                </c:pt>
                <c:pt idx="730">
                  <c:v>37.000000000000213</c:v>
                </c:pt>
                <c:pt idx="731">
                  <c:v>37.100000000000215</c:v>
                </c:pt>
                <c:pt idx="732">
                  <c:v>37.200000000000216</c:v>
                </c:pt>
                <c:pt idx="733">
                  <c:v>37.300000000000217</c:v>
                </c:pt>
                <c:pt idx="734">
                  <c:v>37.400000000000219</c:v>
                </c:pt>
                <c:pt idx="735">
                  <c:v>37.50000000000022</c:v>
                </c:pt>
                <c:pt idx="736">
                  <c:v>37.600000000000222</c:v>
                </c:pt>
                <c:pt idx="737">
                  <c:v>37.700000000000223</c:v>
                </c:pt>
                <c:pt idx="738">
                  <c:v>37.800000000000225</c:v>
                </c:pt>
                <c:pt idx="739">
                  <c:v>37.900000000000226</c:v>
                </c:pt>
                <c:pt idx="740">
                  <c:v>38.000000000000227</c:v>
                </c:pt>
                <c:pt idx="741">
                  <c:v>38.100000000000229</c:v>
                </c:pt>
                <c:pt idx="742">
                  <c:v>38.20000000000023</c:v>
                </c:pt>
                <c:pt idx="743">
                  <c:v>38.300000000000232</c:v>
                </c:pt>
                <c:pt idx="744">
                  <c:v>38.400000000000233</c:v>
                </c:pt>
                <c:pt idx="745">
                  <c:v>38.500000000000234</c:v>
                </c:pt>
                <c:pt idx="746">
                  <c:v>38.600000000000236</c:v>
                </c:pt>
                <c:pt idx="747">
                  <c:v>38.700000000000237</c:v>
                </c:pt>
                <c:pt idx="748">
                  <c:v>38.800000000000239</c:v>
                </c:pt>
                <c:pt idx="749">
                  <c:v>38.90000000000024</c:v>
                </c:pt>
                <c:pt idx="750">
                  <c:v>39.000000000000242</c:v>
                </c:pt>
                <c:pt idx="751">
                  <c:v>39.100000000000243</c:v>
                </c:pt>
                <c:pt idx="752">
                  <c:v>39.200000000000244</c:v>
                </c:pt>
                <c:pt idx="753">
                  <c:v>39.300000000000246</c:v>
                </c:pt>
                <c:pt idx="754">
                  <c:v>39.400000000000247</c:v>
                </c:pt>
                <c:pt idx="755">
                  <c:v>39.500000000000249</c:v>
                </c:pt>
                <c:pt idx="756">
                  <c:v>39.60000000000025</c:v>
                </c:pt>
                <c:pt idx="757">
                  <c:v>39.700000000000252</c:v>
                </c:pt>
                <c:pt idx="758">
                  <c:v>39.800000000000253</c:v>
                </c:pt>
                <c:pt idx="759">
                  <c:v>39.900000000000254</c:v>
                </c:pt>
                <c:pt idx="760">
                  <c:v>40.000000000000256</c:v>
                </c:pt>
                <c:pt idx="761">
                  <c:v>40.100000000000257</c:v>
                </c:pt>
                <c:pt idx="762">
                  <c:v>40.200000000000259</c:v>
                </c:pt>
                <c:pt idx="763">
                  <c:v>40.30000000000026</c:v>
                </c:pt>
                <c:pt idx="764">
                  <c:v>40.400000000000261</c:v>
                </c:pt>
                <c:pt idx="765">
                  <c:v>40.500000000000263</c:v>
                </c:pt>
                <c:pt idx="766">
                  <c:v>40.600000000000264</c:v>
                </c:pt>
                <c:pt idx="767">
                  <c:v>40.700000000000266</c:v>
                </c:pt>
                <c:pt idx="768">
                  <c:v>40.800000000000267</c:v>
                </c:pt>
                <c:pt idx="769">
                  <c:v>40.900000000000269</c:v>
                </c:pt>
                <c:pt idx="770">
                  <c:v>41.00000000000027</c:v>
                </c:pt>
                <c:pt idx="771">
                  <c:v>41.100000000000271</c:v>
                </c:pt>
                <c:pt idx="772">
                  <c:v>41.200000000000273</c:v>
                </c:pt>
                <c:pt idx="773">
                  <c:v>41.300000000000274</c:v>
                </c:pt>
                <c:pt idx="774">
                  <c:v>41.400000000000276</c:v>
                </c:pt>
                <c:pt idx="775">
                  <c:v>41.500000000000277</c:v>
                </c:pt>
                <c:pt idx="776">
                  <c:v>41.600000000000279</c:v>
                </c:pt>
                <c:pt idx="777">
                  <c:v>41.70000000000028</c:v>
                </c:pt>
                <c:pt idx="778">
                  <c:v>41.800000000000281</c:v>
                </c:pt>
                <c:pt idx="779">
                  <c:v>41.900000000000283</c:v>
                </c:pt>
                <c:pt idx="780">
                  <c:v>42.000000000000284</c:v>
                </c:pt>
                <c:pt idx="781">
                  <c:v>42.100000000000286</c:v>
                </c:pt>
                <c:pt idx="782">
                  <c:v>42.200000000000287</c:v>
                </c:pt>
                <c:pt idx="783">
                  <c:v>42.300000000000288</c:v>
                </c:pt>
                <c:pt idx="784">
                  <c:v>42.40000000000029</c:v>
                </c:pt>
                <c:pt idx="785">
                  <c:v>42.500000000000291</c:v>
                </c:pt>
                <c:pt idx="786">
                  <c:v>42.600000000000293</c:v>
                </c:pt>
                <c:pt idx="787">
                  <c:v>42.700000000000294</c:v>
                </c:pt>
                <c:pt idx="788">
                  <c:v>42.800000000000296</c:v>
                </c:pt>
                <c:pt idx="789">
                  <c:v>42.900000000000297</c:v>
                </c:pt>
                <c:pt idx="790">
                  <c:v>43.000000000000298</c:v>
                </c:pt>
                <c:pt idx="791">
                  <c:v>43.1000000000003</c:v>
                </c:pt>
                <c:pt idx="792">
                  <c:v>43.200000000000301</c:v>
                </c:pt>
                <c:pt idx="793">
                  <c:v>43.300000000000303</c:v>
                </c:pt>
                <c:pt idx="794">
                  <c:v>43.400000000000304</c:v>
                </c:pt>
                <c:pt idx="795">
                  <c:v>43.500000000000306</c:v>
                </c:pt>
                <c:pt idx="796">
                  <c:v>43.600000000000307</c:v>
                </c:pt>
                <c:pt idx="797">
                  <c:v>43.700000000000308</c:v>
                </c:pt>
                <c:pt idx="798">
                  <c:v>43.80000000000031</c:v>
                </c:pt>
                <c:pt idx="799">
                  <c:v>43.900000000000311</c:v>
                </c:pt>
                <c:pt idx="800">
                  <c:v>44.000000000000313</c:v>
                </c:pt>
                <c:pt idx="801">
                  <c:v>44.100000000000314</c:v>
                </c:pt>
                <c:pt idx="802">
                  <c:v>44.200000000000315</c:v>
                </c:pt>
                <c:pt idx="803">
                  <c:v>44.300000000000317</c:v>
                </c:pt>
                <c:pt idx="804">
                  <c:v>44.400000000000318</c:v>
                </c:pt>
                <c:pt idx="805">
                  <c:v>44.50000000000032</c:v>
                </c:pt>
                <c:pt idx="806">
                  <c:v>44.600000000000321</c:v>
                </c:pt>
                <c:pt idx="807">
                  <c:v>44.600100000000324</c:v>
                </c:pt>
                <c:pt idx="808">
                  <c:v>44.600200000000328</c:v>
                </c:pt>
                <c:pt idx="809">
                  <c:v>44.600300000000331</c:v>
                </c:pt>
                <c:pt idx="810">
                  <c:v>44.600400000000334</c:v>
                </c:pt>
                <c:pt idx="811">
                  <c:v>44.600500000000338</c:v>
                </c:pt>
                <c:pt idx="812">
                  <c:v>44.600600000000341</c:v>
                </c:pt>
                <c:pt idx="813">
                  <c:v>44.600700000000344</c:v>
                </c:pt>
                <c:pt idx="814">
                  <c:v>44.600800000000348</c:v>
                </c:pt>
                <c:pt idx="815">
                  <c:v>44.600900000000351</c:v>
                </c:pt>
                <c:pt idx="816">
                  <c:v>44.601000000000354</c:v>
                </c:pt>
                <c:pt idx="817">
                  <c:v>44.601100000000358</c:v>
                </c:pt>
                <c:pt idx="818">
                  <c:v>44.601200000000361</c:v>
                </c:pt>
                <c:pt idx="819">
                  <c:v>44.601300000000364</c:v>
                </c:pt>
                <c:pt idx="820">
                  <c:v>44.601400000000368</c:v>
                </c:pt>
                <c:pt idx="821">
                  <c:v>44.601500000000371</c:v>
                </c:pt>
                <c:pt idx="822">
                  <c:v>44.601600000000374</c:v>
                </c:pt>
                <c:pt idx="823">
                  <c:v>44.601700000000378</c:v>
                </c:pt>
                <c:pt idx="824">
                  <c:v>44.601800000000381</c:v>
                </c:pt>
                <c:pt idx="825">
                  <c:v>44.601900000000384</c:v>
                </c:pt>
                <c:pt idx="826">
                  <c:v>44.602000000000388</c:v>
                </c:pt>
                <c:pt idx="827">
                  <c:v>44.602100000000391</c:v>
                </c:pt>
                <c:pt idx="828">
                  <c:v>44.602200000000394</c:v>
                </c:pt>
                <c:pt idx="829">
                  <c:v>44.602300000000398</c:v>
                </c:pt>
                <c:pt idx="830">
                  <c:v>44.602400000000401</c:v>
                </c:pt>
                <c:pt idx="831">
                  <c:v>44.602500000000404</c:v>
                </c:pt>
                <c:pt idx="832">
                  <c:v>44.602600000000407</c:v>
                </c:pt>
                <c:pt idx="833">
                  <c:v>44.602700000000411</c:v>
                </c:pt>
                <c:pt idx="834">
                  <c:v>44.602800000000414</c:v>
                </c:pt>
                <c:pt idx="835">
                  <c:v>44.602900000000417</c:v>
                </c:pt>
                <c:pt idx="836">
                  <c:v>44.603000000000421</c:v>
                </c:pt>
                <c:pt idx="837">
                  <c:v>44.603100000000424</c:v>
                </c:pt>
                <c:pt idx="838">
                  <c:v>44.603200000000427</c:v>
                </c:pt>
                <c:pt idx="839">
                  <c:v>44.603300000000431</c:v>
                </c:pt>
                <c:pt idx="840">
                  <c:v>44.603400000000434</c:v>
                </c:pt>
                <c:pt idx="841">
                  <c:v>44.603500000000437</c:v>
                </c:pt>
                <c:pt idx="842">
                  <c:v>44.603600000000441</c:v>
                </c:pt>
                <c:pt idx="843">
                  <c:v>44.603700000000444</c:v>
                </c:pt>
                <c:pt idx="844">
                  <c:v>44.603800000000447</c:v>
                </c:pt>
                <c:pt idx="845">
                  <c:v>44.603900000000451</c:v>
                </c:pt>
                <c:pt idx="846">
                  <c:v>44.604000000000454</c:v>
                </c:pt>
                <c:pt idx="847">
                  <c:v>44.604100000000457</c:v>
                </c:pt>
                <c:pt idx="848">
                  <c:v>44.604200000000461</c:v>
                </c:pt>
                <c:pt idx="849">
                  <c:v>44.604300000000464</c:v>
                </c:pt>
                <c:pt idx="850">
                  <c:v>44.604400000000467</c:v>
                </c:pt>
                <c:pt idx="851">
                  <c:v>44.604500000000471</c:v>
                </c:pt>
                <c:pt idx="852">
                  <c:v>44.604600000000474</c:v>
                </c:pt>
                <c:pt idx="853">
                  <c:v>44.604700000000477</c:v>
                </c:pt>
                <c:pt idx="854">
                  <c:v>44.604800000000481</c:v>
                </c:pt>
                <c:pt idx="855">
                  <c:v>44.604900000000484</c:v>
                </c:pt>
                <c:pt idx="856">
                  <c:v>44.605000000000487</c:v>
                </c:pt>
                <c:pt idx="857">
                  <c:v>44.60510000000049</c:v>
                </c:pt>
                <c:pt idx="858">
                  <c:v>44.605200000000494</c:v>
                </c:pt>
                <c:pt idx="859">
                  <c:v>44.605300000000497</c:v>
                </c:pt>
                <c:pt idx="860">
                  <c:v>44.6054000000005</c:v>
                </c:pt>
                <c:pt idx="861">
                  <c:v>44.605500000000504</c:v>
                </c:pt>
                <c:pt idx="862">
                  <c:v>44.605600000000507</c:v>
                </c:pt>
                <c:pt idx="863">
                  <c:v>44.60570000000051</c:v>
                </c:pt>
                <c:pt idx="864">
                  <c:v>44.605800000000514</c:v>
                </c:pt>
                <c:pt idx="865">
                  <c:v>44.605900000000517</c:v>
                </c:pt>
                <c:pt idx="866">
                  <c:v>44.60600000000052</c:v>
                </c:pt>
                <c:pt idx="867">
                  <c:v>44.606100000000524</c:v>
                </c:pt>
                <c:pt idx="868">
                  <c:v>44.606200000000527</c:v>
                </c:pt>
                <c:pt idx="869">
                  <c:v>44.60630000000053</c:v>
                </c:pt>
                <c:pt idx="870">
                  <c:v>44.606400000000534</c:v>
                </c:pt>
                <c:pt idx="871">
                  <c:v>44.606500000000537</c:v>
                </c:pt>
                <c:pt idx="872">
                  <c:v>44.60660000000054</c:v>
                </c:pt>
                <c:pt idx="873">
                  <c:v>44.606700000000544</c:v>
                </c:pt>
                <c:pt idx="874">
                  <c:v>44.606800000000547</c:v>
                </c:pt>
                <c:pt idx="875">
                  <c:v>44.60690000000055</c:v>
                </c:pt>
                <c:pt idx="876">
                  <c:v>44.607000000000554</c:v>
                </c:pt>
                <c:pt idx="877">
                  <c:v>44.607100000000557</c:v>
                </c:pt>
                <c:pt idx="878">
                  <c:v>44.60720000000056</c:v>
                </c:pt>
                <c:pt idx="879">
                  <c:v>44.607300000000564</c:v>
                </c:pt>
                <c:pt idx="880">
                  <c:v>44.607400000000567</c:v>
                </c:pt>
                <c:pt idx="881">
                  <c:v>44.60750000000057</c:v>
                </c:pt>
                <c:pt idx="882">
                  <c:v>44.607600000000573</c:v>
                </c:pt>
                <c:pt idx="883">
                  <c:v>44.607700000000577</c:v>
                </c:pt>
                <c:pt idx="884">
                  <c:v>44.60780000000058</c:v>
                </c:pt>
                <c:pt idx="885">
                  <c:v>44.607900000000583</c:v>
                </c:pt>
                <c:pt idx="886">
                  <c:v>44.608000000000587</c:v>
                </c:pt>
                <c:pt idx="887">
                  <c:v>44.60810000000059</c:v>
                </c:pt>
                <c:pt idx="888">
                  <c:v>44.608200000000593</c:v>
                </c:pt>
                <c:pt idx="889">
                  <c:v>44.608300000000597</c:v>
                </c:pt>
                <c:pt idx="890">
                  <c:v>44.6084000000006</c:v>
                </c:pt>
                <c:pt idx="891">
                  <c:v>44.608500000000603</c:v>
                </c:pt>
                <c:pt idx="892">
                  <c:v>44.608600000000607</c:v>
                </c:pt>
                <c:pt idx="893">
                  <c:v>44.60870000000061</c:v>
                </c:pt>
                <c:pt idx="894">
                  <c:v>44.608800000000613</c:v>
                </c:pt>
                <c:pt idx="895">
                  <c:v>44.608900000000617</c:v>
                </c:pt>
                <c:pt idx="896">
                  <c:v>44.60900000000062</c:v>
                </c:pt>
                <c:pt idx="897">
                  <c:v>44.609100000000623</c:v>
                </c:pt>
                <c:pt idx="898">
                  <c:v>44.609200000000627</c:v>
                </c:pt>
                <c:pt idx="899">
                  <c:v>44.60930000000063</c:v>
                </c:pt>
                <c:pt idx="900">
                  <c:v>44.609400000000633</c:v>
                </c:pt>
                <c:pt idx="901">
                  <c:v>44.609500000000637</c:v>
                </c:pt>
                <c:pt idx="902">
                  <c:v>44.60960000000064</c:v>
                </c:pt>
                <c:pt idx="903">
                  <c:v>44.609700000000643</c:v>
                </c:pt>
                <c:pt idx="904">
                  <c:v>44.609800000000646</c:v>
                </c:pt>
                <c:pt idx="905">
                  <c:v>44.60990000000065</c:v>
                </c:pt>
                <c:pt idx="906">
                  <c:v>44.610000000000653</c:v>
                </c:pt>
                <c:pt idx="907">
                  <c:v>44.610100000000656</c:v>
                </c:pt>
                <c:pt idx="908">
                  <c:v>44.61020000000066</c:v>
                </c:pt>
                <c:pt idx="909">
                  <c:v>44.610300000000663</c:v>
                </c:pt>
                <c:pt idx="910">
                  <c:v>44.610400000000666</c:v>
                </c:pt>
                <c:pt idx="911">
                  <c:v>44.61050000000067</c:v>
                </c:pt>
                <c:pt idx="912">
                  <c:v>44.610600000000673</c:v>
                </c:pt>
                <c:pt idx="913">
                  <c:v>44.610700000000676</c:v>
                </c:pt>
                <c:pt idx="914">
                  <c:v>44.61080000000068</c:v>
                </c:pt>
                <c:pt idx="915">
                  <c:v>44.610900000000683</c:v>
                </c:pt>
                <c:pt idx="916">
                  <c:v>44.611000000000686</c:v>
                </c:pt>
                <c:pt idx="917">
                  <c:v>44.61110000000069</c:v>
                </c:pt>
                <c:pt idx="918">
                  <c:v>44.611200000000693</c:v>
                </c:pt>
                <c:pt idx="919">
                  <c:v>44.611300000000696</c:v>
                </c:pt>
                <c:pt idx="920">
                  <c:v>44.6114000000007</c:v>
                </c:pt>
                <c:pt idx="921">
                  <c:v>44.611500000000703</c:v>
                </c:pt>
                <c:pt idx="922">
                  <c:v>44.611600000000706</c:v>
                </c:pt>
                <c:pt idx="923">
                  <c:v>44.61170000000071</c:v>
                </c:pt>
                <c:pt idx="924">
                  <c:v>44.611800000000713</c:v>
                </c:pt>
                <c:pt idx="925">
                  <c:v>44.611900000000716</c:v>
                </c:pt>
                <c:pt idx="926">
                  <c:v>44.61200000000072</c:v>
                </c:pt>
                <c:pt idx="927">
                  <c:v>44.612100000000723</c:v>
                </c:pt>
                <c:pt idx="928">
                  <c:v>44.612200000000726</c:v>
                </c:pt>
                <c:pt idx="929">
                  <c:v>44.612300000000729</c:v>
                </c:pt>
                <c:pt idx="930">
                  <c:v>44.612400000000733</c:v>
                </c:pt>
                <c:pt idx="931">
                  <c:v>44.612500000000736</c:v>
                </c:pt>
                <c:pt idx="932">
                  <c:v>44.612600000000739</c:v>
                </c:pt>
                <c:pt idx="933">
                  <c:v>44.612700000000743</c:v>
                </c:pt>
                <c:pt idx="934">
                  <c:v>44.612800000000746</c:v>
                </c:pt>
                <c:pt idx="935">
                  <c:v>44.612900000000749</c:v>
                </c:pt>
                <c:pt idx="936">
                  <c:v>44.613000000000753</c:v>
                </c:pt>
                <c:pt idx="937">
                  <c:v>44.613100000000756</c:v>
                </c:pt>
                <c:pt idx="938">
                  <c:v>44.613200000000759</c:v>
                </c:pt>
                <c:pt idx="939">
                  <c:v>44.613300000000763</c:v>
                </c:pt>
                <c:pt idx="940">
                  <c:v>44.613400000000766</c:v>
                </c:pt>
                <c:pt idx="941">
                  <c:v>44.613500000000769</c:v>
                </c:pt>
                <c:pt idx="942">
                  <c:v>44.613600000000773</c:v>
                </c:pt>
                <c:pt idx="943">
                  <c:v>44.613700000000776</c:v>
                </c:pt>
                <c:pt idx="944">
                  <c:v>44.613800000000779</c:v>
                </c:pt>
                <c:pt idx="945">
                  <c:v>44.613900000000783</c:v>
                </c:pt>
                <c:pt idx="946">
                  <c:v>44.614000000000786</c:v>
                </c:pt>
                <c:pt idx="947">
                  <c:v>44.614100000000789</c:v>
                </c:pt>
                <c:pt idx="948">
                  <c:v>44.614200000000793</c:v>
                </c:pt>
                <c:pt idx="949">
                  <c:v>44.614300000000796</c:v>
                </c:pt>
                <c:pt idx="950">
                  <c:v>44.614400000000799</c:v>
                </c:pt>
                <c:pt idx="951">
                  <c:v>44.614500000000803</c:v>
                </c:pt>
                <c:pt idx="952">
                  <c:v>44.614600000000806</c:v>
                </c:pt>
                <c:pt idx="953">
                  <c:v>44.614700000000809</c:v>
                </c:pt>
                <c:pt idx="954">
                  <c:v>44.614800000000812</c:v>
                </c:pt>
                <c:pt idx="955">
                  <c:v>44.614900000000816</c:v>
                </c:pt>
                <c:pt idx="956">
                  <c:v>44.615000000000819</c:v>
                </c:pt>
                <c:pt idx="957">
                  <c:v>44.615100000000822</c:v>
                </c:pt>
                <c:pt idx="958">
                  <c:v>44.615200000000826</c:v>
                </c:pt>
                <c:pt idx="959">
                  <c:v>44.615300000000829</c:v>
                </c:pt>
                <c:pt idx="960">
                  <c:v>44.615400000000832</c:v>
                </c:pt>
                <c:pt idx="961">
                  <c:v>44.615500000000836</c:v>
                </c:pt>
                <c:pt idx="962">
                  <c:v>44.615600000000839</c:v>
                </c:pt>
                <c:pt idx="963">
                  <c:v>44.615700000000842</c:v>
                </c:pt>
                <c:pt idx="964">
                  <c:v>44.615800000000846</c:v>
                </c:pt>
                <c:pt idx="965">
                  <c:v>44.615900000000849</c:v>
                </c:pt>
                <c:pt idx="966">
                  <c:v>44.616000000000852</c:v>
                </c:pt>
                <c:pt idx="967">
                  <c:v>44.616100000000856</c:v>
                </c:pt>
                <c:pt idx="968">
                  <c:v>44.616200000000859</c:v>
                </c:pt>
                <c:pt idx="969">
                  <c:v>44.616300000000862</c:v>
                </c:pt>
                <c:pt idx="970">
                  <c:v>44.616400000000866</c:v>
                </c:pt>
                <c:pt idx="971">
                  <c:v>44.616500000000869</c:v>
                </c:pt>
                <c:pt idx="972">
                  <c:v>44.616600000000872</c:v>
                </c:pt>
                <c:pt idx="973">
                  <c:v>44.616700000000876</c:v>
                </c:pt>
                <c:pt idx="974">
                  <c:v>44.616800000000879</c:v>
                </c:pt>
                <c:pt idx="975">
                  <c:v>44.616900000000882</c:v>
                </c:pt>
                <c:pt idx="976">
                  <c:v>44.617000000000886</c:v>
                </c:pt>
                <c:pt idx="977">
                  <c:v>44.617100000000889</c:v>
                </c:pt>
                <c:pt idx="978">
                  <c:v>44.617200000000892</c:v>
                </c:pt>
                <c:pt idx="979">
                  <c:v>44.617300000000895</c:v>
                </c:pt>
                <c:pt idx="980">
                  <c:v>44.617400000000899</c:v>
                </c:pt>
                <c:pt idx="981">
                  <c:v>44.617500000000902</c:v>
                </c:pt>
                <c:pt idx="982">
                  <c:v>44.617600000000905</c:v>
                </c:pt>
                <c:pt idx="983">
                  <c:v>44.617700000000909</c:v>
                </c:pt>
                <c:pt idx="984">
                  <c:v>44.617800000000912</c:v>
                </c:pt>
                <c:pt idx="985">
                  <c:v>44.617900000000915</c:v>
                </c:pt>
                <c:pt idx="986">
                  <c:v>44.618000000000919</c:v>
                </c:pt>
                <c:pt idx="987">
                  <c:v>44.618100000000922</c:v>
                </c:pt>
                <c:pt idx="988">
                  <c:v>44.618200000000925</c:v>
                </c:pt>
                <c:pt idx="989">
                  <c:v>44.618300000000929</c:v>
                </c:pt>
                <c:pt idx="990">
                  <c:v>44.618400000000932</c:v>
                </c:pt>
                <c:pt idx="991">
                  <c:v>44.618500000000935</c:v>
                </c:pt>
                <c:pt idx="992">
                  <c:v>44.618600000000939</c:v>
                </c:pt>
                <c:pt idx="993">
                  <c:v>44.618700000000942</c:v>
                </c:pt>
                <c:pt idx="994">
                  <c:v>44.618800000000945</c:v>
                </c:pt>
                <c:pt idx="995">
                  <c:v>44.618900000000949</c:v>
                </c:pt>
                <c:pt idx="996">
                  <c:v>44.619000000000952</c:v>
                </c:pt>
                <c:pt idx="997">
                  <c:v>44.619100000000955</c:v>
                </c:pt>
                <c:pt idx="998">
                  <c:v>44.619200000000959</c:v>
                </c:pt>
                <c:pt idx="999">
                  <c:v>44.619300000000962</c:v>
                </c:pt>
                <c:pt idx="1000">
                  <c:v>44.619400000000965</c:v>
                </c:pt>
              </c:numCache>
            </c:numRef>
          </c:xVal>
          <c:yVal>
            <c:numRef>
              <c:f>Calculs!$J$4:$J$1004</c:f>
              <c:numCache>
                <c:formatCode>0.00</c:formatCode>
                <c:ptCount val="1001"/>
                <c:pt idx="0">
                  <c:v>0</c:v>
                </c:pt>
                <c:pt idx="1">
                  <c:v>0.17363767227451923</c:v>
                </c:pt>
                <c:pt idx="2">
                  <c:v>0.34750797462468086</c:v>
                </c:pt>
                <c:pt idx="3">
                  <c:v>0.52211807299830937</c:v>
                </c:pt>
                <c:pt idx="4">
                  <c:v>0.69797501089247393</c:v>
                </c:pt>
                <c:pt idx="5">
                  <c:v>0.87566986072227493</c:v>
                </c:pt>
                <c:pt idx="6">
                  <c:v>1.0556664482660607</c:v>
                </c:pt>
                <c:pt idx="7">
                  <c:v>1.238088610732125</c:v>
                </c:pt>
                <c:pt idx="8">
                  <c:v>1.4229314391374186</c:v>
                </c:pt>
                <c:pt idx="9">
                  <c:v>1.6101899453699768</c:v>
                </c:pt>
                <c:pt idx="10">
                  <c:v>1.7998590633320544</c:v>
                </c:pt>
                <c:pt idx="11">
                  <c:v>1.9919336500561797</c:v>
                </c:pt>
                <c:pt idx="12">
                  <c:v>2.1864084867956048</c:v>
                </c:pt>
                <c:pt idx="13">
                  <c:v>2.3832782800905279</c:v>
                </c:pt>
                <c:pt idx="14">
                  <c:v>2.5825376628113803</c:v>
                </c:pt>
                <c:pt idx="15">
                  <c:v>2.7841811951803823</c:v>
                </c:pt>
                <c:pt idx="16">
                  <c:v>2.9882033657724976</c:v>
                </c:pt>
                <c:pt idx="17">
                  <c:v>3.1945985924968436</c:v>
                </c:pt>
                <c:pt idx="18">
                  <c:v>3.4033612235595543</c:v>
                </c:pt>
                <c:pt idx="19">
                  <c:v>3.6144855384090158</c:v>
                </c:pt>
                <c:pt idx="20">
                  <c:v>3.8279657486643588</c:v>
                </c:pt>
                <c:pt idx="21">
                  <c:v>4.0437959990280188</c:v>
                </c:pt>
                <c:pt idx="22">
                  <c:v>4.261970368183138</c:v>
                </c:pt>
                <c:pt idx="23">
                  <c:v>4.4824828696765273</c:v>
                </c:pt>
                <c:pt idx="24">
                  <c:v>4.7053274527878735</c:v>
                </c:pt>
                <c:pt idx="25">
                  <c:v>4.9304980033858259</c:v>
                </c:pt>
                <c:pt idx="26">
                  <c:v>5.1579883447715664</c:v>
                </c:pt>
                <c:pt idx="27">
                  <c:v>5.3877922385104231</c:v>
                </c:pt>
                <c:pt idx="28">
                  <c:v>5.6199033852520675</c:v>
                </c:pt>
                <c:pt idx="29">
                  <c:v>5.8543154255397898</c:v>
                </c:pt>
                <c:pt idx="30">
                  <c:v>6.0910219406093251</c:v>
                </c:pt>
                <c:pt idx="31">
                  <c:v>6.3300164531776772</c:v>
                </c:pt>
                <c:pt idx="32">
                  <c:v>6.5712924282223559</c:v>
                </c:pt>
                <c:pt idx="33">
                  <c:v>6.8148432737514257</c:v>
                </c:pt>
                <c:pt idx="34">
                  <c:v>7.0606623415647292</c:v>
                </c:pt>
                <c:pt idx="35">
                  <c:v>7.3087429280066472</c:v>
                </c:pt>
                <c:pt idx="36">
                  <c:v>7.5590782747107177</c:v>
                </c:pt>
                <c:pt idx="37">
                  <c:v>7.8116615693364233</c:v>
                </c:pt>
                <c:pt idx="38">
                  <c:v>8.0664859462984495</c:v>
                </c:pt>
                <c:pt idx="39">
                  <c:v>8.3235444874886806</c:v>
                </c:pt>
                <c:pt idx="40">
                  <c:v>8.5828302229911984</c:v>
                </c:pt>
                <c:pt idx="41">
                  <c:v>8.8443361317905325</c:v>
                </c:pt>
                <c:pt idx="42">
                  <c:v>9.1080551424733844</c:v>
                </c:pt>
                <c:pt idx="43">
                  <c:v>9.3739801339240572</c:v>
                </c:pt>
                <c:pt idx="44">
                  <c:v>9.6421039360137808</c:v>
                </c:pt>
                <c:pt idx="45">
                  <c:v>9.9124193302841448</c:v>
                </c:pt>
                <c:pt idx="46">
                  <c:v>10.184919050624799</c:v>
                </c:pt>
                <c:pt idx="47">
                  <c:v>10.45959578394562</c:v>
                </c:pt>
                <c:pt idx="48">
                  <c:v>10.736442170843484</c:v>
                </c:pt>
                <c:pt idx="49">
                  <c:v>11.015450806263809</c:v>
                </c:pt>
                <c:pt idx="50">
                  <c:v>11.296614240157009</c:v>
                </c:pt>
                <c:pt idx="51">
                  <c:v>11.579925686528231</c:v>
                </c:pt>
                <c:pt idx="52">
                  <c:v>11.865379734213658</c:v>
                </c:pt>
                <c:pt idx="53">
                  <c:v>12.152971640701326</c:v>
                </c:pt>
                <c:pt idx="54">
                  <c:v>12.442696624121892</c:v>
                </c:pt>
                <c:pt idx="55">
                  <c:v>12.734549863694301</c:v>
                </c:pt>
                <c:pt idx="56">
                  <c:v>13.028526500168926</c:v>
                </c:pt>
                <c:pt idx="57">
                  <c:v>13.32462163626824</c:v>
                </c:pt>
                <c:pt idx="58">
                  <c:v>13.622830337125105</c:v>
                </c:pt>
                <c:pt idx="59">
                  <c:v>13.923147630718729</c:v>
                </c:pt>
                <c:pt idx="60">
                  <c:v>14.22556850830836</c:v>
                </c:pt>
                <c:pt idx="61">
                  <c:v>14.530087924864777</c:v>
                </c:pt>
                <c:pt idx="62">
                  <c:v>14.836700799499621</c:v>
                </c:pt>
                <c:pt idx="63">
                  <c:v>15.14540201589263</c:v>
                </c:pt>
                <c:pt idx="64">
                  <c:v>15.456186422716817</c:v>
                </c:pt>
                <c:pt idx="65">
                  <c:v>15.769048834061634</c:v>
                </c:pt>
                <c:pt idx="66">
                  <c:v>16.083984029854175</c:v>
                </c:pt>
                <c:pt idx="67">
                  <c:v>16.400986756278453</c:v>
                </c:pt>
                <c:pt idx="68">
                  <c:v>16.720051726192775</c:v>
                </c:pt>
                <c:pt idx="69">
                  <c:v>17.041173619545258</c:v>
                </c:pt>
                <c:pt idx="70">
                  <c:v>17.364347083787539</c:v>
                </c:pt>
                <c:pt idx="71">
                  <c:v>17.689566734286664</c:v>
                </c:pt>
                <c:pt idx="72">
                  <c:v>18.016827154735221</c:v>
                </c:pt>
                <c:pt idx="73">
                  <c:v>18.346122897559727</c:v>
                </c:pt>
                <c:pt idx="74">
                  <c:v>18.677448484327289</c:v>
                </c:pt>
                <c:pt idx="75">
                  <c:v>19.010798406150574</c:v>
                </c:pt>
                <c:pt idx="76">
                  <c:v>19.346167124091096</c:v>
                </c:pt>
                <c:pt idx="77">
                  <c:v>19.68354906956084</c:v>
                </c:pt>
                <c:pt idx="78">
                  <c:v>20.022938644722238</c:v>
                </c:pt>
                <c:pt idx="79">
                  <c:v>20.364330222886522</c:v>
                </c:pt>
                <c:pt idx="80">
                  <c:v>20.707718148910455</c:v>
                </c:pt>
                <c:pt idx="81">
                  <c:v>21.053096739591464</c:v>
                </c:pt>
                <c:pt idx="82">
                  <c:v>21.400460284061165</c:v>
                </c:pt>
                <c:pt idx="83">
                  <c:v>21.749803044177316</c:v>
                </c:pt>
                <c:pt idx="84">
                  <c:v>22.101119254914185</c:v>
                </c:pt>
                <c:pt idx="85">
                  <c:v>22.454403124751359</c:v>
                </c:pt>
                <c:pt idx="86">
                  <c:v>22.809648836060976</c:v>
                </c:pt>
                <c:pt idx="87">
                  <c:v>23.166850545493404</c:v>
                </c:pt>
                <c:pt idx="88">
                  <c:v>23.526002384361362</c:v>
                </c:pt>
                <c:pt idx="89">
                  <c:v>23.887098459022507</c:v>
                </c:pt>
                <c:pt idx="90">
                  <c:v>24.250132851260435</c:v>
                </c:pt>
                <c:pt idx="91">
                  <c:v>24.615099618664175</c:v>
                </c:pt>
                <c:pt idx="92">
                  <c:v>24.9819927950061</c:v>
                </c:pt>
                <c:pt idx="93">
                  <c:v>25.350806390618306</c:v>
                </c:pt>
                <c:pt idx="94">
                  <c:v>25.721534392767445</c:v>
                </c:pt>
                <c:pt idx="95">
                  <c:v>26.094170766028</c:v>
                </c:pt>
                <c:pt idx="96">
                  <c:v>26.468709452654</c:v>
                </c:pt>
                <c:pt idx="97">
                  <c:v>26.845144372949193</c:v>
                </c:pt>
                <c:pt idx="98">
                  <c:v>27.223469425635649</c:v>
                </c:pt>
                <c:pt idx="99">
                  <c:v>27.603678488220805</c:v>
                </c:pt>
                <c:pt idx="100">
                  <c:v>27.985765417362938</c:v>
                </c:pt>
                <c:pt idx="101">
                  <c:v>28.369723710115395</c:v>
                </c:pt>
                <c:pt idx="102">
                  <c:v>28.755546164787916</c:v>
                </c:pt>
                <c:pt idx="103">
                  <c:v>29.143225220440371</c:v>
                </c:pt>
                <c:pt idx="104">
                  <c:v>29.532753296791054</c:v>
                </c:pt>
                <c:pt idx="105">
                  <c:v>29.924122794643459</c:v>
                </c:pt>
                <c:pt idx="106">
                  <c:v>30.317326096310719</c:v>
                </c:pt>
                <c:pt idx="107">
                  <c:v>30.712355566037701</c:v>
                </c:pt>
                <c:pt idx="108">
                  <c:v>31.109203550420748</c:v>
                </c:pt>
                <c:pt idx="109">
                  <c:v>31.507862378825077</c:v>
                </c:pt>
                <c:pt idx="110">
                  <c:v>31.908324363799789</c:v>
                </c:pt>
                <c:pt idx="111">
                  <c:v>32.310581801490521</c:v>
                </c:pt>
                <c:pt idx="112">
                  <c:v>32.714626972049693</c:v>
                </c:pt>
                <c:pt idx="113">
                  <c:v>33.120452140044378</c:v>
                </c:pt>
                <c:pt idx="114">
                  <c:v>33.528049554861767</c:v>
                </c:pt>
                <c:pt idx="115">
                  <c:v>33.937411451112197</c:v>
                </c:pt>
                <c:pt idx="116">
                  <c:v>34.34853004902979</c:v>
                </c:pt>
                <c:pt idx="117">
                  <c:v>34.761397554870612</c:v>
                </c:pt>
                <c:pt idx="118">
                  <c:v>35.17600616130845</c:v>
                </c:pt>
                <c:pt idx="119">
                  <c:v>35.592348047828068</c:v>
                </c:pt>
                <c:pt idx="120">
                  <c:v>36.010415381116061</c:v>
                </c:pt>
                <c:pt idx="121">
                  <c:v>36.430200315449184</c:v>
                </c:pt>
                <c:pt idx="122">
                  <c:v>36.851694993080251</c:v>
                </c:pt>
                <c:pt idx="123">
                  <c:v>37.274891544621482</c:v>
                </c:pt>
                <c:pt idx="124">
                  <c:v>37.699782089425398</c:v>
                </c:pt>
                <c:pt idx="125">
                  <c:v>38.126358735963187</c:v>
                </c:pt>
                <c:pt idx="126">
                  <c:v>38.554613582200531</c:v>
                </c:pt>
                <c:pt idx="127">
                  <c:v>38.984538715970928</c:v>
                </c:pt>
                <c:pt idx="128">
                  <c:v>39.416126215346466</c:v>
                </c:pt>
                <c:pt idx="129">
                  <c:v>39.849368149006033</c:v>
                </c:pt>
                <c:pt idx="130">
                  <c:v>40.284256576600995</c:v>
                </c:pt>
                <c:pt idx="131">
                  <c:v>40.720783549118281</c:v>
                </c:pt>
                <c:pt idx="132">
                  <c:v>41.158941109240907</c:v>
                </c:pt>
                <c:pt idx="133">
                  <c:v>41.598721291705907</c:v>
                </c:pt>
                <c:pt idx="134">
                  <c:v>42.040116123659686</c:v>
                </c:pt>
                <c:pt idx="135">
                  <c:v>42.483117625010742</c:v>
                </c:pt>
                <c:pt idx="136">
                  <c:v>42.927717808779811</c:v>
                </c:pt>
                <c:pt idx="137">
                  <c:v>43.373908681447375</c:v>
                </c:pt>
                <c:pt idx="138">
                  <c:v>43.821682243298554</c:v>
                </c:pt>
                <c:pt idx="139">
                  <c:v>44.271030488765355</c:v>
                </c:pt>
                <c:pt idx="140">
                  <c:v>44.721945406766302</c:v>
                </c:pt>
                <c:pt idx="141">
                  <c:v>45.174418981043388</c:v>
                </c:pt>
                <c:pt idx="142">
                  <c:v>45.628443190496405</c:v>
                </c:pt>
                <c:pt idx="143">
                  <c:v>46.0840100095146</c:v>
                </c:pt>
                <c:pt idx="144">
                  <c:v>46.54111140830566</c:v>
                </c:pt>
                <c:pt idx="145">
                  <c:v>46.999739353222047</c:v>
                </c:pt>
                <c:pt idx="146">
                  <c:v>47.459885807084618</c:v>
                </c:pt>
                <c:pt idx="147">
                  <c:v>47.921542729503599</c:v>
                </c:pt>
                <c:pt idx="148">
                  <c:v>48.384702077196849</c:v>
                </c:pt>
                <c:pt idx="149">
                  <c:v>48.849355804305453</c:v>
                </c:pt>
                <c:pt idx="150">
                  <c:v>49.315495862706584</c:v>
                </c:pt>
                <c:pt idx="151">
                  <c:v>49.783114321405073</c:v>
                </c:pt>
                <c:pt idx="152">
                  <c:v>50.252203485927815</c:v>
                </c:pt>
                <c:pt idx="153">
                  <c:v>50.722755779318007</c:v>
                </c:pt>
                <c:pt idx="154">
                  <c:v>51.194763623112067</c:v>
                </c:pt>
                <c:pt idx="155">
                  <c:v>51.668219437620969</c:v>
                </c:pt>
                <c:pt idx="156">
                  <c:v>52.143115642209175</c:v>
                </c:pt>
                <c:pt idx="157">
                  <c:v>52.619444655571058</c:v>
                </c:pt>
                <c:pt idx="158">
                  <c:v>53.097198896004926</c:v>
                </c:pt>
                <c:pt idx="159">
                  <c:v>53.576370781684517</c:v>
                </c:pt>
                <c:pt idx="160">
                  <c:v>54.056952730928096</c:v>
                </c:pt>
                <c:pt idx="161">
                  <c:v>54.538937162465047</c:v>
                </c:pt>
                <c:pt idx="162">
                  <c:v>55.022316495700025</c:v>
                </c:pt>
                <c:pt idx="163">
                  <c:v>55.507083150974616</c:v>
                </c:pt>
                <c:pt idx="164">
                  <c:v>55.993229549826559</c:v>
                </c:pt>
                <c:pt idx="165">
                  <c:v>56.480748115246463</c:v>
                </c:pt>
                <c:pt idx="166">
                  <c:v>56.969631271932073</c:v>
                </c:pt>
                <c:pt idx="167">
                  <c:v>57.459871446540085</c:v>
                </c:pt>
                <c:pt idx="168">
                  <c:v>57.951461067935448</c:v>
                </c:pt>
                <c:pt idx="169">
                  <c:v>58.444392567438229</c:v>
                </c:pt>
                <c:pt idx="170">
                  <c:v>58.938658379068002</c:v>
                </c:pt>
                <c:pt idx="171">
                  <c:v>59.434250939785741</c:v>
                </c:pt>
                <c:pt idx="172">
                  <c:v>59.931162689733306</c:v>
                </c:pt>
                <c:pt idx="173">
                  <c:v>60.429386072470379</c:v>
                </c:pt>
                <c:pt idx="174">
                  <c:v>60.928913535209006</c:v>
                </c:pt>
                <c:pt idx="175">
                  <c:v>61.429737529045646</c:v>
                </c:pt>
                <c:pt idx="176">
                  <c:v>61.931850509190745</c:v>
                </c:pt>
                <c:pt idx="177">
                  <c:v>62.435244935195882</c:v>
                </c:pt>
                <c:pt idx="178">
                  <c:v>62.939913271178426</c:v>
                </c:pt>
                <c:pt idx="179">
                  <c:v>63.445847986043759</c:v>
                </c:pt>
                <c:pt idx="180">
                  <c:v>63.953041553705049</c:v>
                </c:pt>
                <c:pt idx="181">
                  <c:v>64.461486453300552</c:v>
                </c:pt>
                <c:pt idx="182">
                  <c:v>64.971175169408511</c:v>
                </c:pt>
                <c:pt idx="183">
                  <c:v>65.482100192259537</c:v>
                </c:pt>
                <c:pt idx="184">
                  <c:v>65.994254017946659</c:v>
                </c:pt>
                <c:pt idx="185">
                  <c:v>66.507629148632844</c:v>
                </c:pt>
                <c:pt idx="186">
                  <c:v>67.022218092756162</c:v>
                </c:pt>
                <c:pt idx="187">
                  <c:v>67.538013365232459</c:v>
                </c:pt>
                <c:pt idx="188">
                  <c:v>68.055007487655672</c:v>
                </c:pt>
                <c:pt idx="189">
                  <c:v>68.573192988495705</c:v>
                </c:pt>
                <c:pt idx="190">
                  <c:v>69.092562403293883</c:v>
                </c:pt>
                <c:pt idx="191">
                  <c:v>69.613108274856017</c:v>
                </c:pt>
                <c:pt idx="192">
                  <c:v>70.134823153443079</c:v>
                </c:pt>
                <c:pt idx="193">
                  <c:v>70.657699596959461</c:v>
                </c:pt>
                <c:pt idx="194">
                  <c:v>71.181730171138895</c:v>
                </c:pt>
                <c:pt idx="195">
                  <c:v>71.706907449727922</c:v>
                </c:pt>
                <c:pt idx="196">
                  <c:v>72.233224014667073</c:v>
                </c:pt>
                <c:pt idx="197">
                  <c:v>72.760672456269631</c:v>
                </c:pt>
                <c:pt idx="198">
                  <c:v>73.289245373398018</c:v>
                </c:pt>
                <c:pt idx="199">
                  <c:v>73.818935373637913</c:v>
                </c:pt>
                <c:pt idx="200">
                  <c:v>74.349735073469944</c:v>
                </c:pt>
                <c:pt idx="201">
                  <c:v>74.881637098439072</c:v>
                </c:pt>
                <c:pt idx="202">
                  <c:v>75.414634083321658</c:v>
                </c:pt>
                <c:pt idx="203">
                  <c:v>75.948718672290212</c:v>
                </c:pt>
                <c:pt idx="204">
                  <c:v>76.483883519075803</c:v>
                </c:pt>
                <c:pt idx="205">
                  <c:v>77.020121287128205</c:v>
                </c:pt>
                <c:pt idx="206">
                  <c:v>77.557424649773736</c:v>
                </c:pt>
                <c:pt idx="207">
                  <c:v>78.095786290370754</c:v>
                </c:pt>
                <c:pt idx="208">
                  <c:v>78.635198902462989</c:v>
                </c:pt>
                <c:pt idx="209">
                  <c:v>79.175655189930495</c:v>
                </c:pt>
                <c:pt idx="210">
                  <c:v>79.717147867138436</c:v>
                </c:pt>
                <c:pt idx="211">
                  <c:v>80.259669659083556</c:v>
                </c:pt>
                <c:pt idx="212">
                  <c:v>80.803213301538435</c:v>
                </c:pt>
                <c:pt idx="213">
                  <c:v>81.347771541193509</c:v>
                </c:pt>
                <c:pt idx="214">
                  <c:v>81.893337135796926</c:v>
                </c:pt>
                <c:pt idx="215">
                  <c:v>82.439902854292072</c:v>
                </c:pt>
                <c:pt idx="216">
                  <c:v>82.987461476953044</c:v>
                </c:pt>
                <c:pt idx="217">
                  <c:v>83.536005795517795</c:v>
                </c:pt>
                <c:pt idx="218">
                  <c:v>84.085528613319227</c:v>
                </c:pt>
                <c:pt idx="219">
                  <c:v>84.636022745413996</c:v>
                </c:pt>
                <c:pt idx="220">
                  <c:v>85.187481018709278</c:v>
                </c:pt>
                <c:pt idx="221">
                  <c:v>85.739896272087307</c:v>
                </c:pt>
                <c:pt idx="222">
                  <c:v>86.293261356527793</c:v>
                </c:pt>
                <c:pt idx="223">
                  <c:v>86.847569135228255</c:v>
                </c:pt>
                <c:pt idx="224">
                  <c:v>87.402812483722201</c:v>
                </c:pt>
                <c:pt idx="225">
                  <c:v>87.958984289995215</c:v>
                </c:pt>
                <c:pt idx="226">
                  <c:v>88.516077454598971</c:v>
                </c:pt>
                <c:pt idx="227">
                  <c:v>89.074084890763174</c:v>
                </c:pt>
                <c:pt idx="228">
                  <c:v>89.632999524505408</c:v>
                </c:pt>
                <c:pt idx="229">
                  <c:v>90.192814294738923</c:v>
                </c:pt>
                <c:pt idx="230">
                  <c:v>90.753522153378455</c:v>
                </c:pt>
                <c:pt idx="231">
                  <c:v>91.315116065443917</c:v>
                </c:pt>
                <c:pt idx="232">
                  <c:v>91.877589009162136</c:v>
                </c:pt>
                <c:pt idx="233">
                  <c:v>92.440933976066589</c:v>
                </c:pt>
                <c:pt idx="234">
                  <c:v>93.00514397109508</c:v>
                </c:pt>
                <c:pt idx="235">
                  <c:v>93.570212012685545</c:v>
                </c:pt>
                <c:pt idx="236">
                  <c:v>94.136131132869778</c:v>
                </c:pt>
                <c:pt idx="237">
                  <c:v>94.702894377365268</c:v>
                </c:pt>
                <c:pt idx="238">
                  <c:v>95.270494805665095</c:v>
                </c:pt>
                <c:pt idx="239">
                  <c:v>95.838925491125849</c:v>
                </c:pt>
                <c:pt idx="240">
                  <c:v>96.408179521053697</c:v>
                </c:pt>
                <c:pt idx="241">
                  <c:v>96.978249996788477</c:v>
                </c:pt>
                <c:pt idx="242">
                  <c:v>97.549130033785957</c:v>
                </c:pt>
                <c:pt idx="243">
                  <c:v>98.120812761698232</c:v>
                </c:pt>
                <c:pt idx="244">
                  <c:v>98.693291324452147</c:v>
                </c:pt>
                <c:pt idx="245">
                  <c:v>99.266558880326016</c:v>
                </c:pt>
                <c:pt idx="246">
                  <c:v>99.840608602024389</c:v>
                </c:pt>
                <c:pt idx="247">
                  <c:v>100.41543367675105</c:v>
                </c:pt>
                <c:pt idx="248">
                  <c:v>100.9910273062802</c:v>
                </c:pt>
                <c:pt idx="249">
                  <c:v>101.56738270702583</c:v>
                </c:pt>
                <c:pt idx="250">
                  <c:v>102.14449311010928</c:v>
                </c:pt>
                <c:pt idx="251">
                  <c:v>102.72235121966864</c:v>
                </c:pt>
                <c:pt idx="252">
                  <c:v>103.30094867192561</c:v>
                </c:pt>
                <c:pt idx="253">
                  <c:v>103.8802765794166</c:v>
                </c:pt>
                <c:pt idx="254">
                  <c:v>104.46032607447864</c:v>
                </c:pt>
                <c:pt idx="255">
                  <c:v>105.04108830933947</c:v>
                </c:pt>
                <c:pt idx="256">
                  <c:v>105.62255445620485</c:v>
                </c:pt>
                <c:pt idx="257">
                  <c:v>106.20471570734313</c:v>
                </c:pt>
                <c:pt idx="258">
                  <c:v>106.78756327516706</c:v>
                </c:pt>
                <c:pt idx="259">
                  <c:v>107.37108839231294</c:v>
                </c:pt>
                <c:pt idx="260">
                  <c:v>107.95528231171704</c:v>
                </c:pt>
                <c:pt idx="261">
                  <c:v>108.54013630668936</c:v>
                </c:pt>
                <c:pt idx="262">
                  <c:v>109.12564167098478</c:v>
                </c:pt>
                <c:pt idx="263">
                  <c:v>109.71178971887156</c:v>
                </c:pt>
                <c:pt idx="264">
                  <c:v>110.29857178519727</c:v>
                </c:pt>
                <c:pt idx="265">
                  <c:v>110.88597922545213</c:v>
                </c:pt>
                <c:pt idx="266">
                  <c:v>111.47400341582986</c:v>
                </c:pt>
                <c:pt idx="267">
                  <c:v>112.06263575328589</c:v>
                </c:pt>
                <c:pt idx="268">
                  <c:v>112.65186765559324</c:v>
                </c:pt>
                <c:pt idx="269">
                  <c:v>113.24169056139574</c:v>
                </c:pt>
                <c:pt idx="270">
                  <c:v>113.83209593025896</c:v>
                </c:pt>
                <c:pt idx="271">
                  <c:v>114.42307524271858</c:v>
                </c:pt>
                <c:pt idx="272">
                  <c:v>115.01462000032646</c:v>
                </c:pt>
                <c:pt idx="273">
                  <c:v>115.60672172569426</c:v>
                </c:pt>
                <c:pt idx="274">
                  <c:v>116.19937196253474</c:v>
                </c:pt>
                <c:pt idx="275">
                  <c:v>116.7925622757007</c:v>
                </c:pt>
                <c:pt idx="276">
                  <c:v>117.38628425122164</c:v>
                </c:pt>
                <c:pt idx="277">
                  <c:v>117.98052949633806</c:v>
                </c:pt>
                <c:pt idx="278">
                  <c:v>118.57528963953361</c:v>
                </c:pt>
                <c:pt idx="279">
                  <c:v>119.17055633056489</c:v>
                </c:pt>
                <c:pt idx="280">
                  <c:v>119.76632124048911</c:v>
                </c:pt>
                <c:pt idx="281">
                  <c:v>120.3625760616895</c:v>
                </c:pt>
                <c:pt idx="282">
                  <c:v>120.95931250789857</c:v>
                </c:pt>
                <c:pt idx="283">
                  <c:v>121.55652231421927</c:v>
                </c:pt>
                <c:pt idx="284">
                  <c:v>122.1541972371439</c:v>
                </c:pt>
                <c:pt idx="285">
                  <c:v>122.75232905457108</c:v>
                </c:pt>
                <c:pt idx="286">
                  <c:v>123.35090956582049</c:v>
                </c:pt>
                <c:pt idx="287">
                  <c:v>123.94993059164565</c:v>
                </c:pt>
                <c:pt idx="288">
                  <c:v>124.54938397424466</c:v>
                </c:pt>
                <c:pt idx="289">
                  <c:v>125.14926157726886</c:v>
                </c:pt>
                <c:pt idx="290">
                  <c:v>125.74955528582957</c:v>
                </c:pt>
                <c:pt idx="291">
                  <c:v>126.35025700650287</c:v>
                </c:pt>
                <c:pt idx="292">
                  <c:v>126.95135866733239</c:v>
                </c:pt>
                <c:pt idx="293">
                  <c:v>127.55285221783018</c:v>
                </c:pt>
                <c:pt idx="294">
                  <c:v>128.15472962897576</c:v>
                </c:pt>
                <c:pt idx="295">
                  <c:v>128.75698289321315</c:v>
                </c:pt>
                <c:pt idx="296">
                  <c:v>129.35960402444627</c:v>
                </c:pt>
                <c:pt idx="297">
                  <c:v>129.96258505803223</c:v>
                </c:pt>
                <c:pt idx="298">
                  <c:v>130.56591197252072</c:v>
                </c:pt>
                <c:pt idx="299">
                  <c:v>131.1695586232666</c:v>
                </c:pt>
                <c:pt idx="300">
                  <c:v>131.77349285330433</c:v>
                </c:pt>
                <c:pt idx="301">
                  <c:v>132.37768259260454</c:v>
                </c:pt>
                <c:pt idx="302">
                  <c:v>132.98209585856299</c:v>
                </c:pt>
                <c:pt idx="303">
                  <c:v>133.58670075646046</c:v>
                </c:pt>
                <c:pt idx="304">
                  <c:v>134.19146547989396</c:v>
                </c:pt>
                <c:pt idx="305">
                  <c:v>134.79635831117949</c:v>
                </c:pt>
                <c:pt idx="306">
                  <c:v>135.4013476217267</c:v>
                </c:pt>
                <c:pt idx="307">
                  <c:v>136.00640187238571</c:v>
                </c:pt>
                <c:pt idx="308">
                  <c:v>136.61148961376662</c:v>
                </c:pt>
                <c:pt idx="309">
                  <c:v>137.21657948653169</c:v>
                </c:pt>
                <c:pt idx="310">
                  <c:v>137.82164022166066</c:v>
                </c:pt>
                <c:pt idx="311">
                  <c:v>138.42664064068984</c:v>
                </c:pt>
                <c:pt idx="312">
                  <c:v>139.03154965592464</c:v>
                </c:pt>
                <c:pt idx="313">
                  <c:v>139.63633627062646</c:v>
                </c:pt>
                <c:pt idx="314">
                  <c:v>140.24096957917396</c:v>
                </c:pt>
                <c:pt idx="315">
                  <c:v>140.84541876719911</c:v>
                </c:pt>
                <c:pt idx="316">
                  <c:v>141.44965311169824</c:v>
                </c:pt>
                <c:pt idx="317">
                  <c:v>142.05364198111863</c:v>
                </c:pt>
                <c:pt idx="318">
                  <c:v>142.65735483542079</c:v>
                </c:pt>
                <c:pt idx="319">
                  <c:v>143.2607612261167</c:v>
                </c:pt>
                <c:pt idx="320">
                  <c:v>143.86383079628453</c:v>
                </c:pt>
                <c:pt idx="321">
                  <c:v>144.46653572093044</c:v>
                </c:pt>
                <c:pt idx="322">
                  <c:v>145.06885314083115</c:v>
                </c:pt>
                <c:pt idx="323">
                  <c:v>145.67076270649298</c:v>
                </c:pt>
                <c:pt idx="324">
                  <c:v>146.27224412853164</c:v>
                </c:pt>
                <c:pt idx="325">
                  <c:v>146.87327717747317</c:v>
                </c:pt>
                <c:pt idx="326">
                  <c:v>147.47384168354586</c:v>
                </c:pt>
                <c:pt idx="327">
                  <c:v>148.07391753646348</c:v>
                </c:pt>
                <c:pt idx="328">
                  <c:v>148.67348468519981</c:v>
                </c:pt>
                <c:pt idx="329">
                  <c:v>149.27252313775449</c:v>
                </c:pt>
                <c:pt idx="330">
                  <c:v>149.87101296091069</c:v>
                </c:pt>
                <c:pt idx="331">
                  <c:v>150.46893427998441</c:v>
                </c:pt>
                <c:pt idx="332">
                  <c:v>151.06626727856559</c:v>
                </c:pt>
                <c:pt idx="333">
                  <c:v>151.66299219825126</c:v>
                </c:pt>
                <c:pt idx="334">
                  <c:v>152.25908933837087</c:v>
                </c:pt>
                <c:pt idx="335">
                  <c:v>152.8545390557037</c:v>
                </c:pt>
                <c:pt idx="336">
                  <c:v>153.44932176418882</c:v>
                </c:pt>
                <c:pt idx="337">
                  <c:v>154.0434179346274</c:v>
                </c:pt>
                <c:pt idx="338">
                  <c:v>154.63680809437767</c:v>
                </c:pt>
                <c:pt idx="339">
                  <c:v>155.22947282704266</c:v>
                </c:pt>
                <c:pt idx="340">
                  <c:v>155.82139277215074</c:v>
                </c:pt>
                <c:pt idx="341">
                  <c:v>156.4125486248291</c:v>
                </c:pt>
                <c:pt idx="342">
                  <c:v>157.00292113547036</c:v>
                </c:pt>
                <c:pt idx="343">
                  <c:v>157.59249110939234</c:v>
                </c:pt>
                <c:pt idx="344">
                  <c:v>158.1812394064911</c:v>
                </c:pt>
                <c:pt idx="345">
                  <c:v>158.76914694088751</c:v>
                </c:pt>
                <c:pt idx="346">
                  <c:v>159.35619468056717</c:v>
                </c:pt>
                <c:pt idx="347">
                  <c:v>159.94236364701408</c:v>
                </c:pt>
                <c:pt idx="348">
                  <c:v>160.52763518063429</c:v>
                </c:pt>
                <c:pt idx="349">
                  <c:v>161.11199120536705</c:v>
                </c:pt>
                <c:pt idx="350">
                  <c:v>161.69541396068706</c:v>
                </c:pt>
                <c:pt idx="351">
                  <c:v>162.27788573441347</c:v>
                </c:pt>
                <c:pt idx="352">
                  <c:v>162.85938886232535</c:v>
                </c:pt>
                <c:pt idx="353">
                  <c:v>163.43990572777244</c:v>
                </c:pt>
                <c:pt idx="354">
                  <c:v>164.01941876128086</c:v>
                </c:pt>
                <c:pt idx="355">
                  <c:v>164.59791044015421</c:v>
                </c:pt>
                <c:pt idx="356">
                  <c:v>165.17536328806986</c:v>
                </c:pt>
                <c:pt idx="357">
                  <c:v>165.75175987467063</c:v>
                </c:pt>
                <c:pt idx="358">
                  <c:v>166.32708281515201</c:v>
                </c:pt>
                <c:pt idx="359">
                  <c:v>166.90131476984484</c:v>
                </c:pt>
                <c:pt idx="360">
                  <c:v>167.47444399432734</c:v>
                </c:pt>
                <c:pt idx="361">
                  <c:v>168.04646987220565</c:v>
                </c:pt>
                <c:pt idx="362">
                  <c:v>168.61739732598954</c:v>
                </c:pt>
                <c:pt idx="363">
                  <c:v>169.18723124565525</c:v>
                </c:pt>
                <c:pt idx="364">
                  <c:v>169.75597648893492</c:v>
                </c:pt>
                <c:pt idx="365">
                  <c:v>170.32363788160262</c:v>
                </c:pt>
                <c:pt idx="366">
                  <c:v>170.89022021775739</c:v>
                </c:pt>
                <c:pt idx="367">
                  <c:v>171.45572826010306</c:v>
                </c:pt>
                <c:pt idx="368">
                  <c:v>172.02016674022497</c:v>
                </c:pt>
                <c:pt idx="369">
                  <c:v>172.58354035886362</c:v>
                </c:pt>
                <c:pt idx="370">
                  <c:v>173.14585378618531</c:v>
                </c:pt>
                <c:pt idx="371">
                  <c:v>173.70711166204987</c:v>
                </c:pt>
                <c:pt idx="372">
                  <c:v>174.26731859627535</c:v>
                </c:pt>
                <c:pt idx="373">
                  <c:v>174.82647916889982</c:v>
                </c:pt>
                <c:pt idx="374">
                  <c:v>175.38459793044046</c:v>
                </c:pt>
                <c:pt idx="375">
                  <c:v>175.94167940214962</c:v>
                </c:pt>
                <c:pt idx="376">
                  <c:v>176.49772807626815</c:v>
                </c:pt>
                <c:pt idx="377">
                  <c:v>177.05274841627616</c:v>
                </c:pt>
                <c:pt idx="378">
                  <c:v>177.60674485714077</c:v>
                </c:pt>
                <c:pt idx="379">
                  <c:v>178.15972180556142</c:v>
                </c:pt>
                <c:pt idx="380">
                  <c:v>178.71168364021244</c:v>
                </c:pt>
                <c:pt idx="381">
                  <c:v>179.26263471198303</c:v>
                </c:pt>
                <c:pt idx="382">
                  <c:v>179.81257934421456</c:v>
                </c:pt>
                <c:pt idx="383">
                  <c:v>180.36152183293555</c:v>
                </c:pt>
                <c:pt idx="384">
                  <c:v>180.90946644709396</c:v>
                </c:pt>
                <c:pt idx="385">
                  <c:v>181.45641742878703</c:v>
                </c:pt>
                <c:pt idx="386">
                  <c:v>182.00237899348872</c:v>
                </c:pt>
                <c:pt idx="387">
                  <c:v>182.54735533027471</c:v>
                </c:pt>
                <c:pt idx="388">
                  <c:v>183.09135060204503</c:v>
                </c:pt>
                <c:pt idx="389">
                  <c:v>183.63436894574428</c:v>
                </c:pt>
                <c:pt idx="390">
                  <c:v>184.17641447257967</c:v>
                </c:pt>
                <c:pt idx="391">
                  <c:v>184.71749126823653</c:v>
                </c:pt>
                <c:pt idx="392">
                  <c:v>185.25760339309184</c:v>
                </c:pt>
                <c:pt idx="393">
                  <c:v>185.79675488242529</c:v>
                </c:pt>
                <c:pt idx="394">
                  <c:v>186.33494974662824</c:v>
                </c:pt>
                <c:pt idx="395">
                  <c:v>186.87219197141044</c:v>
                </c:pt>
                <c:pt idx="396">
                  <c:v>187.40848551800471</c:v>
                </c:pt>
                <c:pt idx="397">
                  <c:v>187.94383432336934</c:v>
                </c:pt>
                <c:pt idx="398">
                  <c:v>188.47824230038853</c:v>
                </c:pt>
                <c:pt idx="399">
                  <c:v>189.01171333807068</c:v>
                </c:pt>
                <c:pt idx="400">
                  <c:v>189.54425130174459</c:v>
                </c:pt>
                <c:pt idx="401">
                  <c:v>194.81860934778189</c:v>
                </c:pt>
                <c:pt idx="402">
                  <c:v>200.00211852654652</c:v>
                </c:pt>
                <c:pt idx="403">
                  <c:v>205.09843346947216</c:v>
                </c:pt>
                <c:pt idx="404">
                  <c:v>210.11099540358438</c:v>
                </c:pt>
                <c:pt idx="405">
                  <c:v>215.0430487091746</c:v>
                </c:pt>
                <c:pt idx="406">
                  <c:v>219.89765589052234</c:v>
                </c:pt>
                <c:pt idx="407">
                  <c:v>224.67771113979319</c:v>
                </c:pt>
                <c:pt idx="408">
                  <c:v>229.38595265072681</c:v>
                </c:pt>
                <c:pt idx="409">
                  <c:v>234.02497381867281</c:v>
                </c:pt>
                <c:pt idx="410">
                  <c:v>238.59723344636788</c:v>
                </c:pt>
                <c:pt idx="411">
                  <c:v>243.10506506011342</c:v>
                </c:pt>
                <c:pt idx="412">
                  <c:v>247.55068542832845</c:v>
                </c:pt>
                <c:pt idx="413">
                  <c:v>251.93620236350003</c:v>
                </c:pt>
                <c:pt idx="414">
                  <c:v>256.26362187907222</c:v>
                </c:pt>
                <c:pt idx="415">
                  <c:v>260.53485476458377</c:v>
                </c:pt>
                <c:pt idx="416">
                  <c:v>264.75172263520352</c:v>
                </c:pt>
                <c:pt idx="417">
                  <c:v>268.91596350556313</c:v>
                </c:pt>
                <c:pt idx="418">
                  <c:v>273.0292369323252</c:v>
                </c:pt>
                <c:pt idx="419">
                  <c:v>277.09312876513491</c:v>
                </c:pt>
                <c:pt idx="420">
                  <c:v>281.10915554139939</c:v>
                </c:pt>
                <c:pt idx="421">
                  <c:v>285.07876855663619</c:v>
                </c:pt>
                <c:pt idx="422">
                  <c:v>289.00335763886744</c:v>
                </c:pt>
                <c:pt idx="423">
                  <c:v>292.88425465265095</c:v>
                </c:pt>
                <c:pt idx="424">
                  <c:v>296.72273675578418</c:v>
                </c:pt>
                <c:pt idx="425">
                  <c:v>300.52002942944978</c:v>
                </c:pt>
                <c:pt idx="426">
                  <c:v>304.27730930055725</c:v>
                </c:pt>
                <c:pt idx="427">
                  <c:v>307.99570677324135</c:v>
                </c:pt>
                <c:pt idx="428">
                  <c:v>311.67630848487801</c:v>
                </c:pt>
                <c:pt idx="429">
                  <c:v>315.32015960054969</c:v>
                </c:pt>
                <c:pt idx="430">
                  <c:v>318.92826595861311</c:v>
                </c:pt>
                <c:pt idx="431">
                  <c:v>322.50159607887662</c:v>
                </c:pt>
                <c:pt idx="432">
                  <c:v>326.04108304386574</c:v>
                </c:pt>
                <c:pt idx="433">
                  <c:v>329.54762626273106</c:v>
                </c:pt>
                <c:pt idx="434">
                  <c:v>333.02209312652053</c:v>
                </c:pt>
                <c:pt idx="435">
                  <c:v>336.4653205627875</c:v>
                </c:pt>
                <c:pt idx="436">
                  <c:v>339.87811649682976</c:v>
                </c:pt>
                <c:pt idx="437">
                  <c:v>343.26126122624163</c:v>
                </c:pt>
                <c:pt idx="438">
                  <c:v>346.61550871490789</c:v>
                </c:pt>
                <c:pt idx="439">
                  <c:v>349.94158781206653</c:v>
                </c:pt>
                <c:pt idx="440">
                  <c:v>353.24020340161132</c:v>
                </c:pt>
                <c:pt idx="441">
                  <c:v>356.51203748639205</c:v>
                </c:pt>
                <c:pt idx="442">
                  <c:v>359.75775021189344</c:v>
                </c:pt>
                <c:pt idx="443">
                  <c:v>362.97798083333214</c:v>
                </c:pt>
                <c:pt idx="444">
                  <c:v>366.1733486298977</c:v>
                </c:pt>
                <c:pt idx="445">
                  <c:v>369.34445376957984</c:v>
                </c:pt>
                <c:pt idx="446">
                  <c:v>372.49187812776239</c:v>
                </c:pt>
                <c:pt idx="447">
                  <c:v>375.61618606252807</c:v>
                </c:pt>
                <c:pt idx="448">
                  <c:v>378.71792514939887</c:v>
                </c:pt>
                <c:pt idx="449">
                  <c:v>381.79762687803782</c:v>
                </c:pt>
                <c:pt idx="450">
                  <c:v>384.85580731325479</c:v>
                </c:pt>
                <c:pt idx="451">
                  <c:v>387.89296772249031</c:v>
                </c:pt>
                <c:pt idx="452">
                  <c:v>390.90959517179766</c:v>
                </c:pt>
                <c:pt idx="453">
                  <c:v>393.90616309219985</c:v>
                </c:pt>
                <c:pt idx="454">
                  <c:v>396.88313181816943</c:v>
                </c:pt>
                <c:pt idx="455">
                  <c:v>399.84094909985572</c:v>
                </c:pt>
                <c:pt idx="456">
                  <c:v>402.78005059057529</c:v>
                </c:pt>
                <c:pt idx="457">
                  <c:v>405.70086031097662</c:v>
                </c:pt>
                <c:pt idx="458">
                  <c:v>408.60379109119629</c:v>
                </c:pt>
                <c:pt idx="459">
                  <c:v>411.48924499223585</c:v>
                </c:pt>
                <c:pt idx="460">
                  <c:v>414.35761370770643</c:v>
                </c:pt>
                <c:pt idx="461">
                  <c:v>417.20927894701413</c:v>
                </c:pt>
                <c:pt idx="462">
                  <c:v>420.04461280098775</c:v>
                </c:pt>
                <c:pt idx="463">
                  <c:v>422.86397809088726</c:v>
                </c:pt>
                <c:pt idx="464">
                  <c:v>425.66772870166903</c:v>
                </c:pt>
                <c:pt idx="465">
                  <c:v>428.45620990032978</c:v>
                </c:pt>
                <c:pt idx="466">
                  <c:v>431.22975864009743</c:v>
                </c:pt>
                <c:pt idx="467">
                  <c:v>433.98870385118926</c:v>
                </c:pt>
                <c:pt idx="468">
                  <c:v>436.73336671881185</c:v>
                </c:pt>
                <c:pt idx="469">
                  <c:v>439.46406094903523</c:v>
                </c:pt>
                <c:pt idx="470">
                  <c:v>442.1810930231332</c:v>
                </c:pt>
                <c:pt idx="471">
                  <c:v>444.88476244094619</c:v>
                </c:pt>
                <c:pt idx="472">
                  <c:v>447.575361953786</c:v>
                </c:pt>
                <c:pt idx="473">
                  <c:v>450.25317778737156</c:v>
                </c:pt>
                <c:pt idx="474">
                  <c:v>452.91848985525161</c:v>
                </c:pt>
                <c:pt idx="475">
                  <c:v>455.57157196314324</c:v>
                </c:pt>
                <c:pt idx="476">
                  <c:v>458.21269200458704</c:v>
                </c:pt>
                <c:pt idx="477">
                  <c:v>460.84211214829332</c:v>
                </c:pt>
                <c:pt idx="478">
                  <c:v>463.46008901753066</c:v>
                </c:pt>
                <c:pt idx="479">
                  <c:v>466.06687386188378</c:v>
                </c:pt>
                <c:pt idx="480">
                  <c:v>468.66271272168609</c:v>
                </c:pt>
                <c:pt idx="481">
                  <c:v>471.24784658541108</c:v>
                </c:pt>
                <c:pt idx="482">
                  <c:v>473.82251154028654</c:v>
                </c:pt>
                <c:pt idx="483">
                  <c:v>476.38693891637638</c:v>
                </c:pt>
                <c:pt idx="484">
                  <c:v>478.94135542435606</c:v>
                </c:pt>
                <c:pt idx="485">
                  <c:v>481.48598328718941</c:v>
                </c:pt>
                <c:pt idx="486">
                  <c:v>484.02104036589759</c:v>
                </c:pt>
                <c:pt idx="487">
                  <c:v>486.54674027959345</c:v>
                </c:pt>
                <c:pt idx="488">
                  <c:v>489.06329251993805</c:v>
                </c:pt>
                <c:pt idx="489">
                  <c:v>491.57090256015954</c:v>
                </c:pt>
                <c:pt idx="490">
                  <c:v>494.06977195875857</c:v>
                </c:pt>
                <c:pt idx="491">
                  <c:v>496.56009845800764</c:v>
                </c:pt>
                <c:pt idx="492">
                  <c:v>499.04207607733707</c:v>
                </c:pt>
                <c:pt idx="493">
                  <c:v>501.51589520168187</c:v>
                </c:pt>
                <c:pt idx="494">
                  <c:v>503.98174266485</c:v>
                </c:pt>
                <c:pt idx="495">
                  <c:v>506.43980182795366</c:v>
                </c:pt>
                <c:pt idx="496">
                  <c:v>508.89025265293026</c:v>
                </c:pt>
                <c:pt idx="497">
                  <c:v>511.33327177116109</c:v>
                </c:pt>
                <c:pt idx="498">
                  <c:v>513.76903254717899</c:v>
                </c:pt>
                <c:pt idx="499">
                  <c:v>516.19770513743765</c:v>
                </c:pt>
                <c:pt idx="500">
                  <c:v>518.61945654409647</c:v>
                </c:pt>
                <c:pt idx="501">
                  <c:v>521.03445066375571</c:v>
                </c:pt>
                <c:pt idx="502">
                  <c:v>523.44284833105633</c:v>
                </c:pt>
                <c:pt idx="503">
                  <c:v>525.84480735703778</c:v>
                </c:pt>
                <c:pt idx="504">
                  <c:v>528.24048256212745</c:v>
                </c:pt>
                <c:pt idx="505">
                  <c:v>530.63002580360967</c:v>
                </c:pt>
                <c:pt idx="506">
                  <c:v>533.01358599740399</c:v>
                </c:pt>
                <c:pt idx="507">
                  <c:v>535.3913091339557</c:v>
                </c:pt>
                <c:pt idx="508">
                  <c:v>537.76333828802024</c:v>
                </c:pt>
                <c:pt idx="509">
                  <c:v>540.12981362209939</c:v>
                </c:pt>
                <c:pt idx="510">
                  <c:v>542.49087238326422</c:v>
                </c:pt>
                <c:pt idx="511">
                  <c:v>544.84664889307851</c:v>
                </c:pt>
                <c:pt idx="512">
                  <c:v>547.19727453031646</c:v>
                </c:pt>
                <c:pt idx="513">
                  <c:v>549.5428777061511</c:v>
                </c:pt>
                <c:pt idx="514">
                  <c:v>551.88358383147761</c:v>
                </c:pt>
                <c:pt idx="515">
                  <c:v>554.21951527602664</c:v>
                </c:pt>
                <c:pt idx="516">
                  <c:v>556.55079131892376</c:v>
                </c:pt>
                <c:pt idx="517">
                  <c:v>558.87752809035976</c:v>
                </c:pt>
                <c:pt idx="518">
                  <c:v>561.19983850405742</c:v>
                </c:pt>
                <c:pt idx="519">
                  <c:v>563.51783218025707</c:v>
                </c:pt>
                <c:pt idx="520">
                  <c:v>565.83161535899944</c:v>
                </c:pt>
                <c:pt idx="521">
                  <c:v>568.14129080356076</c:v>
                </c:pt>
                <c:pt idx="522">
                  <c:v>570.44695769400016</c:v>
                </c:pt>
                <c:pt idx="523">
                  <c:v>572.74871151091691</c:v>
                </c:pt>
                <c:pt idx="524">
                  <c:v>575.04664390968333</c:v>
                </c:pt>
                <c:pt idx="525">
                  <c:v>577.34084258563189</c:v>
                </c:pt>
                <c:pt idx="526">
                  <c:v>579.63139113092404</c:v>
                </c:pt>
                <c:pt idx="527">
                  <c:v>581.91836888412217</c:v>
                </c:pt>
                <c:pt idx="528">
                  <c:v>584.20185077381734</c:v>
                </c:pt>
                <c:pt idx="529">
                  <c:v>586.48190715803139</c:v>
                </c:pt>
                <c:pt idx="530">
                  <c:v>588.75860366150209</c:v>
                </c:pt>
                <c:pt idx="531">
                  <c:v>591.03200101335551</c:v>
                </c:pt>
                <c:pt idx="532">
                  <c:v>593.30215488805652</c:v>
                </c:pt>
                <c:pt idx="533">
                  <c:v>595.56911575287381</c:v>
                </c:pt>
                <c:pt idx="534">
                  <c:v>597.83292872537322</c:v>
                </c:pt>
                <c:pt idx="535">
                  <c:v>600.09363344463009</c:v>
                </c:pt>
                <c:pt idx="536">
                  <c:v>602.35126395989892</c:v>
                </c:pt>
                <c:pt idx="537">
                  <c:v>604.60584864036423</c:v>
                </c:pt>
                <c:pt idx="538">
                  <c:v>606.85741010931326</c:v>
                </c:pt>
                <c:pt idx="539">
                  <c:v>609.10596520560694</c:v>
                </c:pt>
                <c:pt idx="540">
                  <c:v>611.35152497469494</c:v>
                </c:pt>
                <c:pt idx="541">
                  <c:v>613.59409469065258</c:v>
                </c:pt>
                <c:pt idx="542">
                  <c:v>615.83367390985518</c:v>
                </c:pt>
                <c:pt idx="543">
                  <c:v>618.07025655599739</c:v>
                </c:pt>
                <c:pt idx="544">
                  <c:v>620.30383103527743</c:v>
                </c:pt>
                <c:pt idx="545">
                  <c:v>622.53438037974979</c:v>
                </c:pt>
                <c:pt idx="546">
                  <c:v>624.7618824161566</c:v>
                </c:pt>
                <c:pt idx="547">
                  <c:v>626.98630995701194</c:v>
                </c:pt>
                <c:pt idx="548">
                  <c:v>629.20763101035288</c:v>
                </c:pt>
                <c:pt idx="549">
                  <c:v>631.42580900439543</c:v>
                </c:pt>
                <c:pt idx="550">
                  <c:v>633.64080302332115</c:v>
                </c:pt>
                <c:pt idx="551">
                  <c:v>635.85256805055712</c:v>
                </c:pt>
                <c:pt idx="552">
                  <c:v>638.06105521616632</c:v>
                </c:pt>
                <c:pt idx="553">
                  <c:v>640.26621204529829</c:v>
                </c:pt>
                <c:pt idx="554">
                  <c:v>642.46798270504166</c:v>
                </c:pt>
                <c:pt idx="555">
                  <c:v>644.6663082474264</c:v>
                </c:pt>
                <c:pt idx="556">
                  <c:v>646.86112684673719</c:v>
                </c:pt>
                <c:pt idx="557">
                  <c:v>649.05237402968601</c:v>
                </c:pt>
                <c:pt idx="558">
                  <c:v>651.23998289735221</c:v>
                </c:pt>
                <c:pt idx="559">
                  <c:v>653.4238843381172</c:v>
                </c:pt>
                <c:pt idx="560">
                  <c:v>655.60400723109547</c:v>
                </c:pt>
                <c:pt idx="561">
                  <c:v>657.78027863979594</c:v>
                </c:pt>
                <c:pt idx="562">
                  <c:v>659.95262399593958</c:v>
                </c:pt>
                <c:pt idx="563">
                  <c:v>662.12096727350911</c:v>
                </c:pt>
                <c:pt idx="564">
                  <c:v>664.28523115322662</c:v>
                </c:pt>
                <c:pt idx="565">
                  <c:v>666.44533717774368</c:v>
                </c:pt>
                <c:pt idx="566">
                  <c:v>668.60120589789062</c:v>
                </c:pt>
                <c:pt idx="567">
                  <c:v>670.7527570103764</c:v>
                </c:pt>
                <c:pt idx="568">
                  <c:v>672.89990948735704</c:v>
                </c:pt>
                <c:pt idx="569">
                  <c:v>675.04258169830098</c:v>
                </c:pt>
                <c:pt idx="570">
                  <c:v>677.18069152458622</c:v>
                </c:pt>
                <c:pt idx="571">
                  <c:v>679.31415646725429</c:v>
                </c:pt>
                <c:pt idx="572">
                  <c:v>681.44289374833807</c:v>
                </c:pt>
                <c:pt idx="573">
                  <c:v>683.56682040616431</c:v>
                </c:pt>
                <c:pt idx="574">
                  <c:v>685.6858533850118</c:v>
                </c:pt>
                <c:pt idx="575">
                  <c:v>687.79990961948783</c:v>
                </c:pt>
                <c:pt idx="576">
                  <c:v>689.90890611396412</c:v>
                </c:pt>
                <c:pt idx="577">
                  <c:v>692.01276001739132</c:v>
                </c:pt>
                <c:pt idx="578">
                  <c:v>694.11138869379135</c:v>
                </c:pt>
                <c:pt idx="579">
                  <c:v>696.20470978870458</c:v>
                </c:pt>
                <c:pt idx="580">
                  <c:v>698.29264129185026</c:v>
                </c:pt>
                <c:pt idx="581">
                  <c:v>700.37510159623969</c:v>
                </c:pt>
                <c:pt idx="582">
                  <c:v>702.45200955396263</c:v>
                </c:pt>
                <c:pt idx="583">
                  <c:v>704.52328452885115</c:v>
                </c:pt>
                <c:pt idx="584">
                  <c:v>706.5888464462106</c:v>
                </c:pt>
                <c:pt idx="585">
                  <c:v>708.64861583978995</c:v>
                </c:pt>
                <c:pt idx="586">
                  <c:v>710.70251389615373</c:v>
                </c:pt>
                <c:pt idx="587">
                  <c:v>712.75046249660204</c:v>
                </c:pt>
                <c:pt idx="588">
                  <c:v>714.79238425677545</c:v>
                </c:pt>
                <c:pt idx="589">
                  <c:v>716.82820256407103</c:v>
                </c:pt>
                <c:pt idx="590">
                  <c:v>718.85784161298443</c:v>
                </c:pt>
                <c:pt idx="591">
                  <c:v>720.88122643848624</c:v>
                </c:pt>
                <c:pt idx="592">
                  <c:v>722.89828294753045</c:v>
                </c:pt>
                <c:pt idx="593">
                  <c:v>724.9089379487873</c:v>
                </c:pt>
                <c:pt idx="594">
                  <c:v>726.91311918068436</c:v>
                </c:pt>
                <c:pt idx="595">
                  <c:v>728.91075533783487</c:v>
                </c:pt>
                <c:pt idx="596">
                  <c:v>730.90177609592558</c:v>
                </c:pt>
                <c:pt idx="597">
                  <c:v>732.88611213513184</c:v>
                </c:pt>
                <c:pt idx="598">
                  <c:v>734.86369516212233</c:v>
                </c:pt>
                <c:pt idx="599">
                  <c:v>736.83445793071257</c:v>
                </c:pt>
                <c:pt idx="600">
                  <c:v>738.79833426122104</c:v>
                </c:pt>
                <c:pt idx="601">
                  <c:v>740.75525905857921</c:v>
                </c:pt>
                <c:pt idx="602">
                  <c:v>742.70516832924341</c:v>
                </c:pt>
                <c:pt idx="603">
                  <c:v>744.64799919695315</c:v>
                </c:pt>
                <c:pt idx="604">
                  <c:v>746.58368991737746</c:v>
                </c:pt>
                <c:pt idx="605">
                  <c:v>748.51217989168993</c:v>
                </c:pt>
                <c:pt idx="606">
                  <c:v>750.43340967910854</c:v>
                </c:pt>
                <c:pt idx="607">
                  <c:v>752.34732100843689</c:v>
                </c:pt>
                <c:pt idx="608">
                  <c:v>754.25385678863915</c:v>
                </c:pt>
                <c:pt idx="609">
                  <c:v>756.15296111848136</c:v>
                </c:pt>
                <c:pt idx="610">
                  <c:v>758.04457929526905</c:v>
                </c:pt>
                <c:pt idx="611">
                  <c:v>759.9286578227094</c:v>
                </c:pt>
                <c:pt idx="612">
                  <c:v>761.80514441792684</c:v>
                </c:pt>
                <c:pt idx="613">
                  <c:v>763.6739880176566</c:v>
                </c:pt>
                <c:pt idx="614">
                  <c:v>765.53513878364356</c:v>
                </c:pt>
                <c:pt idx="615">
                  <c:v>767.38854810726866</c:v>
                </c:pt>
                <c:pt idx="616">
                  <c:v>769.23416861342787</c:v>
                </c:pt>
                <c:pt idx="617">
                  <c:v>771.07195416368552</c:v>
                </c:pt>
                <c:pt idx="618">
                  <c:v>772.90185985872358</c:v>
                </c:pt>
                <c:pt idx="619">
                  <c:v>774.72384204010871</c:v>
                </c:pt>
                <c:pt idx="620">
                  <c:v>776.53785829139713</c:v>
                </c:pt>
                <c:pt idx="621">
                  <c:v>778.3438674385967</c:v>
                </c:pt>
                <c:pt idx="622">
                  <c:v>780.14182955000695</c:v>
                </c:pt>
                <c:pt idx="623">
                  <c:v>781.93170593545392</c:v>
                </c:pt>
                <c:pt idx="624">
                  <c:v>783.71345914493997</c:v>
                </c:pt>
                <c:pt idx="625">
                  <c:v>785.48705296672529</c:v>
                </c:pt>
                <c:pt idx="626">
                  <c:v>787.25245242485914</c:v>
                </c:pt>
                <c:pt idx="627">
                  <c:v>789.0096237761777</c:v>
                </c:pt>
                <c:pt idx="628">
                  <c:v>790.75853450678528</c:v>
                </c:pt>
                <c:pt idx="629">
                  <c:v>792.49915332803539</c:v>
                </c:pt>
                <c:pt idx="630">
                  <c:v>794.23145017202785</c:v>
                </c:pt>
                <c:pt idx="631">
                  <c:v>795.95539618663736</c:v>
                </c:pt>
                <c:pt idx="632">
                  <c:v>797.67096373008928</c:v>
                </c:pt>
                <c:pt idx="633">
                  <c:v>799.3781263650983</c:v>
                </c:pt>
                <c:pt idx="634">
                  <c:v>801.07685885258343</c:v>
                </c:pt>
                <c:pt idx="635">
                  <c:v>802.76713714497589</c:v>
                </c:pt>
                <c:pt idx="636">
                  <c:v>804.44893837913332</c:v>
                </c:pt>
                <c:pt idx="637">
                  <c:v>806.12224086887431</c:v>
                </c:pt>
                <c:pt idx="638">
                  <c:v>807.78702409714776</c:v>
                </c:pt>
                <c:pt idx="639">
                  <c:v>809.44326870785085</c:v>
                </c:pt>
                <c:pt idx="640">
                  <c:v>811.09095649730864</c:v>
                </c:pt>
                <c:pt idx="641">
                  <c:v>812.73007040542893</c:v>
                </c:pt>
                <c:pt idx="642">
                  <c:v>814.36059450654579</c:v>
                </c:pt>
                <c:pt idx="643">
                  <c:v>815.98251399996366</c:v>
                </c:pt>
                <c:pt idx="644">
                  <c:v>817.59581520021572</c:v>
                </c:pt>
                <c:pt idx="645">
                  <c:v>819.20048552704884</c:v>
                </c:pt>
                <c:pt idx="646">
                  <c:v>820.79651349514654</c:v>
                </c:pt>
                <c:pt idx="647">
                  <c:v>822.38388870360313</c:v>
                </c:pt>
                <c:pt idx="648">
                  <c:v>823.96260182515994</c:v>
                </c:pt>
                <c:pt idx="649">
                  <c:v>825.53264459521597</c:v>
                </c:pt>
                <c:pt idx="650">
                  <c:v>827.09400980062435</c:v>
                </c:pt>
                <c:pt idx="651">
                  <c:v>828.64669126828517</c:v>
                </c:pt>
                <c:pt idx="652">
                  <c:v>830.1906838535466</c:v>
                </c:pt>
                <c:pt idx="653">
                  <c:v>831.72598342842468</c:v>
                </c:pt>
                <c:pt idx="654">
                  <c:v>833.25258686965276</c:v>
                </c:pt>
                <c:pt idx="655">
                  <c:v>834.77049204657033</c:v>
                </c:pt>
                <c:pt idx="656">
                  <c:v>836.27969780886224</c:v>
                </c:pt>
                <c:pt idx="657">
                  <c:v>837.78020397415855</c:v>
                </c:pt>
                <c:pt idx="658">
                  <c:v>839.27201131550339</c:v>
                </c:pt>
                <c:pt idx="659">
                  <c:v>840.75512154870444</c:v>
                </c:pt>
                <c:pt idx="660">
                  <c:v>842.22953731957114</c:v>
                </c:pt>
                <c:pt idx="661">
                  <c:v>843.69526219105126</c:v>
                </c:pt>
                <c:pt idx="662">
                  <c:v>845.15230063027502</c:v>
                </c:pt>
                <c:pt idx="663">
                  <c:v>846.60065799551523</c:v>
                </c:pt>
                <c:pt idx="664">
                  <c:v>848.04034052307259</c:v>
                </c:pt>
                <c:pt idx="665">
                  <c:v>849.47135531409447</c:v>
                </c:pt>
                <c:pt idx="666">
                  <c:v>850.89371032133488</c:v>
                </c:pt>
                <c:pt idx="667">
                  <c:v>852.30741433586445</c:v>
                </c:pt>
                <c:pt idx="668">
                  <c:v>853.71247697373792</c:v>
                </c:pt>
                <c:pt idx="669">
                  <c:v>855.1089086626265</c:v>
                </c:pt>
                <c:pt idx="670">
                  <c:v>856.4967206284233</c:v>
                </c:pt>
                <c:pt idx="671">
                  <c:v>857.87592488182827</c:v>
                </c:pt>
                <c:pt idx="672">
                  <c:v>859.24653420492041</c:v>
                </c:pt>
                <c:pt idx="673">
                  <c:v>860.60856213772342</c:v>
                </c:pt>
                <c:pt idx="674">
                  <c:v>861.96202296477236</c:v>
                </c:pt>
                <c:pt idx="675">
                  <c:v>863.30693170168695</c:v>
                </c:pt>
                <c:pt idx="676">
                  <c:v>864.6433040817584</c:v>
                </c:pt>
                <c:pt idx="677">
                  <c:v>865.97115654255538</c:v>
                </c:pt>
                <c:pt idx="678">
                  <c:v>867.29050621255544</c:v>
                </c:pt>
                <c:pt idx="679">
                  <c:v>868.60137089780778</c:v>
                </c:pt>
                <c:pt idx="680">
                  <c:v>869.90376906863219</c:v>
                </c:pt>
                <c:pt idx="681">
                  <c:v>871.1977198463602</c:v>
                </c:pt>
                <c:pt idx="682">
                  <c:v>872.48324299012336</c:v>
                </c:pt>
                <c:pt idx="683">
                  <c:v>873.76035888369393</c:v>
                </c:pt>
                <c:pt idx="684">
                  <c:v>875.02908852238215</c:v>
                </c:pt>
                <c:pt idx="685">
                  <c:v>876.2894534999956</c:v>
                </c:pt>
                <c:pt idx="686">
                  <c:v>877.54147599586452</c:v>
                </c:pt>
                <c:pt idx="687">
                  <c:v>878.78517876193769</c:v>
                </c:pt>
                <c:pt idx="688">
                  <c:v>880.02058510995278</c:v>
                </c:pt>
                <c:pt idx="689">
                  <c:v>881.24771889868566</c:v>
                </c:pt>
                <c:pt idx="690">
                  <c:v>882.46660452128174</c:v>
                </c:pt>
                <c:pt idx="691">
                  <c:v>883.67726689267386</c:v>
                </c:pt>
                <c:pt idx="692">
                  <c:v>884.87973143708928</c:v>
                </c:pt>
                <c:pt idx="693">
                  <c:v>886.07402407564996</c:v>
                </c:pt>
                <c:pt idx="694">
                  <c:v>887.26017121406903</c:v>
                </c:pt>
                <c:pt idx="695">
                  <c:v>888.43819973044629</c:v>
                </c:pt>
                <c:pt idx="696">
                  <c:v>889.60813696316563</c:v>
                </c:pt>
                <c:pt idx="697">
                  <c:v>890.77001069889775</c:v>
                </c:pt>
                <c:pt idx="698">
                  <c:v>891.92384916070989</c:v>
                </c:pt>
                <c:pt idx="699">
                  <c:v>893.0696809962858</c:v>
                </c:pt>
                <c:pt idx="700">
                  <c:v>894.20753526625776</c:v>
                </c:pt>
                <c:pt idx="701">
                  <c:v>895.33744143265301</c:v>
                </c:pt>
                <c:pt idx="702">
                  <c:v>896.45942934745722</c:v>
                </c:pt>
                <c:pt idx="703">
                  <c:v>897.57352924129555</c:v>
                </c:pt>
                <c:pt idx="704">
                  <c:v>898.67977171223481</c:v>
                </c:pt>
                <c:pt idx="705">
                  <c:v>899.77818771470731</c:v>
                </c:pt>
                <c:pt idx="706">
                  <c:v>900.86880854855792</c:v>
                </c:pt>
                <c:pt idx="707">
                  <c:v>901.95166584821698</c:v>
                </c:pt>
                <c:pt idx="708">
                  <c:v>903.0267915719985</c:v>
                </c:pt>
                <c:pt idx="709">
                  <c:v>904.09421799152722</c:v>
                </c:pt>
                <c:pt idx="710">
                  <c:v>905.1539776812931</c:v>
                </c:pt>
                <c:pt idx="711">
                  <c:v>906.2061035083367</c:v>
                </c:pt>
                <c:pt idx="712">
                  <c:v>907.25062862206437</c:v>
                </c:pt>
                <c:pt idx="713">
                  <c:v>908.28758644419554</c:v>
                </c:pt>
                <c:pt idx="714">
                  <c:v>909.31701065884181</c:v>
                </c:pt>
                <c:pt idx="715">
                  <c:v>910.3389352027192</c:v>
                </c:pt>
                <c:pt idx="716">
                  <c:v>911.35339425549353</c:v>
                </c:pt>
                <c:pt idx="717">
                  <c:v>912.36042223026004</c:v>
                </c:pt>
                <c:pt idx="718">
                  <c:v>913.36005376415665</c:v>
                </c:pt>
                <c:pt idx="719">
                  <c:v>914.35232370911228</c:v>
                </c:pt>
                <c:pt idx="720">
                  <c:v>915.33726712272914</c:v>
                </c:pt>
                <c:pt idx="721">
                  <c:v>916.31491925930084</c:v>
                </c:pt>
                <c:pt idx="722">
                  <c:v>917.28531556096436</c:v>
                </c:pt>
                <c:pt idx="723">
                  <c:v>918.2484916489874</c:v>
                </c:pt>
                <c:pt idx="724">
                  <c:v>919.2044833151906</c:v>
                </c:pt>
                <c:pt idx="725">
                  <c:v>920.15332651350354</c:v>
                </c:pt>
                <c:pt idx="726">
                  <c:v>921.09505735165624</c:v>
                </c:pt>
                <c:pt idx="727">
                  <c:v>922.02971208300369</c:v>
                </c:pt>
                <c:pt idx="728">
                  <c:v>922.9573270984846</c:v>
                </c:pt>
                <c:pt idx="729">
                  <c:v>923.87793891871343</c:v>
                </c:pt>
                <c:pt idx="730">
                  <c:v>924.79158418620511</c:v>
                </c:pt>
                <c:pt idx="731">
                  <c:v>925.69829965773192</c:v>
                </c:pt>
                <c:pt idx="732">
                  <c:v>926.5981221968126</c:v>
                </c:pt>
                <c:pt idx="733">
                  <c:v>927.49108876633204</c:v>
                </c:pt>
                <c:pt idx="734">
                  <c:v>928.37723642129163</c:v>
                </c:pt>
                <c:pt idx="735">
                  <c:v>929.25660230168944</c:v>
                </c:pt>
                <c:pt idx="736">
                  <c:v>930.12922362552911</c:v>
                </c:pt>
                <c:pt idx="737">
                  <c:v>930.9951376819572</c:v>
                </c:pt>
                <c:pt idx="738">
                  <c:v>931.85438182452754</c:v>
                </c:pt>
                <c:pt idx="739">
                  <c:v>932.70699346459253</c:v>
                </c:pt>
                <c:pt idx="740">
                  <c:v>933.55301006481932</c:v>
                </c:pt>
                <c:pt idx="741">
                  <c:v>934.39246913283114</c:v>
                </c:pt>
                <c:pt idx="742">
                  <c:v>935.22540821497205</c:v>
                </c:pt>
                <c:pt idx="743">
                  <c:v>936.05186489019411</c:v>
                </c:pt>
                <c:pt idx="744">
                  <c:v>936.87187676406677</c:v>
                </c:pt>
                <c:pt idx="745">
                  <c:v>937.68548146290573</c:v>
                </c:pt>
                <c:pt idx="746">
                  <c:v>938.49271662802221</c:v>
                </c:pt>
                <c:pt idx="747">
                  <c:v>939.29361991009023</c:v>
                </c:pt>
                <c:pt idx="748">
                  <c:v>940.08822896363063</c:v>
                </c:pt>
                <c:pt idx="749">
                  <c:v>940.87658144161173</c:v>
                </c:pt>
                <c:pt idx="750">
                  <c:v>941.65871499016441</c:v>
                </c:pt>
                <c:pt idx="751">
                  <c:v>942.43466724341135</c:v>
                </c:pt>
                <c:pt idx="752">
                  <c:v>943.2044758184079</c:v>
                </c:pt>
                <c:pt idx="753">
                  <c:v>943.96817831019519</c:v>
                </c:pt>
                <c:pt idx="754">
                  <c:v>944.7258122869622</c:v>
                </c:pt>
                <c:pt idx="755">
                  <c:v>945.47741528531731</c:v>
                </c:pt>
                <c:pt idx="756">
                  <c:v>946.22302480566725</c:v>
                </c:pt>
                <c:pt idx="757">
                  <c:v>946.96267830770194</c:v>
                </c:pt>
                <c:pt idx="758">
                  <c:v>947.69641320598407</c:v>
                </c:pt>
                <c:pt idx="759">
                  <c:v>948.42426686564306</c:v>
                </c:pt>
                <c:pt idx="760">
                  <c:v>949.14627659817074</c:v>
                </c:pt>
                <c:pt idx="761">
                  <c:v>949.86247965731832</c:v>
                </c:pt>
                <c:pt idx="762">
                  <c:v>950.57291323509287</c:v>
                </c:pt>
                <c:pt idx="763">
                  <c:v>951.27761445785234</c:v>
                </c:pt>
                <c:pt idx="764">
                  <c:v>951.97662038249769</c:v>
                </c:pt>
                <c:pt idx="765">
                  <c:v>952.6699679927608</c:v>
                </c:pt>
                <c:pt idx="766">
                  <c:v>953.35769419558665</c:v>
                </c:pt>
                <c:pt idx="767">
                  <c:v>954.03983581760883</c:v>
                </c:pt>
                <c:pt idx="768">
                  <c:v>954.71642960171675</c:v>
                </c:pt>
                <c:pt idx="769">
                  <c:v>955.38751220371353</c:v>
                </c:pt>
                <c:pt idx="770">
                  <c:v>956.0531201890625</c:v>
                </c:pt>
                <c:pt idx="771">
                  <c:v>956.71329002972243</c:v>
                </c:pt>
                <c:pt idx="772">
                  <c:v>957.36805810106841</c:v>
                </c:pt>
                <c:pt idx="773">
                  <c:v>958.01746067889871</c:v>
                </c:pt>
                <c:pt idx="774">
                  <c:v>958.66153393652485</c:v>
                </c:pt>
                <c:pt idx="775">
                  <c:v>959.30031394194498</c:v>
                </c:pt>
                <c:pt idx="776">
                  <c:v>959.93383665509793</c:v>
                </c:pt>
                <c:pt idx="777">
                  <c:v>960.56213792519793</c:v>
                </c:pt>
                <c:pt idx="778">
                  <c:v>961.18525348814751</c:v>
                </c:pt>
                <c:pt idx="779">
                  <c:v>961.80321896402825</c:v>
                </c:pt>
                <c:pt idx="780">
                  <c:v>962.41606985466763</c:v>
                </c:pt>
                <c:pt idx="781">
                  <c:v>963.02384154128072</c:v>
                </c:pt>
                <c:pt idx="782">
                  <c:v>963.62656928218553</c:v>
                </c:pt>
                <c:pt idx="783">
                  <c:v>964.22428821059111</c:v>
                </c:pt>
                <c:pt idx="784">
                  <c:v>964.81703333245662</c:v>
                </c:pt>
                <c:pt idx="785">
                  <c:v>965.40483952442003</c:v>
                </c:pt>
                <c:pt idx="786">
                  <c:v>965.98774153179647</c:v>
                </c:pt>
                <c:pt idx="787">
                  <c:v>966.56577396664318</c:v>
                </c:pt>
                <c:pt idx="788">
                  <c:v>967.13897130589135</c:v>
                </c:pt>
                <c:pt idx="789">
                  <c:v>967.70736788954298</c:v>
                </c:pt>
                <c:pt idx="790">
                  <c:v>968.27099791893181</c:v>
                </c:pt>
                <c:pt idx="791">
                  <c:v>968.82989545504677</c:v>
                </c:pt>
                <c:pt idx="792">
                  <c:v>969.38409441691749</c:v>
                </c:pt>
                <c:pt idx="793">
                  <c:v>969.93362858006003</c:v>
                </c:pt>
                <c:pt idx="794">
                  <c:v>970.47853157498207</c:v>
                </c:pt>
                <c:pt idx="795">
                  <c:v>971.01883688574662</c:v>
                </c:pt>
                <c:pt idx="796">
                  <c:v>971.55457784859243</c:v>
                </c:pt>
                <c:pt idx="797">
                  <c:v>972.08578765061065</c:v>
                </c:pt>
                <c:pt idx="798">
                  <c:v>972.6124993284767</c:v>
                </c:pt>
                <c:pt idx="799">
                  <c:v>973.1347457672357</c:v>
                </c:pt>
                <c:pt idx="800">
                  <c:v>973.65255969914074</c:v>
                </c:pt>
                <c:pt idx="801">
                  <c:v>974.16597370254328</c:v>
                </c:pt>
                <c:pt idx="802">
                  <c:v>974.67502020083407</c:v>
                </c:pt>
                <c:pt idx="803">
                  <c:v>975.17973146143368</c:v>
                </c:pt>
                <c:pt idx="804">
                  <c:v>975.68013959483199</c:v>
                </c:pt>
                <c:pt idx="805">
                  <c:v>976.17627655367528</c:v>
                </c:pt>
                <c:pt idx="806">
                  <c:v>976.66817413190017</c:v>
                </c:pt>
                <c:pt idx="807">
                  <c:v>976.66817413190017</c:v>
                </c:pt>
                <c:pt idx="808">
                  <c:v>976.66817413190017</c:v>
                </c:pt>
                <c:pt idx="809">
                  <c:v>976.66817413190017</c:v>
                </c:pt>
                <c:pt idx="810">
                  <c:v>976.66817413190017</c:v>
                </c:pt>
                <c:pt idx="811">
                  <c:v>976.66817413190017</c:v>
                </c:pt>
                <c:pt idx="812">
                  <c:v>976.66817413190017</c:v>
                </c:pt>
                <c:pt idx="813">
                  <c:v>976.66817413190017</c:v>
                </c:pt>
                <c:pt idx="814">
                  <c:v>976.66817413190017</c:v>
                </c:pt>
                <c:pt idx="815">
                  <c:v>976.66817413190017</c:v>
                </c:pt>
                <c:pt idx="816">
                  <c:v>976.66817413190017</c:v>
                </c:pt>
                <c:pt idx="817">
                  <c:v>976.66817413190017</c:v>
                </c:pt>
                <c:pt idx="818">
                  <c:v>976.66817413190017</c:v>
                </c:pt>
                <c:pt idx="819">
                  <c:v>976.66817413190017</c:v>
                </c:pt>
                <c:pt idx="820">
                  <c:v>976.66817413190017</c:v>
                </c:pt>
                <c:pt idx="821">
                  <c:v>976.66817413190017</c:v>
                </c:pt>
                <c:pt idx="822">
                  <c:v>976.66817413190017</c:v>
                </c:pt>
                <c:pt idx="823">
                  <c:v>976.66817413190017</c:v>
                </c:pt>
                <c:pt idx="824">
                  <c:v>976.66817413190017</c:v>
                </c:pt>
                <c:pt idx="825">
                  <c:v>976.66817413190017</c:v>
                </c:pt>
                <c:pt idx="826">
                  <c:v>976.66817413190017</c:v>
                </c:pt>
                <c:pt idx="827">
                  <c:v>976.66817413190017</c:v>
                </c:pt>
                <c:pt idx="828">
                  <c:v>976.66817413190017</c:v>
                </c:pt>
                <c:pt idx="829">
                  <c:v>976.66817413190017</c:v>
                </c:pt>
                <c:pt idx="830">
                  <c:v>976.66817413190017</c:v>
                </c:pt>
                <c:pt idx="831">
                  <c:v>976.66817413190017</c:v>
                </c:pt>
                <c:pt idx="832">
                  <c:v>976.66817413190017</c:v>
                </c:pt>
                <c:pt idx="833">
                  <c:v>976.66817413190017</c:v>
                </c:pt>
                <c:pt idx="834">
                  <c:v>976.66817413190017</c:v>
                </c:pt>
                <c:pt idx="835">
                  <c:v>976.66817413190017</c:v>
                </c:pt>
                <c:pt idx="836">
                  <c:v>976.66817413190017</c:v>
                </c:pt>
                <c:pt idx="837">
                  <c:v>976.66817413190017</c:v>
                </c:pt>
                <c:pt idx="838">
                  <c:v>976.66817413190017</c:v>
                </c:pt>
                <c:pt idx="839">
                  <c:v>976.66817413190017</c:v>
                </c:pt>
                <c:pt idx="840">
                  <c:v>976.66817413190017</c:v>
                </c:pt>
                <c:pt idx="841">
                  <c:v>976.66817413190017</c:v>
                </c:pt>
                <c:pt idx="842">
                  <c:v>976.66817413190017</c:v>
                </c:pt>
                <c:pt idx="843">
                  <c:v>976.66817413190017</c:v>
                </c:pt>
                <c:pt idx="844">
                  <c:v>976.66817413190017</c:v>
                </c:pt>
                <c:pt idx="845">
                  <c:v>976.66817413190017</c:v>
                </c:pt>
                <c:pt idx="846">
                  <c:v>976.66817413190017</c:v>
                </c:pt>
                <c:pt idx="847">
                  <c:v>976.66817413190017</c:v>
                </c:pt>
                <c:pt idx="848">
                  <c:v>976.66817413190017</c:v>
                </c:pt>
                <c:pt idx="849">
                  <c:v>976.66817413190017</c:v>
                </c:pt>
                <c:pt idx="850">
                  <c:v>976.66817413190017</c:v>
                </c:pt>
                <c:pt idx="851">
                  <c:v>976.66817413190017</c:v>
                </c:pt>
                <c:pt idx="852">
                  <c:v>976.66817413190017</c:v>
                </c:pt>
                <c:pt idx="853">
                  <c:v>976.66817413190017</c:v>
                </c:pt>
                <c:pt idx="854">
                  <c:v>976.66817413190017</c:v>
                </c:pt>
                <c:pt idx="855">
                  <c:v>976.66817413190017</c:v>
                </c:pt>
                <c:pt idx="856">
                  <c:v>976.66817413190017</c:v>
                </c:pt>
                <c:pt idx="857">
                  <c:v>976.66817413190017</c:v>
                </c:pt>
                <c:pt idx="858">
                  <c:v>976.66817413190017</c:v>
                </c:pt>
                <c:pt idx="859">
                  <c:v>976.66817413190017</c:v>
                </c:pt>
                <c:pt idx="860">
                  <c:v>976.66817413190017</c:v>
                </c:pt>
                <c:pt idx="861">
                  <c:v>976.66817413190017</c:v>
                </c:pt>
                <c:pt idx="862">
                  <c:v>976.66817413190017</c:v>
                </c:pt>
                <c:pt idx="863">
                  <c:v>976.66817413190017</c:v>
                </c:pt>
                <c:pt idx="864">
                  <c:v>976.66817413190017</c:v>
                </c:pt>
                <c:pt idx="865">
                  <c:v>976.66817413190017</c:v>
                </c:pt>
                <c:pt idx="866">
                  <c:v>976.66817413190017</c:v>
                </c:pt>
                <c:pt idx="867">
                  <c:v>976.66817413190017</c:v>
                </c:pt>
                <c:pt idx="868">
                  <c:v>976.66817413190017</c:v>
                </c:pt>
                <c:pt idx="869">
                  <c:v>976.66817413190017</c:v>
                </c:pt>
                <c:pt idx="870">
                  <c:v>976.66817413190017</c:v>
                </c:pt>
                <c:pt idx="871">
                  <c:v>976.66817413190017</c:v>
                </c:pt>
                <c:pt idx="872">
                  <c:v>976.66817413190017</c:v>
                </c:pt>
                <c:pt idx="873">
                  <c:v>976.66817413190017</c:v>
                </c:pt>
                <c:pt idx="874">
                  <c:v>976.66817413190017</c:v>
                </c:pt>
                <c:pt idx="875">
                  <c:v>976.66817413190017</c:v>
                </c:pt>
                <c:pt idx="876">
                  <c:v>976.66817413190017</c:v>
                </c:pt>
                <c:pt idx="877">
                  <c:v>976.66817413190017</c:v>
                </c:pt>
                <c:pt idx="878">
                  <c:v>976.66817413190017</c:v>
                </c:pt>
                <c:pt idx="879">
                  <c:v>976.66817413190017</c:v>
                </c:pt>
                <c:pt idx="880">
                  <c:v>976.66817413190017</c:v>
                </c:pt>
                <c:pt idx="881">
                  <c:v>976.66817413190017</c:v>
                </c:pt>
                <c:pt idx="882">
                  <c:v>976.66817413190017</c:v>
                </c:pt>
                <c:pt idx="883">
                  <c:v>976.66817413190017</c:v>
                </c:pt>
                <c:pt idx="884">
                  <c:v>976.66817413190017</c:v>
                </c:pt>
                <c:pt idx="885">
                  <c:v>976.66817413190017</c:v>
                </c:pt>
                <c:pt idx="886">
                  <c:v>976.66817413190017</c:v>
                </c:pt>
                <c:pt idx="887">
                  <c:v>976.66817413190017</c:v>
                </c:pt>
                <c:pt idx="888">
                  <c:v>976.66817413190017</c:v>
                </c:pt>
                <c:pt idx="889">
                  <c:v>976.66817413190017</c:v>
                </c:pt>
                <c:pt idx="890">
                  <c:v>976.66817413190017</c:v>
                </c:pt>
                <c:pt idx="891">
                  <c:v>976.66817413190017</c:v>
                </c:pt>
                <c:pt idx="892">
                  <c:v>976.66817413190017</c:v>
                </c:pt>
                <c:pt idx="893">
                  <c:v>976.66817413190017</c:v>
                </c:pt>
                <c:pt idx="894">
                  <c:v>976.66817413190017</c:v>
                </c:pt>
                <c:pt idx="895">
                  <c:v>976.66817413190017</c:v>
                </c:pt>
                <c:pt idx="896">
                  <c:v>976.66817413190017</c:v>
                </c:pt>
                <c:pt idx="897">
                  <c:v>976.66817413190017</c:v>
                </c:pt>
                <c:pt idx="898">
                  <c:v>976.66817413190017</c:v>
                </c:pt>
                <c:pt idx="899">
                  <c:v>976.66817413190017</c:v>
                </c:pt>
                <c:pt idx="900">
                  <c:v>976.66817413190017</c:v>
                </c:pt>
                <c:pt idx="901">
                  <c:v>976.66817413190017</c:v>
                </c:pt>
                <c:pt idx="902">
                  <c:v>976.66817413190017</c:v>
                </c:pt>
                <c:pt idx="903">
                  <c:v>976.66817413190017</c:v>
                </c:pt>
                <c:pt idx="904">
                  <c:v>976.66817413190017</c:v>
                </c:pt>
                <c:pt idx="905">
                  <c:v>976.66817413190017</c:v>
                </c:pt>
                <c:pt idx="906">
                  <c:v>976.66817413190017</c:v>
                </c:pt>
                <c:pt idx="907">
                  <c:v>976.66817413190017</c:v>
                </c:pt>
                <c:pt idx="908">
                  <c:v>976.66817413190017</c:v>
                </c:pt>
                <c:pt idx="909">
                  <c:v>976.66817413190017</c:v>
                </c:pt>
                <c:pt idx="910">
                  <c:v>976.66817413190017</c:v>
                </c:pt>
                <c:pt idx="911">
                  <c:v>976.66817413190017</c:v>
                </c:pt>
                <c:pt idx="912">
                  <c:v>976.66817413190017</c:v>
                </c:pt>
                <c:pt idx="913">
                  <c:v>976.66817413190017</c:v>
                </c:pt>
                <c:pt idx="914">
                  <c:v>976.66817413190017</c:v>
                </c:pt>
                <c:pt idx="915">
                  <c:v>976.66817413190017</c:v>
                </c:pt>
                <c:pt idx="916">
                  <c:v>976.66817413190017</c:v>
                </c:pt>
                <c:pt idx="917">
                  <c:v>976.66817413190017</c:v>
                </c:pt>
                <c:pt idx="918">
                  <c:v>976.66817413190017</c:v>
                </c:pt>
                <c:pt idx="919">
                  <c:v>976.66817413190017</c:v>
                </c:pt>
                <c:pt idx="920">
                  <c:v>976.66817413190017</c:v>
                </c:pt>
                <c:pt idx="921">
                  <c:v>976.66817413190017</c:v>
                </c:pt>
                <c:pt idx="922">
                  <c:v>976.66817413190017</c:v>
                </c:pt>
                <c:pt idx="923">
                  <c:v>976.66817413190017</c:v>
                </c:pt>
                <c:pt idx="924">
                  <c:v>976.66817413190017</c:v>
                </c:pt>
                <c:pt idx="925">
                  <c:v>976.66817413190017</c:v>
                </c:pt>
                <c:pt idx="926">
                  <c:v>976.66817413190017</c:v>
                </c:pt>
                <c:pt idx="927">
                  <c:v>976.66817413190017</c:v>
                </c:pt>
                <c:pt idx="928">
                  <c:v>976.66817413190017</c:v>
                </c:pt>
                <c:pt idx="929">
                  <c:v>976.66817413190017</c:v>
                </c:pt>
                <c:pt idx="930">
                  <c:v>976.66817413190017</c:v>
                </c:pt>
                <c:pt idx="931">
                  <c:v>976.66817413190017</c:v>
                </c:pt>
                <c:pt idx="932">
                  <c:v>976.66817413190017</c:v>
                </c:pt>
                <c:pt idx="933">
                  <c:v>976.66817413190017</c:v>
                </c:pt>
                <c:pt idx="934">
                  <c:v>976.66817413190017</c:v>
                </c:pt>
                <c:pt idx="935">
                  <c:v>976.66817413190017</c:v>
                </c:pt>
                <c:pt idx="936">
                  <c:v>976.66817413190017</c:v>
                </c:pt>
                <c:pt idx="937">
                  <c:v>976.66817413190017</c:v>
                </c:pt>
                <c:pt idx="938">
                  <c:v>976.66817413190017</c:v>
                </c:pt>
                <c:pt idx="939">
                  <c:v>976.66817413190017</c:v>
                </c:pt>
                <c:pt idx="940">
                  <c:v>976.66817413190017</c:v>
                </c:pt>
                <c:pt idx="941">
                  <c:v>976.66817413190017</c:v>
                </c:pt>
                <c:pt idx="942">
                  <c:v>976.66817413190017</c:v>
                </c:pt>
                <c:pt idx="943">
                  <c:v>976.66817413190017</c:v>
                </c:pt>
                <c:pt idx="944">
                  <c:v>976.66817413190017</c:v>
                </c:pt>
                <c:pt idx="945">
                  <c:v>976.66817413190017</c:v>
                </c:pt>
                <c:pt idx="946">
                  <c:v>976.66817413190017</c:v>
                </c:pt>
                <c:pt idx="947">
                  <c:v>976.66817413190017</c:v>
                </c:pt>
                <c:pt idx="948">
                  <c:v>976.66817413190017</c:v>
                </c:pt>
                <c:pt idx="949">
                  <c:v>976.66817413190017</c:v>
                </c:pt>
                <c:pt idx="950">
                  <c:v>976.66817413190017</c:v>
                </c:pt>
                <c:pt idx="951">
                  <c:v>976.66817413190017</c:v>
                </c:pt>
                <c:pt idx="952">
                  <c:v>976.66817413190017</c:v>
                </c:pt>
                <c:pt idx="953">
                  <c:v>976.66817413190017</c:v>
                </c:pt>
                <c:pt idx="954">
                  <c:v>976.66817413190017</c:v>
                </c:pt>
                <c:pt idx="955">
                  <c:v>976.66817413190017</c:v>
                </c:pt>
                <c:pt idx="956">
                  <c:v>976.66817413190017</c:v>
                </c:pt>
                <c:pt idx="957">
                  <c:v>976.66817413190017</c:v>
                </c:pt>
                <c:pt idx="958">
                  <c:v>976.66817413190017</c:v>
                </c:pt>
                <c:pt idx="959">
                  <c:v>976.66817413190017</c:v>
                </c:pt>
                <c:pt idx="960">
                  <c:v>976.66817413190017</c:v>
                </c:pt>
                <c:pt idx="961">
                  <c:v>976.66817413190017</c:v>
                </c:pt>
                <c:pt idx="962">
                  <c:v>976.66817413190017</c:v>
                </c:pt>
                <c:pt idx="963">
                  <c:v>976.66817413190017</c:v>
                </c:pt>
                <c:pt idx="964">
                  <c:v>976.66817413190017</c:v>
                </c:pt>
                <c:pt idx="965">
                  <c:v>976.66817413190017</c:v>
                </c:pt>
                <c:pt idx="966">
                  <c:v>976.66817413190017</c:v>
                </c:pt>
                <c:pt idx="967">
                  <c:v>976.66817413190017</c:v>
                </c:pt>
                <c:pt idx="968">
                  <c:v>976.66817413190017</c:v>
                </c:pt>
                <c:pt idx="969">
                  <c:v>976.66817413190017</c:v>
                </c:pt>
                <c:pt idx="970">
                  <c:v>976.66817413190017</c:v>
                </c:pt>
                <c:pt idx="971">
                  <c:v>976.66817413190017</c:v>
                </c:pt>
                <c:pt idx="972">
                  <c:v>976.66817413190017</c:v>
                </c:pt>
                <c:pt idx="973">
                  <c:v>976.66817413190017</c:v>
                </c:pt>
                <c:pt idx="974">
                  <c:v>976.66817413190017</c:v>
                </c:pt>
                <c:pt idx="975">
                  <c:v>976.66817413190017</c:v>
                </c:pt>
                <c:pt idx="976">
                  <c:v>976.66817413190017</c:v>
                </c:pt>
                <c:pt idx="977">
                  <c:v>976.66817413190017</c:v>
                </c:pt>
                <c:pt idx="978">
                  <c:v>976.66817413190017</c:v>
                </c:pt>
                <c:pt idx="979">
                  <c:v>976.66817413190017</c:v>
                </c:pt>
                <c:pt idx="980">
                  <c:v>976.66817413190017</c:v>
                </c:pt>
                <c:pt idx="981">
                  <c:v>976.66817413190017</c:v>
                </c:pt>
                <c:pt idx="982">
                  <c:v>976.66817413190017</c:v>
                </c:pt>
                <c:pt idx="983">
                  <c:v>976.66817413190017</c:v>
                </c:pt>
                <c:pt idx="984">
                  <c:v>976.66817413190017</c:v>
                </c:pt>
                <c:pt idx="985">
                  <c:v>976.66817413190017</c:v>
                </c:pt>
                <c:pt idx="986">
                  <c:v>976.66817413190017</c:v>
                </c:pt>
                <c:pt idx="987">
                  <c:v>976.66817413190017</c:v>
                </c:pt>
                <c:pt idx="988">
                  <c:v>976.66817413190017</c:v>
                </c:pt>
                <c:pt idx="989">
                  <c:v>976.66817413190017</c:v>
                </c:pt>
                <c:pt idx="990">
                  <c:v>976.66817413190017</c:v>
                </c:pt>
                <c:pt idx="991">
                  <c:v>976.66817413190017</c:v>
                </c:pt>
                <c:pt idx="992">
                  <c:v>976.66817413190017</c:v>
                </c:pt>
                <c:pt idx="993">
                  <c:v>976.66817413190017</c:v>
                </c:pt>
                <c:pt idx="994">
                  <c:v>976.66817413190017</c:v>
                </c:pt>
                <c:pt idx="995">
                  <c:v>976.66817413190017</c:v>
                </c:pt>
                <c:pt idx="996">
                  <c:v>976.66817413190017</c:v>
                </c:pt>
                <c:pt idx="997">
                  <c:v>976.66817413190017</c:v>
                </c:pt>
                <c:pt idx="998">
                  <c:v>976.66817413190017</c:v>
                </c:pt>
                <c:pt idx="999">
                  <c:v>976.66817413190017</c:v>
                </c:pt>
                <c:pt idx="1000">
                  <c:v>976.66817413190017</c:v>
                </c:pt>
              </c:numCache>
            </c:numRef>
          </c:yVal>
          <c:smooth val="0"/>
          <c:extLst>
            <c:ext xmlns:c16="http://schemas.microsoft.com/office/drawing/2014/chart" uri="{C3380CC4-5D6E-409C-BE32-E72D297353CC}">
              <c16:uniqueId val="{00000000-B5CC-4BD6-9E0D-EA30945FB569}"/>
            </c:ext>
          </c:extLst>
        </c:ser>
        <c:ser>
          <c:idx val="1"/>
          <c:order val="1"/>
          <c:tx>
            <c:strRef>
              <c:f>Courbes!$B$143</c:f>
              <c:strCache>
                <c:ptCount val="1"/>
                <c:pt idx="0">
                  <c:v>Altitude</c:v>
                </c:pt>
              </c:strCache>
            </c:strRef>
          </c:tx>
          <c:spPr>
            <a:ln w="12700">
              <a:solidFill>
                <a:srgbClr val="000080"/>
              </a:solidFill>
              <a:prstDash val="solid"/>
            </a:ln>
          </c:spPr>
          <c:marker>
            <c:symbol val="none"/>
          </c:marker>
          <c:xVal>
            <c:numRef>
              <c:f>Calculs!$B$4:$B$1004</c:f>
              <c:numCache>
                <c:formatCode>0.00</c:formatCode>
                <c:ptCount val="1001"/>
                <c:pt idx="0">
                  <c:v>0</c:v>
                </c:pt>
                <c:pt idx="1">
                  <c:v>0.01</c:v>
                </c:pt>
                <c:pt idx="2">
                  <c:v>0.02</c:v>
                </c:pt>
                <c:pt idx="3">
                  <c:v>0.03</c:v>
                </c:pt>
                <c:pt idx="4">
                  <c:v>0.04</c:v>
                </c:pt>
                <c:pt idx="5">
                  <c:v>0.05</c:v>
                </c:pt>
                <c:pt idx="6">
                  <c:v>6.0000000000000005E-2</c:v>
                </c:pt>
                <c:pt idx="7">
                  <c:v>7.0000000000000007E-2</c:v>
                </c:pt>
                <c:pt idx="8">
                  <c:v>0.08</c:v>
                </c:pt>
                <c:pt idx="9">
                  <c:v>0.09</c:v>
                </c:pt>
                <c:pt idx="10">
                  <c:v>9.9999999999999992E-2</c:v>
                </c:pt>
                <c:pt idx="11">
                  <c:v>0.10999999999999999</c:v>
                </c:pt>
                <c:pt idx="12">
                  <c:v>0.11999999999999998</c:v>
                </c:pt>
                <c:pt idx="13">
                  <c:v>0.12999999999999998</c:v>
                </c:pt>
                <c:pt idx="14">
                  <c:v>0.13999999999999999</c:v>
                </c:pt>
                <c:pt idx="15">
                  <c:v>0.15</c:v>
                </c:pt>
                <c:pt idx="16">
                  <c:v>0.16</c:v>
                </c:pt>
                <c:pt idx="17">
                  <c:v>0.17</c:v>
                </c:pt>
                <c:pt idx="18">
                  <c:v>0.18000000000000002</c:v>
                </c:pt>
                <c:pt idx="19">
                  <c:v>0.19000000000000003</c:v>
                </c:pt>
                <c:pt idx="20">
                  <c:v>0.20000000000000004</c:v>
                </c:pt>
                <c:pt idx="21">
                  <c:v>0.21000000000000005</c:v>
                </c:pt>
                <c:pt idx="22">
                  <c:v>0.22000000000000006</c:v>
                </c:pt>
                <c:pt idx="23">
                  <c:v>0.23000000000000007</c:v>
                </c:pt>
                <c:pt idx="24">
                  <c:v>0.24000000000000007</c:v>
                </c:pt>
                <c:pt idx="25">
                  <c:v>0.25000000000000006</c:v>
                </c:pt>
                <c:pt idx="26">
                  <c:v>0.26000000000000006</c:v>
                </c:pt>
                <c:pt idx="27">
                  <c:v>0.27000000000000007</c:v>
                </c:pt>
                <c:pt idx="28">
                  <c:v>0.28000000000000008</c:v>
                </c:pt>
                <c:pt idx="29">
                  <c:v>0.29000000000000009</c:v>
                </c:pt>
                <c:pt idx="30">
                  <c:v>0.3000000000000001</c:v>
                </c:pt>
                <c:pt idx="31">
                  <c:v>0.31000000000000011</c:v>
                </c:pt>
                <c:pt idx="32">
                  <c:v>0.32000000000000012</c:v>
                </c:pt>
                <c:pt idx="33">
                  <c:v>0.33000000000000013</c:v>
                </c:pt>
                <c:pt idx="34">
                  <c:v>0.34000000000000014</c:v>
                </c:pt>
                <c:pt idx="35">
                  <c:v>0.35000000000000014</c:v>
                </c:pt>
                <c:pt idx="36">
                  <c:v>0.36000000000000015</c:v>
                </c:pt>
                <c:pt idx="37">
                  <c:v>0.37000000000000016</c:v>
                </c:pt>
                <c:pt idx="38">
                  <c:v>0.38000000000000017</c:v>
                </c:pt>
                <c:pt idx="39">
                  <c:v>0.39000000000000018</c:v>
                </c:pt>
                <c:pt idx="40">
                  <c:v>0.40000000000000019</c:v>
                </c:pt>
                <c:pt idx="41">
                  <c:v>0.4100000000000002</c:v>
                </c:pt>
                <c:pt idx="42">
                  <c:v>0.42000000000000021</c:v>
                </c:pt>
                <c:pt idx="43">
                  <c:v>0.43000000000000022</c:v>
                </c:pt>
                <c:pt idx="44">
                  <c:v>0.44000000000000022</c:v>
                </c:pt>
                <c:pt idx="45">
                  <c:v>0.45000000000000023</c:v>
                </c:pt>
                <c:pt idx="46">
                  <c:v>0.46000000000000024</c:v>
                </c:pt>
                <c:pt idx="47">
                  <c:v>0.47000000000000025</c:v>
                </c:pt>
                <c:pt idx="48">
                  <c:v>0.48000000000000026</c:v>
                </c:pt>
                <c:pt idx="49">
                  <c:v>0.49000000000000027</c:v>
                </c:pt>
                <c:pt idx="50">
                  <c:v>0.50000000000000022</c:v>
                </c:pt>
                <c:pt idx="51">
                  <c:v>0.51000000000000023</c:v>
                </c:pt>
                <c:pt idx="52">
                  <c:v>0.52000000000000024</c:v>
                </c:pt>
                <c:pt idx="53">
                  <c:v>0.53000000000000025</c:v>
                </c:pt>
                <c:pt idx="54">
                  <c:v>0.54000000000000026</c:v>
                </c:pt>
                <c:pt idx="55">
                  <c:v>0.55000000000000027</c:v>
                </c:pt>
                <c:pt idx="56">
                  <c:v>0.56000000000000028</c:v>
                </c:pt>
                <c:pt idx="57">
                  <c:v>0.57000000000000028</c:v>
                </c:pt>
                <c:pt idx="58">
                  <c:v>0.58000000000000029</c:v>
                </c:pt>
                <c:pt idx="59">
                  <c:v>0.5900000000000003</c:v>
                </c:pt>
                <c:pt idx="60">
                  <c:v>0.60000000000000031</c:v>
                </c:pt>
                <c:pt idx="61">
                  <c:v>0.61000000000000032</c:v>
                </c:pt>
                <c:pt idx="62">
                  <c:v>0.62000000000000033</c:v>
                </c:pt>
                <c:pt idx="63">
                  <c:v>0.63000000000000034</c:v>
                </c:pt>
                <c:pt idx="64">
                  <c:v>0.64000000000000035</c:v>
                </c:pt>
                <c:pt idx="65">
                  <c:v>0.65000000000000036</c:v>
                </c:pt>
                <c:pt idx="66">
                  <c:v>0.66000000000000036</c:v>
                </c:pt>
                <c:pt idx="67">
                  <c:v>0.67000000000000037</c:v>
                </c:pt>
                <c:pt idx="68">
                  <c:v>0.68000000000000038</c:v>
                </c:pt>
                <c:pt idx="69">
                  <c:v>0.69000000000000039</c:v>
                </c:pt>
                <c:pt idx="70">
                  <c:v>0.7000000000000004</c:v>
                </c:pt>
                <c:pt idx="71">
                  <c:v>0.71000000000000041</c:v>
                </c:pt>
                <c:pt idx="72">
                  <c:v>0.72000000000000042</c:v>
                </c:pt>
                <c:pt idx="73">
                  <c:v>0.73000000000000043</c:v>
                </c:pt>
                <c:pt idx="74">
                  <c:v>0.74000000000000044</c:v>
                </c:pt>
                <c:pt idx="75">
                  <c:v>0.75000000000000044</c:v>
                </c:pt>
                <c:pt idx="76">
                  <c:v>0.76000000000000045</c:v>
                </c:pt>
                <c:pt idx="77">
                  <c:v>0.77000000000000046</c:v>
                </c:pt>
                <c:pt idx="78">
                  <c:v>0.78000000000000047</c:v>
                </c:pt>
                <c:pt idx="79">
                  <c:v>0.79000000000000048</c:v>
                </c:pt>
                <c:pt idx="80">
                  <c:v>0.80000000000000049</c:v>
                </c:pt>
                <c:pt idx="81">
                  <c:v>0.8100000000000005</c:v>
                </c:pt>
                <c:pt idx="82">
                  <c:v>0.82000000000000051</c:v>
                </c:pt>
                <c:pt idx="83">
                  <c:v>0.83000000000000052</c:v>
                </c:pt>
                <c:pt idx="84">
                  <c:v>0.84000000000000052</c:v>
                </c:pt>
                <c:pt idx="85">
                  <c:v>0.85000000000000053</c:v>
                </c:pt>
                <c:pt idx="86">
                  <c:v>0.86000000000000054</c:v>
                </c:pt>
                <c:pt idx="87">
                  <c:v>0.87000000000000055</c:v>
                </c:pt>
                <c:pt idx="88">
                  <c:v>0.88000000000000056</c:v>
                </c:pt>
                <c:pt idx="89">
                  <c:v>0.89000000000000057</c:v>
                </c:pt>
                <c:pt idx="90">
                  <c:v>0.90000000000000058</c:v>
                </c:pt>
                <c:pt idx="91">
                  <c:v>0.91000000000000059</c:v>
                </c:pt>
                <c:pt idx="92">
                  <c:v>0.9200000000000006</c:v>
                </c:pt>
                <c:pt idx="93">
                  <c:v>0.9300000000000006</c:v>
                </c:pt>
                <c:pt idx="94">
                  <c:v>0.94000000000000061</c:v>
                </c:pt>
                <c:pt idx="95">
                  <c:v>0.95000000000000062</c:v>
                </c:pt>
                <c:pt idx="96">
                  <c:v>0.96000000000000063</c:v>
                </c:pt>
                <c:pt idx="97">
                  <c:v>0.97000000000000064</c:v>
                </c:pt>
                <c:pt idx="98">
                  <c:v>0.98000000000000065</c:v>
                </c:pt>
                <c:pt idx="99">
                  <c:v>0.99000000000000066</c:v>
                </c:pt>
                <c:pt idx="100">
                  <c:v>1.0000000000000007</c:v>
                </c:pt>
                <c:pt idx="101">
                  <c:v>1.0100000000000007</c:v>
                </c:pt>
                <c:pt idx="102">
                  <c:v>1.0200000000000007</c:v>
                </c:pt>
                <c:pt idx="103">
                  <c:v>1.0300000000000007</c:v>
                </c:pt>
                <c:pt idx="104">
                  <c:v>1.0400000000000007</c:v>
                </c:pt>
                <c:pt idx="105">
                  <c:v>1.0500000000000007</c:v>
                </c:pt>
                <c:pt idx="106">
                  <c:v>1.0600000000000007</c:v>
                </c:pt>
                <c:pt idx="107">
                  <c:v>1.0700000000000007</c:v>
                </c:pt>
                <c:pt idx="108">
                  <c:v>1.0800000000000007</c:v>
                </c:pt>
                <c:pt idx="109">
                  <c:v>1.0900000000000007</c:v>
                </c:pt>
                <c:pt idx="110">
                  <c:v>1.1000000000000008</c:v>
                </c:pt>
                <c:pt idx="111">
                  <c:v>1.1100000000000008</c:v>
                </c:pt>
                <c:pt idx="112">
                  <c:v>1.1200000000000008</c:v>
                </c:pt>
                <c:pt idx="113">
                  <c:v>1.1300000000000008</c:v>
                </c:pt>
                <c:pt idx="114">
                  <c:v>1.1400000000000008</c:v>
                </c:pt>
                <c:pt idx="115">
                  <c:v>1.1500000000000008</c:v>
                </c:pt>
                <c:pt idx="116">
                  <c:v>1.1600000000000008</c:v>
                </c:pt>
                <c:pt idx="117">
                  <c:v>1.1700000000000008</c:v>
                </c:pt>
                <c:pt idx="118">
                  <c:v>1.1800000000000008</c:v>
                </c:pt>
                <c:pt idx="119">
                  <c:v>1.1900000000000008</c:v>
                </c:pt>
                <c:pt idx="120">
                  <c:v>1.2000000000000008</c:v>
                </c:pt>
                <c:pt idx="121">
                  <c:v>1.2100000000000009</c:v>
                </c:pt>
                <c:pt idx="122">
                  <c:v>1.2200000000000009</c:v>
                </c:pt>
                <c:pt idx="123">
                  <c:v>1.2300000000000009</c:v>
                </c:pt>
                <c:pt idx="124">
                  <c:v>1.2400000000000009</c:v>
                </c:pt>
                <c:pt idx="125">
                  <c:v>1.2500000000000009</c:v>
                </c:pt>
                <c:pt idx="126">
                  <c:v>1.2600000000000009</c:v>
                </c:pt>
                <c:pt idx="127">
                  <c:v>1.2700000000000009</c:v>
                </c:pt>
                <c:pt idx="128">
                  <c:v>1.2800000000000009</c:v>
                </c:pt>
                <c:pt idx="129">
                  <c:v>1.2900000000000009</c:v>
                </c:pt>
                <c:pt idx="130">
                  <c:v>1.3000000000000009</c:v>
                </c:pt>
                <c:pt idx="131">
                  <c:v>1.3100000000000009</c:v>
                </c:pt>
                <c:pt idx="132">
                  <c:v>1.320000000000001</c:v>
                </c:pt>
                <c:pt idx="133">
                  <c:v>1.330000000000001</c:v>
                </c:pt>
                <c:pt idx="134">
                  <c:v>1.340000000000001</c:v>
                </c:pt>
                <c:pt idx="135">
                  <c:v>1.350000000000001</c:v>
                </c:pt>
                <c:pt idx="136">
                  <c:v>1.360000000000001</c:v>
                </c:pt>
                <c:pt idx="137">
                  <c:v>1.370000000000001</c:v>
                </c:pt>
                <c:pt idx="138">
                  <c:v>1.380000000000001</c:v>
                </c:pt>
                <c:pt idx="139">
                  <c:v>1.390000000000001</c:v>
                </c:pt>
                <c:pt idx="140">
                  <c:v>1.400000000000001</c:v>
                </c:pt>
                <c:pt idx="141">
                  <c:v>1.410000000000001</c:v>
                </c:pt>
                <c:pt idx="142">
                  <c:v>1.420000000000001</c:v>
                </c:pt>
                <c:pt idx="143">
                  <c:v>1.430000000000001</c:v>
                </c:pt>
                <c:pt idx="144">
                  <c:v>1.4400000000000011</c:v>
                </c:pt>
                <c:pt idx="145">
                  <c:v>1.4500000000000011</c:v>
                </c:pt>
                <c:pt idx="146">
                  <c:v>1.4600000000000011</c:v>
                </c:pt>
                <c:pt idx="147">
                  <c:v>1.4700000000000011</c:v>
                </c:pt>
                <c:pt idx="148">
                  <c:v>1.4800000000000011</c:v>
                </c:pt>
                <c:pt idx="149">
                  <c:v>1.4900000000000011</c:v>
                </c:pt>
                <c:pt idx="150">
                  <c:v>1.5000000000000011</c:v>
                </c:pt>
                <c:pt idx="151">
                  <c:v>1.5100000000000011</c:v>
                </c:pt>
                <c:pt idx="152">
                  <c:v>1.5200000000000011</c:v>
                </c:pt>
                <c:pt idx="153">
                  <c:v>1.5300000000000011</c:v>
                </c:pt>
                <c:pt idx="154">
                  <c:v>1.5400000000000011</c:v>
                </c:pt>
                <c:pt idx="155">
                  <c:v>1.5500000000000012</c:v>
                </c:pt>
                <c:pt idx="156">
                  <c:v>1.5600000000000012</c:v>
                </c:pt>
                <c:pt idx="157">
                  <c:v>1.5700000000000012</c:v>
                </c:pt>
                <c:pt idx="158">
                  <c:v>1.5800000000000012</c:v>
                </c:pt>
                <c:pt idx="159">
                  <c:v>1.5900000000000012</c:v>
                </c:pt>
                <c:pt idx="160">
                  <c:v>1.6000000000000012</c:v>
                </c:pt>
                <c:pt idx="161">
                  <c:v>1.6100000000000012</c:v>
                </c:pt>
                <c:pt idx="162">
                  <c:v>1.6200000000000012</c:v>
                </c:pt>
                <c:pt idx="163">
                  <c:v>1.6300000000000012</c:v>
                </c:pt>
                <c:pt idx="164">
                  <c:v>1.6400000000000012</c:v>
                </c:pt>
                <c:pt idx="165">
                  <c:v>1.6500000000000012</c:v>
                </c:pt>
                <c:pt idx="166">
                  <c:v>1.6600000000000013</c:v>
                </c:pt>
                <c:pt idx="167">
                  <c:v>1.6700000000000013</c:v>
                </c:pt>
                <c:pt idx="168">
                  <c:v>1.6800000000000013</c:v>
                </c:pt>
                <c:pt idx="169">
                  <c:v>1.6900000000000013</c:v>
                </c:pt>
                <c:pt idx="170">
                  <c:v>1.7000000000000013</c:v>
                </c:pt>
                <c:pt idx="171">
                  <c:v>1.7100000000000013</c:v>
                </c:pt>
                <c:pt idx="172">
                  <c:v>1.7200000000000013</c:v>
                </c:pt>
                <c:pt idx="173">
                  <c:v>1.7300000000000013</c:v>
                </c:pt>
                <c:pt idx="174">
                  <c:v>1.7400000000000013</c:v>
                </c:pt>
                <c:pt idx="175">
                  <c:v>1.7500000000000013</c:v>
                </c:pt>
                <c:pt idx="176">
                  <c:v>1.7600000000000013</c:v>
                </c:pt>
                <c:pt idx="177">
                  <c:v>1.7700000000000014</c:v>
                </c:pt>
                <c:pt idx="178">
                  <c:v>1.7800000000000014</c:v>
                </c:pt>
                <c:pt idx="179">
                  <c:v>1.7900000000000014</c:v>
                </c:pt>
                <c:pt idx="180">
                  <c:v>1.8000000000000014</c:v>
                </c:pt>
                <c:pt idx="181">
                  <c:v>1.8100000000000014</c:v>
                </c:pt>
                <c:pt idx="182">
                  <c:v>1.8200000000000014</c:v>
                </c:pt>
                <c:pt idx="183">
                  <c:v>1.8300000000000014</c:v>
                </c:pt>
                <c:pt idx="184">
                  <c:v>1.8400000000000014</c:v>
                </c:pt>
                <c:pt idx="185">
                  <c:v>1.8500000000000014</c:v>
                </c:pt>
                <c:pt idx="186">
                  <c:v>1.8600000000000014</c:v>
                </c:pt>
                <c:pt idx="187">
                  <c:v>1.8700000000000014</c:v>
                </c:pt>
                <c:pt idx="188">
                  <c:v>1.8800000000000014</c:v>
                </c:pt>
                <c:pt idx="189">
                  <c:v>1.8900000000000015</c:v>
                </c:pt>
                <c:pt idx="190">
                  <c:v>1.9000000000000015</c:v>
                </c:pt>
                <c:pt idx="191">
                  <c:v>1.9100000000000015</c:v>
                </c:pt>
                <c:pt idx="192">
                  <c:v>1.9200000000000015</c:v>
                </c:pt>
                <c:pt idx="193">
                  <c:v>1.9300000000000015</c:v>
                </c:pt>
                <c:pt idx="194">
                  <c:v>1.9400000000000015</c:v>
                </c:pt>
                <c:pt idx="195">
                  <c:v>1.9500000000000015</c:v>
                </c:pt>
                <c:pt idx="196">
                  <c:v>1.9600000000000015</c:v>
                </c:pt>
                <c:pt idx="197">
                  <c:v>1.9700000000000015</c:v>
                </c:pt>
                <c:pt idx="198">
                  <c:v>1.9800000000000015</c:v>
                </c:pt>
                <c:pt idx="199">
                  <c:v>1.9900000000000015</c:v>
                </c:pt>
                <c:pt idx="200">
                  <c:v>2.0000000000000013</c:v>
                </c:pt>
                <c:pt idx="201">
                  <c:v>2.0100000000000011</c:v>
                </c:pt>
                <c:pt idx="202">
                  <c:v>2.0200000000000009</c:v>
                </c:pt>
                <c:pt idx="203">
                  <c:v>2.0300000000000007</c:v>
                </c:pt>
                <c:pt idx="204">
                  <c:v>2.0400000000000005</c:v>
                </c:pt>
                <c:pt idx="205">
                  <c:v>2.0500000000000003</c:v>
                </c:pt>
                <c:pt idx="206">
                  <c:v>2.06</c:v>
                </c:pt>
                <c:pt idx="207">
                  <c:v>2.0699999999999998</c:v>
                </c:pt>
                <c:pt idx="208">
                  <c:v>2.0799999999999996</c:v>
                </c:pt>
                <c:pt idx="209">
                  <c:v>2.0899999999999994</c:v>
                </c:pt>
                <c:pt idx="210">
                  <c:v>2.0999999999999992</c:v>
                </c:pt>
                <c:pt idx="211">
                  <c:v>2.109999999999999</c:v>
                </c:pt>
                <c:pt idx="212">
                  <c:v>2.1199999999999988</c:v>
                </c:pt>
                <c:pt idx="213">
                  <c:v>2.1299999999999986</c:v>
                </c:pt>
                <c:pt idx="214">
                  <c:v>2.1399999999999983</c:v>
                </c:pt>
                <c:pt idx="215">
                  <c:v>2.1499999999999981</c:v>
                </c:pt>
                <c:pt idx="216">
                  <c:v>2.1599999999999979</c:v>
                </c:pt>
                <c:pt idx="217">
                  <c:v>2.1699999999999977</c:v>
                </c:pt>
                <c:pt idx="218">
                  <c:v>2.1799999999999975</c:v>
                </c:pt>
                <c:pt idx="219">
                  <c:v>2.1899999999999973</c:v>
                </c:pt>
                <c:pt idx="220">
                  <c:v>2.1999999999999971</c:v>
                </c:pt>
                <c:pt idx="221">
                  <c:v>2.2099999999999969</c:v>
                </c:pt>
                <c:pt idx="222">
                  <c:v>2.2199999999999966</c:v>
                </c:pt>
                <c:pt idx="223">
                  <c:v>2.2299999999999964</c:v>
                </c:pt>
                <c:pt idx="224">
                  <c:v>2.2399999999999962</c:v>
                </c:pt>
                <c:pt idx="225">
                  <c:v>2.249999999999996</c:v>
                </c:pt>
                <c:pt idx="226">
                  <c:v>2.2599999999999958</c:v>
                </c:pt>
                <c:pt idx="227">
                  <c:v>2.2699999999999956</c:v>
                </c:pt>
                <c:pt idx="228">
                  <c:v>2.2799999999999954</c:v>
                </c:pt>
                <c:pt idx="229">
                  <c:v>2.2899999999999952</c:v>
                </c:pt>
                <c:pt idx="230">
                  <c:v>2.2999999999999949</c:v>
                </c:pt>
                <c:pt idx="231">
                  <c:v>2.3099999999999947</c:v>
                </c:pt>
                <c:pt idx="232">
                  <c:v>2.3199999999999945</c:v>
                </c:pt>
                <c:pt idx="233">
                  <c:v>2.3299999999999943</c:v>
                </c:pt>
                <c:pt idx="234">
                  <c:v>2.3399999999999941</c:v>
                </c:pt>
                <c:pt idx="235">
                  <c:v>2.3499999999999939</c:v>
                </c:pt>
                <c:pt idx="236">
                  <c:v>2.3599999999999937</c:v>
                </c:pt>
                <c:pt idx="237">
                  <c:v>2.3699999999999934</c:v>
                </c:pt>
                <c:pt idx="238">
                  <c:v>2.3799999999999932</c:v>
                </c:pt>
                <c:pt idx="239">
                  <c:v>2.389999999999993</c:v>
                </c:pt>
                <c:pt idx="240">
                  <c:v>2.3999999999999928</c:v>
                </c:pt>
                <c:pt idx="241">
                  <c:v>2.4099999999999926</c:v>
                </c:pt>
                <c:pt idx="242">
                  <c:v>2.4199999999999924</c:v>
                </c:pt>
                <c:pt idx="243">
                  <c:v>2.4299999999999922</c:v>
                </c:pt>
                <c:pt idx="244">
                  <c:v>2.439999999999992</c:v>
                </c:pt>
                <c:pt idx="245">
                  <c:v>2.4499999999999917</c:v>
                </c:pt>
                <c:pt idx="246">
                  <c:v>2.4599999999999915</c:v>
                </c:pt>
                <c:pt idx="247">
                  <c:v>2.4699999999999913</c:v>
                </c:pt>
                <c:pt idx="248">
                  <c:v>2.4799999999999911</c:v>
                </c:pt>
                <c:pt idx="249">
                  <c:v>2.4899999999999909</c:v>
                </c:pt>
                <c:pt idx="250">
                  <c:v>2.4999999999999907</c:v>
                </c:pt>
                <c:pt idx="251">
                  <c:v>2.5099999999999905</c:v>
                </c:pt>
                <c:pt idx="252">
                  <c:v>2.5199999999999902</c:v>
                </c:pt>
                <c:pt idx="253">
                  <c:v>2.52999999999999</c:v>
                </c:pt>
                <c:pt idx="254">
                  <c:v>2.5399999999999898</c:v>
                </c:pt>
                <c:pt idx="255">
                  <c:v>2.5499999999999896</c:v>
                </c:pt>
                <c:pt idx="256">
                  <c:v>2.5599999999999894</c:v>
                </c:pt>
                <c:pt idx="257">
                  <c:v>2.5699999999999892</c:v>
                </c:pt>
                <c:pt idx="258">
                  <c:v>2.579999999999989</c:v>
                </c:pt>
                <c:pt idx="259">
                  <c:v>2.5899999999999888</c:v>
                </c:pt>
                <c:pt idx="260">
                  <c:v>2.5999999999999885</c:v>
                </c:pt>
                <c:pt idx="261">
                  <c:v>2.6099999999999883</c:v>
                </c:pt>
                <c:pt idx="262">
                  <c:v>2.6199999999999881</c:v>
                </c:pt>
                <c:pt idx="263">
                  <c:v>2.6299999999999879</c:v>
                </c:pt>
                <c:pt idx="264">
                  <c:v>2.6399999999999877</c:v>
                </c:pt>
                <c:pt idx="265">
                  <c:v>2.6499999999999875</c:v>
                </c:pt>
                <c:pt idx="266">
                  <c:v>2.6599999999999873</c:v>
                </c:pt>
                <c:pt idx="267">
                  <c:v>2.6699999999999871</c:v>
                </c:pt>
                <c:pt idx="268">
                  <c:v>2.6799999999999868</c:v>
                </c:pt>
                <c:pt idx="269">
                  <c:v>2.6899999999999866</c:v>
                </c:pt>
                <c:pt idx="270">
                  <c:v>2.6999999999999864</c:v>
                </c:pt>
                <c:pt idx="271">
                  <c:v>2.7099999999999862</c:v>
                </c:pt>
                <c:pt idx="272">
                  <c:v>2.719999999999986</c:v>
                </c:pt>
                <c:pt idx="273">
                  <c:v>2.7299999999999858</c:v>
                </c:pt>
                <c:pt idx="274">
                  <c:v>2.7399999999999856</c:v>
                </c:pt>
                <c:pt idx="275">
                  <c:v>2.7499999999999853</c:v>
                </c:pt>
                <c:pt idx="276">
                  <c:v>2.7599999999999851</c:v>
                </c:pt>
                <c:pt idx="277">
                  <c:v>2.7699999999999849</c:v>
                </c:pt>
                <c:pt idx="278">
                  <c:v>2.7799999999999847</c:v>
                </c:pt>
                <c:pt idx="279">
                  <c:v>2.7899999999999845</c:v>
                </c:pt>
                <c:pt idx="280">
                  <c:v>2.7999999999999843</c:v>
                </c:pt>
                <c:pt idx="281">
                  <c:v>2.8099999999999841</c:v>
                </c:pt>
                <c:pt idx="282">
                  <c:v>2.8199999999999839</c:v>
                </c:pt>
                <c:pt idx="283">
                  <c:v>2.8299999999999836</c:v>
                </c:pt>
                <c:pt idx="284">
                  <c:v>2.8399999999999834</c:v>
                </c:pt>
                <c:pt idx="285">
                  <c:v>2.8499999999999832</c:v>
                </c:pt>
                <c:pt idx="286">
                  <c:v>2.859999999999983</c:v>
                </c:pt>
                <c:pt idx="287">
                  <c:v>2.8699999999999828</c:v>
                </c:pt>
                <c:pt idx="288">
                  <c:v>2.8799999999999826</c:v>
                </c:pt>
                <c:pt idx="289">
                  <c:v>2.8899999999999824</c:v>
                </c:pt>
                <c:pt idx="290">
                  <c:v>2.8999999999999821</c:v>
                </c:pt>
                <c:pt idx="291">
                  <c:v>2.9099999999999819</c:v>
                </c:pt>
                <c:pt idx="292">
                  <c:v>2.9199999999999817</c:v>
                </c:pt>
                <c:pt idx="293">
                  <c:v>2.9299999999999815</c:v>
                </c:pt>
                <c:pt idx="294">
                  <c:v>2.9399999999999813</c:v>
                </c:pt>
                <c:pt idx="295">
                  <c:v>2.9499999999999811</c:v>
                </c:pt>
                <c:pt idx="296">
                  <c:v>2.9599999999999809</c:v>
                </c:pt>
                <c:pt idx="297">
                  <c:v>2.9699999999999807</c:v>
                </c:pt>
                <c:pt idx="298">
                  <c:v>2.9799999999999804</c:v>
                </c:pt>
                <c:pt idx="299">
                  <c:v>2.9899999999999802</c:v>
                </c:pt>
                <c:pt idx="300">
                  <c:v>2.99999999999998</c:v>
                </c:pt>
                <c:pt idx="301">
                  <c:v>3.0099999999999798</c:v>
                </c:pt>
                <c:pt idx="302">
                  <c:v>3.0199999999999796</c:v>
                </c:pt>
                <c:pt idx="303">
                  <c:v>3.0299999999999794</c:v>
                </c:pt>
                <c:pt idx="304">
                  <c:v>3.0399999999999792</c:v>
                </c:pt>
                <c:pt idx="305">
                  <c:v>3.049999999999979</c:v>
                </c:pt>
                <c:pt idx="306">
                  <c:v>3.0599999999999787</c:v>
                </c:pt>
                <c:pt idx="307">
                  <c:v>3.0699999999999785</c:v>
                </c:pt>
                <c:pt idx="308">
                  <c:v>3.0799999999999783</c:v>
                </c:pt>
                <c:pt idx="309">
                  <c:v>3.0899999999999781</c:v>
                </c:pt>
                <c:pt idx="310">
                  <c:v>3.0999999999999779</c:v>
                </c:pt>
                <c:pt idx="311">
                  <c:v>3.1099999999999777</c:v>
                </c:pt>
                <c:pt idx="312">
                  <c:v>3.1199999999999775</c:v>
                </c:pt>
                <c:pt idx="313">
                  <c:v>3.1299999999999772</c:v>
                </c:pt>
                <c:pt idx="314">
                  <c:v>3.139999999999977</c:v>
                </c:pt>
                <c:pt idx="315">
                  <c:v>3.1499999999999768</c:v>
                </c:pt>
                <c:pt idx="316">
                  <c:v>3.1599999999999766</c:v>
                </c:pt>
                <c:pt idx="317">
                  <c:v>3.1699999999999764</c:v>
                </c:pt>
                <c:pt idx="318">
                  <c:v>3.1799999999999762</c:v>
                </c:pt>
                <c:pt idx="319">
                  <c:v>3.189999999999976</c:v>
                </c:pt>
                <c:pt idx="320">
                  <c:v>3.1999999999999758</c:v>
                </c:pt>
                <c:pt idx="321">
                  <c:v>3.2099999999999755</c:v>
                </c:pt>
                <c:pt idx="322">
                  <c:v>3.2199999999999753</c:v>
                </c:pt>
                <c:pt idx="323">
                  <c:v>3.2299999999999751</c:v>
                </c:pt>
                <c:pt idx="324">
                  <c:v>3.2399999999999749</c:v>
                </c:pt>
                <c:pt idx="325">
                  <c:v>3.2499999999999747</c:v>
                </c:pt>
                <c:pt idx="326">
                  <c:v>3.2599999999999745</c:v>
                </c:pt>
                <c:pt idx="327">
                  <c:v>3.2699999999999743</c:v>
                </c:pt>
                <c:pt idx="328">
                  <c:v>3.279999999999974</c:v>
                </c:pt>
                <c:pt idx="329">
                  <c:v>3.2899999999999738</c:v>
                </c:pt>
                <c:pt idx="330">
                  <c:v>3.2999999999999736</c:v>
                </c:pt>
                <c:pt idx="331">
                  <c:v>3.3099999999999734</c:v>
                </c:pt>
                <c:pt idx="332">
                  <c:v>3.3199999999999732</c:v>
                </c:pt>
                <c:pt idx="333">
                  <c:v>3.329999999999973</c:v>
                </c:pt>
                <c:pt idx="334">
                  <c:v>3.3399999999999728</c:v>
                </c:pt>
                <c:pt idx="335">
                  <c:v>3.3499999999999726</c:v>
                </c:pt>
                <c:pt idx="336">
                  <c:v>3.3599999999999723</c:v>
                </c:pt>
                <c:pt idx="337">
                  <c:v>3.3699999999999721</c:v>
                </c:pt>
                <c:pt idx="338">
                  <c:v>3.3799999999999719</c:v>
                </c:pt>
                <c:pt idx="339">
                  <c:v>3.3899999999999717</c:v>
                </c:pt>
                <c:pt idx="340">
                  <c:v>3.3999999999999715</c:v>
                </c:pt>
                <c:pt idx="341">
                  <c:v>3.4099999999999713</c:v>
                </c:pt>
                <c:pt idx="342">
                  <c:v>3.4199999999999711</c:v>
                </c:pt>
                <c:pt idx="343">
                  <c:v>3.4299999999999708</c:v>
                </c:pt>
                <c:pt idx="344">
                  <c:v>3.4399999999999706</c:v>
                </c:pt>
                <c:pt idx="345">
                  <c:v>3.4499999999999704</c:v>
                </c:pt>
                <c:pt idx="346">
                  <c:v>3.4599999999999702</c:v>
                </c:pt>
                <c:pt idx="347">
                  <c:v>3.46999999999997</c:v>
                </c:pt>
                <c:pt idx="348">
                  <c:v>3.4799999999999698</c:v>
                </c:pt>
                <c:pt idx="349">
                  <c:v>3.4899999999999696</c:v>
                </c:pt>
                <c:pt idx="350">
                  <c:v>3.4999999999999694</c:v>
                </c:pt>
                <c:pt idx="351">
                  <c:v>3.5099999999999691</c:v>
                </c:pt>
                <c:pt idx="352">
                  <c:v>3.5199999999999689</c:v>
                </c:pt>
                <c:pt idx="353">
                  <c:v>3.5299999999999687</c:v>
                </c:pt>
                <c:pt idx="354">
                  <c:v>3.5399999999999685</c:v>
                </c:pt>
                <c:pt idx="355">
                  <c:v>3.5499999999999683</c:v>
                </c:pt>
                <c:pt idx="356">
                  <c:v>3.5599999999999681</c:v>
                </c:pt>
                <c:pt idx="357">
                  <c:v>3.5699999999999679</c:v>
                </c:pt>
                <c:pt idx="358">
                  <c:v>3.5799999999999677</c:v>
                </c:pt>
                <c:pt idx="359">
                  <c:v>3.5899999999999674</c:v>
                </c:pt>
                <c:pt idx="360">
                  <c:v>3.5999999999999672</c:v>
                </c:pt>
                <c:pt idx="361">
                  <c:v>3.609999999999967</c:v>
                </c:pt>
                <c:pt idx="362">
                  <c:v>3.6199999999999668</c:v>
                </c:pt>
                <c:pt idx="363">
                  <c:v>3.6299999999999666</c:v>
                </c:pt>
                <c:pt idx="364">
                  <c:v>3.6399999999999664</c:v>
                </c:pt>
                <c:pt idx="365">
                  <c:v>3.6499999999999662</c:v>
                </c:pt>
                <c:pt idx="366">
                  <c:v>3.6599999999999659</c:v>
                </c:pt>
                <c:pt idx="367">
                  <c:v>3.6699999999999657</c:v>
                </c:pt>
                <c:pt idx="368">
                  <c:v>3.6799999999999655</c:v>
                </c:pt>
                <c:pt idx="369">
                  <c:v>3.6899999999999653</c:v>
                </c:pt>
                <c:pt idx="370">
                  <c:v>3.6999999999999651</c:v>
                </c:pt>
                <c:pt idx="371">
                  <c:v>3.7099999999999649</c:v>
                </c:pt>
                <c:pt idx="372">
                  <c:v>3.7199999999999647</c:v>
                </c:pt>
                <c:pt idx="373">
                  <c:v>3.7299999999999645</c:v>
                </c:pt>
                <c:pt idx="374">
                  <c:v>3.7399999999999642</c:v>
                </c:pt>
                <c:pt idx="375">
                  <c:v>3.749999999999964</c:v>
                </c:pt>
                <c:pt idx="376">
                  <c:v>3.7599999999999638</c:v>
                </c:pt>
                <c:pt idx="377">
                  <c:v>3.7699999999999636</c:v>
                </c:pt>
                <c:pt idx="378">
                  <c:v>3.7799999999999634</c:v>
                </c:pt>
                <c:pt idx="379">
                  <c:v>3.7899999999999632</c:v>
                </c:pt>
                <c:pt idx="380">
                  <c:v>3.799999999999963</c:v>
                </c:pt>
                <c:pt idx="381">
                  <c:v>3.8099999999999627</c:v>
                </c:pt>
                <c:pt idx="382">
                  <c:v>3.8199999999999625</c:v>
                </c:pt>
                <c:pt idx="383">
                  <c:v>3.8299999999999623</c:v>
                </c:pt>
                <c:pt idx="384">
                  <c:v>3.8399999999999621</c:v>
                </c:pt>
                <c:pt idx="385">
                  <c:v>3.8499999999999619</c:v>
                </c:pt>
                <c:pt idx="386">
                  <c:v>3.8599999999999617</c:v>
                </c:pt>
                <c:pt idx="387">
                  <c:v>3.8699999999999615</c:v>
                </c:pt>
                <c:pt idx="388">
                  <c:v>3.8799999999999613</c:v>
                </c:pt>
                <c:pt idx="389">
                  <c:v>3.889999999999961</c:v>
                </c:pt>
                <c:pt idx="390">
                  <c:v>3.8999999999999608</c:v>
                </c:pt>
                <c:pt idx="391">
                  <c:v>3.9099999999999606</c:v>
                </c:pt>
                <c:pt idx="392">
                  <c:v>3.9199999999999604</c:v>
                </c:pt>
                <c:pt idx="393">
                  <c:v>3.9299999999999602</c:v>
                </c:pt>
                <c:pt idx="394">
                  <c:v>3.93999999999996</c:v>
                </c:pt>
                <c:pt idx="395">
                  <c:v>3.9499999999999598</c:v>
                </c:pt>
                <c:pt idx="396">
                  <c:v>3.9599999999999596</c:v>
                </c:pt>
                <c:pt idx="397">
                  <c:v>3.9699999999999593</c:v>
                </c:pt>
                <c:pt idx="398">
                  <c:v>3.9799999999999591</c:v>
                </c:pt>
                <c:pt idx="399">
                  <c:v>3.9899999999999589</c:v>
                </c:pt>
                <c:pt idx="400">
                  <c:v>3.9999999999999587</c:v>
                </c:pt>
                <c:pt idx="401">
                  <c:v>4.0999999999999588</c:v>
                </c:pt>
                <c:pt idx="402">
                  <c:v>4.1999999999999584</c:v>
                </c:pt>
                <c:pt idx="403">
                  <c:v>4.2999999999999581</c:v>
                </c:pt>
                <c:pt idx="404">
                  <c:v>4.3999999999999577</c:v>
                </c:pt>
                <c:pt idx="405">
                  <c:v>4.4999999999999574</c:v>
                </c:pt>
                <c:pt idx="406">
                  <c:v>4.599999999999957</c:v>
                </c:pt>
                <c:pt idx="407">
                  <c:v>4.6999999999999567</c:v>
                </c:pt>
                <c:pt idx="408">
                  <c:v>4.7999999999999563</c:v>
                </c:pt>
                <c:pt idx="409">
                  <c:v>4.8999999999999559</c:v>
                </c:pt>
                <c:pt idx="410">
                  <c:v>4.9999999999999556</c:v>
                </c:pt>
                <c:pt idx="411">
                  <c:v>5.0999999999999552</c:v>
                </c:pt>
                <c:pt idx="412">
                  <c:v>5.1999999999999549</c:v>
                </c:pt>
                <c:pt idx="413">
                  <c:v>5.2999999999999545</c:v>
                </c:pt>
                <c:pt idx="414">
                  <c:v>5.3999999999999542</c:v>
                </c:pt>
                <c:pt idx="415">
                  <c:v>5.4999999999999538</c:v>
                </c:pt>
                <c:pt idx="416">
                  <c:v>5.5999999999999535</c:v>
                </c:pt>
                <c:pt idx="417">
                  <c:v>5.6999999999999531</c:v>
                </c:pt>
                <c:pt idx="418">
                  <c:v>5.7999999999999527</c:v>
                </c:pt>
                <c:pt idx="419">
                  <c:v>5.8999999999999524</c:v>
                </c:pt>
                <c:pt idx="420">
                  <c:v>5.999999999999952</c:v>
                </c:pt>
                <c:pt idx="421">
                  <c:v>6.0999999999999517</c:v>
                </c:pt>
                <c:pt idx="422">
                  <c:v>6.1999999999999513</c:v>
                </c:pt>
                <c:pt idx="423">
                  <c:v>6.299999999999951</c:v>
                </c:pt>
                <c:pt idx="424">
                  <c:v>6.3999999999999506</c:v>
                </c:pt>
                <c:pt idx="425">
                  <c:v>6.4999999999999503</c:v>
                </c:pt>
                <c:pt idx="426">
                  <c:v>6.5999999999999499</c:v>
                </c:pt>
                <c:pt idx="427">
                  <c:v>6.6999999999999496</c:v>
                </c:pt>
                <c:pt idx="428">
                  <c:v>6.7999999999999492</c:v>
                </c:pt>
                <c:pt idx="429">
                  <c:v>6.8999999999999488</c:v>
                </c:pt>
                <c:pt idx="430">
                  <c:v>6.9999999999999485</c:v>
                </c:pt>
                <c:pt idx="431">
                  <c:v>7.0999999999999481</c:v>
                </c:pt>
                <c:pt idx="432">
                  <c:v>7.1999999999999478</c:v>
                </c:pt>
                <c:pt idx="433">
                  <c:v>7.2999999999999474</c:v>
                </c:pt>
                <c:pt idx="434">
                  <c:v>7.3999999999999471</c:v>
                </c:pt>
                <c:pt idx="435">
                  <c:v>7.4999999999999467</c:v>
                </c:pt>
                <c:pt idx="436">
                  <c:v>7.5999999999999464</c:v>
                </c:pt>
                <c:pt idx="437">
                  <c:v>7.699999999999946</c:v>
                </c:pt>
                <c:pt idx="438">
                  <c:v>7.7999999999999456</c:v>
                </c:pt>
                <c:pt idx="439">
                  <c:v>7.8999999999999453</c:v>
                </c:pt>
                <c:pt idx="440">
                  <c:v>7.9999999999999449</c:v>
                </c:pt>
                <c:pt idx="441">
                  <c:v>8.0999999999999446</c:v>
                </c:pt>
                <c:pt idx="442">
                  <c:v>8.1999999999999442</c:v>
                </c:pt>
                <c:pt idx="443">
                  <c:v>8.2999999999999439</c:v>
                </c:pt>
                <c:pt idx="444">
                  <c:v>8.3999999999999435</c:v>
                </c:pt>
                <c:pt idx="445">
                  <c:v>8.4999999999999432</c:v>
                </c:pt>
                <c:pt idx="446">
                  <c:v>8.5999999999999428</c:v>
                </c:pt>
                <c:pt idx="447">
                  <c:v>8.6999999999999424</c:v>
                </c:pt>
                <c:pt idx="448">
                  <c:v>8.7999999999999421</c:v>
                </c:pt>
                <c:pt idx="449">
                  <c:v>8.8999999999999417</c:v>
                </c:pt>
                <c:pt idx="450">
                  <c:v>8.9999999999999414</c:v>
                </c:pt>
                <c:pt idx="451">
                  <c:v>9.099999999999941</c:v>
                </c:pt>
                <c:pt idx="452">
                  <c:v>9.1999999999999407</c:v>
                </c:pt>
                <c:pt idx="453">
                  <c:v>9.2999999999999403</c:v>
                </c:pt>
                <c:pt idx="454">
                  <c:v>9.39999999999994</c:v>
                </c:pt>
                <c:pt idx="455">
                  <c:v>9.4999999999999396</c:v>
                </c:pt>
                <c:pt idx="456">
                  <c:v>9.5999999999999392</c:v>
                </c:pt>
                <c:pt idx="457">
                  <c:v>9.6999999999999389</c:v>
                </c:pt>
                <c:pt idx="458">
                  <c:v>9.7999999999999385</c:v>
                </c:pt>
                <c:pt idx="459">
                  <c:v>9.8999999999999382</c:v>
                </c:pt>
                <c:pt idx="460">
                  <c:v>9.9999999999999378</c:v>
                </c:pt>
                <c:pt idx="461">
                  <c:v>10.099999999999937</c:v>
                </c:pt>
                <c:pt idx="462">
                  <c:v>10.199999999999937</c:v>
                </c:pt>
                <c:pt idx="463">
                  <c:v>10.299999999999937</c:v>
                </c:pt>
                <c:pt idx="464">
                  <c:v>10.399999999999936</c:v>
                </c:pt>
                <c:pt idx="465">
                  <c:v>10.499999999999936</c:v>
                </c:pt>
                <c:pt idx="466">
                  <c:v>10.599999999999936</c:v>
                </c:pt>
                <c:pt idx="467">
                  <c:v>10.699999999999935</c:v>
                </c:pt>
                <c:pt idx="468">
                  <c:v>10.799999999999935</c:v>
                </c:pt>
                <c:pt idx="469">
                  <c:v>10.899999999999935</c:v>
                </c:pt>
                <c:pt idx="470">
                  <c:v>10.999999999999934</c:v>
                </c:pt>
                <c:pt idx="471">
                  <c:v>11.099999999999934</c:v>
                </c:pt>
                <c:pt idx="472">
                  <c:v>11.199999999999934</c:v>
                </c:pt>
                <c:pt idx="473">
                  <c:v>11.299999999999933</c:v>
                </c:pt>
                <c:pt idx="474">
                  <c:v>11.399999999999933</c:v>
                </c:pt>
                <c:pt idx="475">
                  <c:v>11.499999999999932</c:v>
                </c:pt>
                <c:pt idx="476">
                  <c:v>11.599999999999932</c:v>
                </c:pt>
                <c:pt idx="477">
                  <c:v>11.699999999999932</c:v>
                </c:pt>
                <c:pt idx="478">
                  <c:v>11.799999999999931</c:v>
                </c:pt>
                <c:pt idx="479">
                  <c:v>11.899999999999931</c:v>
                </c:pt>
                <c:pt idx="480">
                  <c:v>11.999999999999931</c:v>
                </c:pt>
                <c:pt idx="481">
                  <c:v>12.09999999999993</c:v>
                </c:pt>
                <c:pt idx="482">
                  <c:v>12.19999999999993</c:v>
                </c:pt>
                <c:pt idx="483">
                  <c:v>12.29999999999993</c:v>
                </c:pt>
                <c:pt idx="484">
                  <c:v>12.399999999999929</c:v>
                </c:pt>
                <c:pt idx="485">
                  <c:v>12.499999999999929</c:v>
                </c:pt>
                <c:pt idx="486">
                  <c:v>12.599999999999929</c:v>
                </c:pt>
                <c:pt idx="487">
                  <c:v>12.699999999999928</c:v>
                </c:pt>
                <c:pt idx="488">
                  <c:v>12.799999999999928</c:v>
                </c:pt>
                <c:pt idx="489">
                  <c:v>12.899999999999928</c:v>
                </c:pt>
                <c:pt idx="490">
                  <c:v>12.999999999999927</c:v>
                </c:pt>
                <c:pt idx="491">
                  <c:v>13.099999999999927</c:v>
                </c:pt>
                <c:pt idx="492">
                  <c:v>13.199999999999926</c:v>
                </c:pt>
                <c:pt idx="493">
                  <c:v>13.299999999999926</c:v>
                </c:pt>
                <c:pt idx="494">
                  <c:v>13.399999999999926</c:v>
                </c:pt>
                <c:pt idx="495">
                  <c:v>13.499999999999925</c:v>
                </c:pt>
                <c:pt idx="496">
                  <c:v>13.599999999999925</c:v>
                </c:pt>
                <c:pt idx="497">
                  <c:v>13.699999999999925</c:v>
                </c:pt>
                <c:pt idx="498">
                  <c:v>13.799999999999924</c:v>
                </c:pt>
                <c:pt idx="499">
                  <c:v>13.899999999999924</c:v>
                </c:pt>
                <c:pt idx="500">
                  <c:v>13.999999999999924</c:v>
                </c:pt>
                <c:pt idx="501">
                  <c:v>14.099999999999923</c:v>
                </c:pt>
                <c:pt idx="502">
                  <c:v>14.199999999999923</c:v>
                </c:pt>
                <c:pt idx="503">
                  <c:v>14.299999999999923</c:v>
                </c:pt>
                <c:pt idx="504">
                  <c:v>14.399999999999922</c:v>
                </c:pt>
                <c:pt idx="505">
                  <c:v>14.499999999999922</c:v>
                </c:pt>
                <c:pt idx="506">
                  <c:v>14.599999999999921</c:v>
                </c:pt>
                <c:pt idx="507">
                  <c:v>14.699999999999921</c:v>
                </c:pt>
                <c:pt idx="508">
                  <c:v>14.799999999999921</c:v>
                </c:pt>
                <c:pt idx="509">
                  <c:v>14.89999999999992</c:v>
                </c:pt>
                <c:pt idx="510">
                  <c:v>14.99999999999992</c:v>
                </c:pt>
                <c:pt idx="511">
                  <c:v>15.09999999999992</c:v>
                </c:pt>
                <c:pt idx="512">
                  <c:v>15.199999999999919</c:v>
                </c:pt>
                <c:pt idx="513">
                  <c:v>15.299999999999919</c:v>
                </c:pt>
                <c:pt idx="514">
                  <c:v>15.399999999999919</c:v>
                </c:pt>
                <c:pt idx="515">
                  <c:v>15.499999999999918</c:v>
                </c:pt>
                <c:pt idx="516">
                  <c:v>15.599999999999918</c:v>
                </c:pt>
                <c:pt idx="517">
                  <c:v>15.699999999999918</c:v>
                </c:pt>
                <c:pt idx="518">
                  <c:v>15.799999999999917</c:v>
                </c:pt>
                <c:pt idx="519">
                  <c:v>15.899999999999917</c:v>
                </c:pt>
                <c:pt idx="520">
                  <c:v>15.999999999999917</c:v>
                </c:pt>
                <c:pt idx="521">
                  <c:v>16.099999999999916</c:v>
                </c:pt>
                <c:pt idx="522">
                  <c:v>16.199999999999918</c:v>
                </c:pt>
                <c:pt idx="523">
                  <c:v>16.299999999999919</c:v>
                </c:pt>
                <c:pt idx="524">
                  <c:v>16.39999999999992</c:v>
                </c:pt>
                <c:pt idx="525">
                  <c:v>16.499999999999922</c:v>
                </c:pt>
                <c:pt idx="526">
                  <c:v>16.599999999999923</c:v>
                </c:pt>
                <c:pt idx="527">
                  <c:v>16.699999999999925</c:v>
                </c:pt>
                <c:pt idx="528">
                  <c:v>16.799999999999926</c:v>
                </c:pt>
                <c:pt idx="529">
                  <c:v>16.899999999999928</c:v>
                </c:pt>
                <c:pt idx="530">
                  <c:v>16.999999999999929</c:v>
                </c:pt>
                <c:pt idx="531">
                  <c:v>17.09999999999993</c:v>
                </c:pt>
                <c:pt idx="532">
                  <c:v>17.199999999999932</c:v>
                </c:pt>
                <c:pt idx="533">
                  <c:v>17.299999999999933</c:v>
                </c:pt>
                <c:pt idx="534">
                  <c:v>17.399999999999935</c:v>
                </c:pt>
                <c:pt idx="535">
                  <c:v>17.499999999999936</c:v>
                </c:pt>
                <c:pt idx="536">
                  <c:v>17.599999999999937</c:v>
                </c:pt>
                <c:pt idx="537">
                  <c:v>17.699999999999939</c:v>
                </c:pt>
                <c:pt idx="538">
                  <c:v>17.79999999999994</c:v>
                </c:pt>
                <c:pt idx="539">
                  <c:v>17.899999999999942</c:v>
                </c:pt>
                <c:pt idx="540">
                  <c:v>17.999999999999943</c:v>
                </c:pt>
                <c:pt idx="541">
                  <c:v>18.099999999999945</c:v>
                </c:pt>
                <c:pt idx="542">
                  <c:v>18.199999999999946</c:v>
                </c:pt>
                <c:pt idx="543">
                  <c:v>18.299999999999947</c:v>
                </c:pt>
                <c:pt idx="544">
                  <c:v>18.399999999999949</c:v>
                </c:pt>
                <c:pt idx="545">
                  <c:v>18.49999999999995</c:v>
                </c:pt>
                <c:pt idx="546">
                  <c:v>18.599999999999952</c:v>
                </c:pt>
                <c:pt idx="547">
                  <c:v>18.699999999999953</c:v>
                </c:pt>
                <c:pt idx="548">
                  <c:v>18.799999999999955</c:v>
                </c:pt>
                <c:pt idx="549">
                  <c:v>18.899999999999956</c:v>
                </c:pt>
                <c:pt idx="550">
                  <c:v>18.999999999999957</c:v>
                </c:pt>
                <c:pt idx="551">
                  <c:v>19.099999999999959</c:v>
                </c:pt>
                <c:pt idx="552">
                  <c:v>19.19999999999996</c:v>
                </c:pt>
                <c:pt idx="553">
                  <c:v>19.299999999999962</c:v>
                </c:pt>
                <c:pt idx="554">
                  <c:v>19.399999999999963</c:v>
                </c:pt>
                <c:pt idx="555">
                  <c:v>19.499999999999964</c:v>
                </c:pt>
                <c:pt idx="556">
                  <c:v>19.599999999999966</c:v>
                </c:pt>
                <c:pt idx="557">
                  <c:v>19.699999999999967</c:v>
                </c:pt>
                <c:pt idx="558">
                  <c:v>19.799999999999969</c:v>
                </c:pt>
                <c:pt idx="559">
                  <c:v>19.89999999999997</c:v>
                </c:pt>
                <c:pt idx="560">
                  <c:v>19.999999999999972</c:v>
                </c:pt>
                <c:pt idx="561">
                  <c:v>20.099999999999973</c:v>
                </c:pt>
                <c:pt idx="562">
                  <c:v>20.199999999999974</c:v>
                </c:pt>
                <c:pt idx="563">
                  <c:v>20.299999999999976</c:v>
                </c:pt>
                <c:pt idx="564">
                  <c:v>20.399999999999977</c:v>
                </c:pt>
                <c:pt idx="565">
                  <c:v>20.499999999999979</c:v>
                </c:pt>
                <c:pt idx="566">
                  <c:v>20.59999999999998</c:v>
                </c:pt>
                <c:pt idx="567">
                  <c:v>20.699999999999982</c:v>
                </c:pt>
                <c:pt idx="568">
                  <c:v>20.799999999999983</c:v>
                </c:pt>
                <c:pt idx="569">
                  <c:v>20.899999999999984</c:v>
                </c:pt>
                <c:pt idx="570">
                  <c:v>20.999999999999986</c:v>
                </c:pt>
                <c:pt idx="571">
                  <c:v>21.099999999999987</c:v>
                </c:pt>
                <c:pt idx="572">
                  <c:v>21.199999999999989</c:v>
                </c:pt>
                <c:pt idx="573">
                  <c:v>21.29999999999999</c:v>
                </c:pt>
                <c:pt idx="574">
                  <c:v>21.399999999999991</c:v>
                </c:pt>
                <c:pt idx="575">
                  <c:v>21.499999999999993</c:v>
                </c:pt>
                <c:pt idx="576">
                  <c:v>21.599999999999994</c:v>
                </c:pt>
                <c:pt idx="577">
                  <c:v>21.699999999999996</c:v>
                </c:pt>
                <c:pt idx="578">
                  <c:v>21.799999999999997</c:v>
                </c:pt>
                <c:pt idx="579">
                  <c:v>21.9</c:v>
                </c:pt>
                <c:pt idx="580">
                  <c:v>22</c:v>
                </c:pt>
                <c:pt idx="581">
                  <c:v>22.1</c:v>
                </c:pt>
                <c:pt idx="582">
                  <c:v>22.200000000000003</c:v>
                </c:pt>
                <c:pt idx="583">
                  <c:v>22.300000000000004</c:v>
                </c:pt>
                <c:pt idx="584">
                  <c:v>22.400000000000006</c:v>
                </c:pt>
                <c:pt idx="585">
                  <c:v>22.500000000000007</c:v>
                </c:pt>
                <c:pt idx="586">
                  <c:v>22.600000000000009</c:v>
                </c:pt>
                <c:pt idx="587">
                  <c:v>22.70000000000001</c:v>
                </c:pt>
                <c:pt idx="588">
                  <c:v>22.800000000000011</c:v>
                </c:pt>
                <c:pt idx="589">
                  <c:v>22.900000000000013</c:v>
                </c:pt>
                <c:pt idx="590">
                  <c:v>23.000000000000014</c:v>
                </c:pt>
                <c:pt idx="591">
                  <c:v>23.100000000000016</c:v>
                </c:pt>
                <c:pt idx="592">
                  <c:v>23.200000000000017</c:v>
                </c:pt>
                <c:pt idx="593">
                  <c:v>23.300000000000018</c:v>
                </c:pt>
                <c:pt idx="594">
                  <c:v>23.40000000000002</c:v>
                </c:pt>
                <c:pt idx="595">
                  <c:v>23.500000000000021</c:v>
                </c:pt>
                <c:pt idx="596">
                  <c:v>23.600000000000023</c:v>
                </c:pt>
                <c:pt idx="597">
                  <c:v>23.700000000000024</c:v>
                </c:pt>
                <c:pt idx="598">
                  <c:v>23.800000000000026</c:v>
                </c:pt>
                <c:pt idx="599">
                  <c:v>23.900000000000027</c:v>
                </c:pt>
                <c:pt idx="600">
                  <c:v>24.000000000000028</c:v>
                </c:pt>
                <c:pt idx="601">
                  <c:v>24.10000000000003</c:v>
                </c:pt>
                <c:pt idx="602">
                  <c:v>24.200000000000031</c:v>
                </c:pt>
                <c:pt idx="603">
                  <c:v>24.300000000000033</c:v>
                </c:pt>
                <c:pt idx="604">
                  <c:v>24.400000000000034</c:v>
                </c:pt>
                <c:pt idx="605">
                  <c:v>24.500000000000036</c:v>
                </c:pt>
                <c:pt idx="606">
                  <c:v>24.600000000000037</c:v>
                </c:pt>
                <c:pt idx="607">
                  <c:v>24.700000000000038</c:v>
                </c:pt>
                <c:pt idx="608">
                  <c:v>24.80000000000004</c:v>
                </c:pt>
                <c:pt idx="609">
                  <c:v>24.900000000000041</c:v>
                </c:pt>
                <c:pt idx="610">
                  <c:v>25.000000000000043</c:v>
                </c:pt>
                <c:pt idx="611">
                  <c:v>25.100000000000044</c:v>
                </c:pt>
                <c:pt idx="612">
                  <c:v>25.200000000000045</c:v>
                </c:pt>
                <c:pt idx="613">
                  <c:v>25.300000000000047</c:v>
                </c:pt>
                <c:pt idx="614">
                  <c:v>25.400000000000048</c:v>
                </c:pt>
                <c:pt idx="615">
                  <c:v>25.50000000000005</c:v>
                </c:pt>
                <c:pt idx="616">
                  <c:v>25.600000000000051</c:v>
                </c:pt>
                <c:pt idx="617">
                  <c:v>25.700000000000053</c:v>
                </c:pt>
                <c:pt idx="618">
                  <c:v>25.800000000000054</c:v>
                </c:pt>
                <c:pt idx="619">
                  <c:v>25.900000000000055</c:v>
                </c:pt>
                <c:pt idx="620">
                  <c:v>26.000000000000057</c:v>
                </c:pt>
                <c:pt idx="621">
                  <c:v>26.100000000000058</c:v>
                </c:pt>
                <c:pt idx="622">
                  <c:v>26.20000000000006</c:v>
                </c:pt>
                <c:pt idx="623">
                  <c:v>26.300000000000061</c:v>
                </c:pt>
                <c:pt idx="624">
                  <c:v>26.400000000000063</c:v>
                </c:pt>
                <c:pt idx="625">
                  <c:v>26.500000000000064</c:v>
                </c:pt>
                <c:pt idx="626">
                  <c:v>26.600000000000065</c:v>
                </c:pt>
                <c:pt idx="627">
                  <c:v>26.700000000000067</c:v>
                </c:pt>
                <c:pt idx="628">
                  <c:v>26.800000000000068</c:v>
                </c:pt>
                <c:pt idx="629">
                  <c:v>26.90000000000007</c:v>
                </c:pt>
                <c:pt idx="630">
                  <c:v>27.000000000000071</c:v>
                </c:pt>
                <c:pt idx="631">
                  <c:v>27.100000000000072</c:v>
                </c:pt>
                <c:pt idx="632">
                  <c:v>27.200000000000074</c:v>
                </c:pt>
                <c:pt idx="633">
                  <c:v>27.300000000000075</c:v>
                </c:pt>
                <c:pt idx="634">
                  <c:v>27.400000000000077</c:v>
                </c:pt>
                <c:pt idx="635">
                  <c:v>27.500000000000078</c:v>
                </c:pt>
                <c:pt idx="636">
                  <c:v>27.60000000000008</c:v>
                </c:pt>
                <c:pt idx="637">
                  <c:v>27.700000000000081</c:v>
                </c:pt>
                <c:pt idx="638">
                  <c:v>27.800000000000082</c:v>
                </c:pt>
                <c:pt idx="639">
                  <c:v>27.900000000000084</c:v>
                </c:pt>
                <c:pt idx="640">
                  <c:v>28.000000000000085</c:v>
                </c:pt>
                <c:pt idx="641">
                  <c:v>28.100000000000087</c:v>
                </c:pt>
                <c:pt idx="642">
                  <c:v>28.200000000000088</c:v>
                </c:pt>
                <c:pt idx="643">
                  <c:v>28.30000000000009</c:v>
                </c:pt>
                <c:pt idx="644">
                  <c:v>28.400000000000091</c:v>
                </c:pt>
                <c:pt idx="645">
                  <c:v>28.500000000000092</c:v>
                </c:pt>
                <c:pt idx="646">
                  <c:v>28.600000000000094</c:v>
                </c:pt>
                <c:pt idx="647">
                  <c:v>28.700000000000095</c:v>
                </c:pt>
                <c:pt idx="648">
                  <c:v>28.800000000000097</c:v>
                </c:pt>
                <c:pt idx="649">
                  <c:v>28.900000000000098</c:v>
                </c:pt>
                <c:pt idx="650">
                  <c:v>29.000000000000099</c:v>
                </c:pt>
                <c:pt idx="651">
                  <c:v>29.100000000000101</c:v>
                </c:pt>
                <c:pt idx="652">
                  <c:v>29.200000000000102</c:v>
                </c:pt>
                <c:pt idx="653">
                  <c:v>29.300000000000104</c:v>
                </c:pt>
                <c:pt idx="654">
                  <c:v>29.400000000000105</c:v>
                </c:pt>
                <c:pt idx="655">
                  <c:v>29.500000000000107</c:v>
                </c:pt>
                <c:pt idx="656">
                  <c:v>29.600000000000108</c:v>
                </c:pt>
                <c:pt idx="657">
                  <c:v>29.700000000000109</c:v>
                </c:pt>
                <c:pt idx="658">
                  <c:v>29.800000000000111</c:v>
                </c:pt>
                <c:pt idx="659">
                  <c:v>29.900000000000112</c:v>
                </c:pt>
                <c:pt idx="660">
                  <c:v>30.000000000000114</c:v>
                </c:pt>
                <c:pt idx="661">
                  <c:v>30.100000000000115</c:v>
                </c:pt>
                <c:pt idx="662">
                  <c:v>30.200000000000117</c:v>
                </c:pt>
                <c:pt idx="663">
                  <c:v>30.300000000000118</c:v>
                </c:pt>
                <c:pt idx="664">
                  <c:v>30.400000000000119</c:v>
                </c:pt>
                <c:pt idx="665">
                  <c:v>30.500000000000121</c:v>
                </c:pt>
                <c:pt idx="666">
                  <c:v>30.600000000000122</c:v>
                </c:pt>
                <c:pt idx="667">
                  <c:v>30.700000000000124</c:v>
                </c:pt>
                <c:pt idx="668">
                  <c:v>30.800000000000125</c:v>
                </c:pt>
                <c:pt idx="669">
                  <c:v>30.900000000000126</c:v>
                </c:pt>
                <c:pt idx="670">
                  <c:v>31.000000000000128</c:v>
                </c:pt>
                <c:pt idx="671">
                  <c:v>31.100000000000129</c:v>
                </c:pt>
                <c:pt idx="672">
                  <c:v>31.200000000000131</c:v>
                </c:pt>
                <c:pt idx="673">
                  <c:v>31.300000000000132</c:v>
                </c:pt>
                <c:pt idx="674">
                  <c:v>31.400000000000134</c:v>
                </c:pt>
                <c:pt idx="675">
                  <c:v>31.500000000000135</c:v>
                </c:pt>
                <c:pt idx="676">
                  <c:v>31.600000000000136</c:v>
                </c:pt>
                <c:pt idx="677">
                  <c:v>31.700000000000138</c:v>
                </c:pt>
                <c:pt idx="678">
                  <c:v>31.800000000000139</c:v>
                </c:pt>
                <c:pt idx="679">
                  <c:v>31.900000000000141</c:v>
                </c:pt>
                <c:pt idx="680">
                  <c:v>32.000000000000142</c:v>
                </c:pt>
                <c:pt idx="681">
                  <c:v>32.100000000000144</c:v>
                </c:pt>
                <c:pt idx="682">
                  <c:v>32.200000000000145</c:v>
                </c:pt>
                <c:pt idx="683">
                  <c:v>32.300000000000146</c:v>
                </c:pt>
                <c:pt idx="684">
                  <c:v>32.400000000000148</c:v>
                </c:pt>
                <c:pt idx="685">
                  <c:v>32.500000000000149</c:v>
                </c:pt>
                <c:pt idx="686">
                  <c:v>32.600000000000151</c:v>
                </c:pt>
                <c:pt idx="687">
                  <c:v>32.700000000000152</c:v>
                </c:pt>
                <c:pt idx="688">
                  <c:v>32.800000000000153</c:v>
                </c:pt>
                <c:pt idx="689">
                  <c:v>32.900000000000155</c:v>
                </c:pt>
                <c:pt idx="690">
                  <c:v>33.000000000000156</c:v>
                </c:pt>
                <c:pt idx="691">
                  <c:v>33.100000000000158</c:v>
                </c:pt>
                <c:pt idx="692">
                  <c:v>33.200000000000159</c:v>
                </c:pt>
                <c:pt idx="693">
                  <c:v>33.300000000000161</c:v>
                </c:pt>
                <c:pt idx="694">
                  <c:v>33.400000000000162</c:v>
                </c:pt>
                <c:pt idx="695">
                  <c:v>33.500000000000163</c:v>
                </c:pt>
                <c:pt idx="696">
                  <c:v>33.600000000000165</c:v>
                </c:pt>
                <c:pt idx="697">
                  <c:v>33.700000000000166</c:v>
                </c:pt>
                <c:pt idx="698">
                  <c:v>33.800000000000168</c:v>
                </c:pt>
                <c:pt idx="699">
                  <c:v>33.900000000000169</c:v>
                </c:pt>
                <c:pt idx="700">
                  <c:v>34.000000000000171</c:v>
                </c:pt>
                <c:pt idx="701">
                  <c:v>34.100000000000172</c:v>
                </c:pt>
                <c:pt idx="702">
                  <c:v>34.200000000000173</c:v>
                </c:pt>
                <c:pt idx="703">
                  <c:v>34.300000000000175</c:v>
                </c:pt>
                <c:pt idx="704">
                  <c:v>34.400000000000176</c:v>
                </c:pt>
                <c:pt idx="705">
                  <c:v>34.500000000000178</c:v>
                </c:pt>
                <c:pt idx="706">
                  <c:v>34.600000000000179</c:v>
                </c:pt>
                <c:pt idx="707">
                  <c:v>34.70000000000018</c:v>
                </c:pt>
                <c:pt idx="708">
                  <c:v>34.800000000000182</c:v>
                </c:pt>
                <c:pt idx="709">
                  <c:v>34.900000000000183</c:v>
                </c:pt>
                <c:pt idx="710">
                  <c:v>35.000000000000185</c:v>
                </c:pt>
                <c:pt idx="711">
                  <c:v>35.100000000000186</c:v>
                </c:pt>
                <c:pt idx="712">
                  <c:v>35.200000000000188</c:v>
                </c:pt>
                <c:pt idx="713">
                  <c:v>35.300000000000189</c:v>
                </c:pt>
                <c:pt idx="714">
                  <c:v>35.40000000000019</c:v>
                </c:pt>
                <c:pt idx="715">
                  <c:v>35.500000000000192</c:v>
                </c:pt>
                <c:pt idx="716">
                  <c:v>35.600000000000193</c:v>
                </c:pt>
                <c:pt idx="717">
                  <c:v>35.700000000000195</c:v>
                </c:pt>
                <c:pt idx="718">
                  <c:v>35.800000000000196</c:v>
                </c:pt>
                <c:pt idx="719">
                  <c:v>35.900000000000198</c:v>
                </c:pt>
                <c:pt idx="720">
                  <c:v>36.000000000000199</c:v>
                </c:pt>
                <c:pt idx="721">
                  <c:v>36.1000000000002</c:v>
                </c:pt>
                <c:pt idx="722">
                  <c:v>36.200000000000202</c:v>
                </c:pt>
                <c:pt idx="723">
                  <c:v>36.300000000000203</c:v>
                </c:pt>
                <c:pt idx="724">
                  <c:v>36.400000000000205</c:v>
                </c:pt>
                <c:pt idx="725">
                  <c:v>36.500000000000206</c:v>
                </c:pt>
                <c:pt idx="726">
                  <c:v>36.600000000000207</c:v>
                </c:pt>
                <c:pt idx="727">
                  <c:v>36.700000000000209</c:v>
                </c:pt>
                <c:pt idx="728">
                  <c:v>36.80000000000021</c:v>
                </c:pt>
                <c:pt idx="729">
                  <c:v>36.900000000000212</c:v>
                </c:pt>
                <c:pt idx="730">
                  <c:v>37.000000000000213</c:v>
                </c:pt>
                <c:pt idx="731">
                  <c:v>37.100000000000215</c:v>
                </c:pt>
                <c:pt idx="732">
                  <c:v>37.200000000000216</c:v>
                </c:pt>
                <c:pt idx="733">
                  <c:v>37.300000000000217</c:v>
                </c:pt>
                <c:pt idx="734">
                  <c:v>37.400000000000219</c:v>
                </c:pt>
                <c:pt idx="735">
                  <c:v>37.50000000000022</c:v>
                </c:pt>
                <c:pt idx="736">
                  <c:v>37.600000000000222</c:v>
                </c:pt>
                <c:pt idx="737">
                  <c:v>37.700000000000223</c:v>
                </c:pt>
                <c:pt idx="738">
                  <c:v>37.800000000000225</c:v>
                </c:pt>
                <c:pt idx="739">
                  <c:v>37.900000000000226</c:v>
                </c:pt>
                <c:pt idx="740">
                  <c:v>38.000000000000227</c:v>
                </c:pt>
                <c:pt idx="741">
                  <c:v>38.100000000000229</c:v>
                </c:pt>
                <c:pt idx="742">
                  <c:v>38.20000000000023</c:v>
                </c:pt>
                <c:pt idx="743">
                  <c:v>38.300000000000232</c:v>
                </c:pt>
                <c:pt idx="744">
                  <c:v>38.400000000000233</c:v>
                </c:pt>
                <c:pt idx="745">
                  <c:v>38.500000000000234</c:v>
                </c:pt>
                <c:pt idx="746">
                  <c:v>38.600000000000236</c:v>
                </c:pt>
                <c:pt idx="747">
                  <c:v>38.700000000000237</c:v>
                </c:pt>
                <c:pt idx="748">
                  <c:v>38.800000000000239</c:v>
                </c:pt>
                <c:pt idx="749">
                  <c:v>38.90000000000024</c:v>
                </c:pt>
                <c:pt idx="750">
                  <c:v>39.000000000000242</c:v>
                </c:pt>
                <c:pt idx="751">
                  <c:v>39.100000000000243</c:v>
                </c:pt>
                <c:pt idx="752">
                  <c:v>39.200000000000244</c:v>
                </c:pt>
                <c:pt idx="753">
                  <c:v>39.300000000000246</c:v>
                </c:pt>
                <c:pt idx="754">
                  <c:v>39.400000000000247</c:v>
                </c:pt>
                <c:pt idx="755">
                  <c:v>39.500000000000249</c:v>
                </c:pt>
                <c:pt idx="756">
                  <c:v>39.60000000000025</c:v>
                </c:pt>
                <c:pt idx="757">
                  <c:v>39.700000000000252</c:v>
                </c:pt>
                <c:pt idx="758">
                  <c:v>39.800000000000253</c:v>
                </c:pt>
                <c:pt idx="759">
                  <c:v>39.900000000000254</c:v>
                </c:pt>
                <c:pt idx="760">
                  <c:v>40.000000000000256</c:v>
                </c:pt>
                <c:pt idx="761">
                  <c:v>40.100000000000257</c:v>
                </c:pt>
                <c:pt idx="762">
                  <c:v>40.200000000000259</c:v>
                </c:pt>
                <c:pt idx="763">
                  <c:v>40.30000000000026</c:v>
                </c:pt>
                <c:pt idx="764">
                  <c:v>40.400000000000261</c:v>
                </c:pt>
                <c:pt idx="765">
                  <c:v>40.500000000000263</c:v>
                </c:pt>
                <c:pt idx="766">
                  <c:v>40.600000000000264</c:v>
                </c:pt>
                <c:pt idx="767">
                  <c:v>40.700000000000266</c:v>
                </c:pt>
                <c:pt idx="768">
                  <c:v>40.800000000000267</c:v>
                </c:pt>
                <c:pt idx="769">
                  <c:v>40.900000000000269</c:v>
                </c:pt>
                <c:pt idx="770">
                  <c:v>41.00000000000027</c:v>
                </c:pt>
                <c:pt idx="771">
                  <c:v>41.100000000000271</c:v>
                </c:pt>
                <c:pt idx="772">
                  <c:v>41.200000000000273</c:v>
                </c:pt>
                <c:pt idx="773">
                  <c:v>41.300000000000274</c:v>
                </c:pt>
                <c:pt idx="774">
                  <c:v>41.400000000000276</c:v>
                </c:pt>
                <c:pt idx="775">
                  <c:v>41.500000000000277</c:v>
                </c:pt>
                <c:pt idx="776">
                  <c:v>41.600000000000279</c:v>
                </c:pt>
                <c:pt idx="777">
                  <c:v>41.70000000000028</c:v>
                </c:pt>
                <c:pt idx="778">
                  <c:v>41.800000000000281</c:v>
                </c:pt>
                <c:pt idx="779">
                  <c:v>41.900000000000283</c:v>
                </c:pt>
                <c:pt idx="780">
                  <c:v>42.000000000000284</c:v>
                </c:pt>
                <c:pt idx="781">
                  <c:v>42.100000000000286</c:v>
                </c:pt>
                <c:pt idx="782">
                  <c:v>42.200000000000287</c:v>
                </c:pt>
                <c:pt idx="783">
                  <c:v>42.300000000000288</c:v>
                </c:pt>
                <c:pt idx="784">
                  <c:v>42.40000000000029</c:v>
                </c:pt>
                <c:pt idx="785">
                  <c:v>42.500000000000291</c:v>
                </c:pt>
                <c:pt idx="786">
                  <c:v>42.600000000000293</c:v>
                </c:pt>
                <c:pt idx="787">
                  <c:v>42.700000000000294</c:v>
                </c:pt>
                <c:pt idx="788">
                  <c:v>42.800000000000296</c:v>
                </c:pt>
                <c:pt idx="789">
                  <c:v>42.900000000000297</c:v>
                </c:pt>
                <c:pt idx="790">
                  <c:v>43.000000000000298</c:v>
                </c:pt>
                <c:pt idx="791">
                  <c:v>43.1000000000003</c:v>
                </c:pt>
                <c:pt idx="792">
                  <c:v>43.200000000000301</c:v>
                </c:pt>
                <c:pt idx="793">
                  <c:v>43.300000000000303</c:v>
                </c:pt>
                <c:pt idx="794">
                  <c:v>43.400000000000304</c:v>
                </c:pt>
                <c:pt idx="795">
                  <c:v>43.500000000000306</c:v>
                </c:pt>
                <c:pt idx="796">
                  <c:v>43.600000000000307</c:v>
                </c:pt>
                <c:pt idx="797">
                  <c:v>43.700000000000308</c:v>
                </c:pt>
                <c:pt idx="798">
                  <c:v>43.80000000000031</c:v>
                </c:pt>
                <c:pt idx="799">
                  <c:v>43.900000000000311</c:v>
                </c:pt>
                <c:pt idx="800">
                  <c:v>44.000000000000313</c:v>
                </c:pt>
                <c:pt idx="801">
                  <c:v>44.100000000000314</c:v>
                </c:pt>
                <c:pt idx="802">
                  <c:v>44.200000000000315</c:v>
                </c:pt>
                <c:pt idx="803">
                  <c:v>44.300000000000317</c:v>
                </c:pt>
                <c:pt idx="804">
                  <c:v>44.400000000000318</c:v>
                </c:pt>
                <c:pt idx="805">
                  <c:v>44.50000000000032</c:v>
                </c:pt>
                <c:pt idx="806">
                  <c:v>44.600000000000321</c:v>
                </c:pt>
                <c:pt idx="807">
                  <c:v>44.600100000000324</c:v>
                </c:pt>
                <c:pt idx="808">
                  <c:v>44.600200000000328</c:v>
                </c:pt>
                <c:pt idx="809">
                  <c:v>44.600300000000331</c:v>
                </c:pt>
                <c:pt idx="810">
                  <c:v>44.600400000000334</c:v>
                </c:pt>
                <c:pt idx="811">
                  <c:v>44.600500000000338</c:v>
                </c:pt>
                <c:pt idx="812">
                  <c:v>44.600600000000341</c:v>
                </c:pt>
                <c:pt idx="813">
                  <c:v>44.600700000000344</c:v>
                </c:pt>
                <c:pt idx="814">
                  <c:v>44.600800000000348</c:v>
                </c:pt>
                <c:pt idx="815">
                  <c:v>44.600900000000351</c:v>
                </c:pt>
                <c:pt idx="816">
                  <c:v>44.601000000000354</c:v>
                </c:pt>
                <c:pt idx="817">
                  <c:v>44.601100000000358</c:v>
                </c:pt>
                <c:pt idx="818">
                  <c:v>44.601200000000361</c:v>
                </c:pt>
                <c:pt idx="819">
                  <c:v>44.601300000000364</c:v>
                </c:pt>
                <c:pt idx="820">
                  <c:v>44.601400000000368</c:v>
                </c:pt>
                <c:pt idx="821">
                  <c:v>44.601500000000371</c:v>
                </c:pt>
                <c:pt idx="822">
                  <c:v>44.601600000000374</c:v>
                </c:pt>
                <c:pt idx="823">
                  <c:v>44.601700000000378</c:v>
                </c:pt>
                <c:pt idx="824">
                  <c:v>44.601800000000381</c:v>
                </c:pt>
                <c:pt idx="825">
                  <c:v>44.601900000000384</c:v>
                </c:pt>
                <c:pt idx="826">
                  <c:v>44.602000000000388</c:v>
                </c:pt>
                <c:pt idx="827">
                  <c:v>44.602100000000391</c:v>
                </c:pt>
                <c:pt idx="828">
                  <c:v>44.602200000000394</c:v>
                </c:pt>
                <c:pt idx="829">
                  <c:v>44.602300000000398</c:v>
                </c:pt>
                <c:pt idx="830">
                  <c:v>44.602400000000401</c:v>
                </c:pt>
                <c:pt idx="831">
                  <c:v>44.602500000000404</c:v>
                </c:pt>
                <c:pt idx="832">
                  <c:v>44.602600000000407</c:v>
                </c:pt>
                <c:pt idx="833">
                  <c:v>44.602700000000411</c:v>
                </c:pt>
                <c:pt idx="834">
                  <c:v>44.602800000000414</c:v>
                </c:pt>
                <c:pt idx="835">
                  <c:v>44.602900000000417</c:v>
                </c:pt>
                <c:pt idx="836">
                  <c:v>44.603000000000421</c:v>
                </c:pt>
                <c:pt idx="837">
                  <c:v>44.603100000000424</c:v>
                </c:pt>
                <c:pt idx="838">
                  <c:v>44.603200000000427</c:v>
                </c:pt>
                <c:pt idx="839">
                  <c:v>44.603300000000431</c:v>
                </c:pt>
                <c:pt idx="840">
                  <c:v>44.603400000000434</c:v>
                </c:pt>
                <c:pt idx="841">
                  <c:v>44.603500000000437</c:v>
                </c:pt>
                <c:pt idx="842">
                  <c:v>44.603600000000441</c:v>
                </c:pt>
                <c:pt idx="843">
                  <c:v>44.603700000000444</c:v>
                </c:pt>
                <c:pt idx="844">
                  <c:v>44.603800000000447</c:v>
                </c:pt>
                <c:pt idx="845">
                  <c:v>44.603900000000451</c:v>
                </c:pt>
                <c:pt idx="846">
                  <c:v>44.604000000000454</c:v>
                </c:pt>
                <c:pt idx="847">
                  <c:v>44.604100000000457</c:v>
                </c:pt>
                <c:pt idx="848">
                  <c:v>44.604200000000461</c:v>
                </c:pt>
                <c:pt idx="849">
                  <c:v>44.604300000000464</c:v>
                </c:pt>
                <c:pt idx="850">
                  <c:v>44.604400000000467</c:v>
                </c:pt>
                <c:pt idx="851">
                  <c:v>44.604500000000471</c:v>
                </c:pt>
                <c:pt idx="852">
                  <c:v>44.604600000000474</c:v>
                </c:pt>
                <c:pt idx="853">
                  <c:v>44.604700000000477</c:v>
                </c:pt>
                <c:pt idx="854">
                  <c:v>44.604800000000481</c:v>
                </c:pt>
                <c:pt idx="855">
                  <c:v>44.604900000000484</c:v>
                </c:pt>
                <c:pt idx="856">
                  <c:v>44.605000000000487</c:v>
                </c:pt>
                <c:pt idx="857">
                  <c:v>44.60510000000049</c:v>
                </c:pt>
                <c:pt idx="858">
                  <c:v>44.605200000000494</c:v>
                </c:pt>
                <c:pt idx="859">
                  <c:v>44.605300000000497</c:v>
                </c:pt>
                <c:pt idx="860">
                  <c:v>44.6054000000005</c:v>
                </c:pt>
                <c:pt idx="861">
                  <c:v>44.605500000000504</c:v>
                </c:pt>
                <c:pt idx="862">
                  <c:v>44.605600000000507</c:v>
                </c:pt>
                <c:pt idx="863">
                  <c:v>44.60570000000051</c:v>
                </c:pt>
                <c:pt idx="864">
                  <c:v>44.605800000000514</c:v>
                </c:pt>
                <c:pt idx="865">
                  <c:v>44.605900000000517</c:v>
                </c:pt>
                <c:pt idx="866">
                  <c:v>44.60600000000052</c:v>
                </c:pt>
                <c:pt idx="867">
                  <c:v>44.606100000000524</c:v>
                </c:pt>
                <c:pt idx="868">
                  <c:v>44.606200000000527</c:v>
                </c:pt>
                <c:pt idx="869">
                  <c:v>44.60630000000053</c:v>
                </c:pt>
                <c:pt idx="870">
                  <c:v>44.606400000000534</c:v>
                </c:pt>
                <c:pt idx="871">
                  <c:v>44.606500000000537</c:v>
                </c:pt>
                <c:pt idx="872">
                  <c:v>44.60660000000054</c:v>
                </c:pt>
                <c:pt idx="873">
                  <c:v>44.606700000000544</c:v>
                </c:pt>
                <c:pt idx="874">
                  <c:v>44.606800000000547</c:v>
                </c:pt>
                <c:pt idx="875">
                  <c:v>44.60690000000055</c:v>
                </c:pt>
                <c:pt idx="876">
                  <c:v>44.607000000000554</c:v>
                </c:pt>
                <c:pt idx="877">
                  <c:v>44.607100000000557</c:v>
                </c:pt>
                <c:pt idx="878">
                  <c:v>44.60720000000056</c:v>
                </c:pt>
                <c:pt idx="879">
                  <c:v>44.607300000000564</c:v>
                </c:pt>
                <c:pt idx="880">
                  <c:v>44.607400000000567</c:v>
                </c:pt>
                <c:pt idx="881">
                  <c:v>44.60750000000057</c:v>
                </c:pt>
                <c:pt idx="882">
                  <c:v>44.607600000000573</c:v>
                </c:pt>
                <c:pt idx="883">
                  <c:v>44.607700000000577</c:v>
                </c:pt>
                <c:pt idx="884">
                  <c:v>44.60780000000058</c:v>
                </c:pt>
                <c:pt idx="885">
                  <c:v>44.607900000000583</c:v>
                </c:pt>
                <c:pt idx="886">
                  <c:v>44.608000000000587</c:v>
                </c:pt>
                <c:pt idx="887">
                  <c:v>44.60810000000059</c:v>
                </c:pt>
                <c:pt idx="888">
                  <c:v>44.608200000000593</c:v>
                </c:pt>
                <c:pt idx="889">
                  <c:v>44.608300000000597</c:v>
                </c:pt>
                <c:pt idx="890">
                  <c:v>44.6084000000006</c:v>
                </c:pt>
                <c:pt idx="891">
                  <c:v>44.608500000000603</c:v>
                </c:pt>
                <c:pt idx="892">
                  <c:v>44.608600000000607</c:v>
                </c:pt>
                <c:pt idx="893">
                  <c:v>44.60870000000061</c:v>
                </c:pt>
                <c:pt idx="894">
                  <c:v>44.608800000000613</c:v>
                </c:pt>
                <c:pt idx="895">
                  <c:v>44.608900000000617</c:v>
                </c:pt>
                <c:pt idx="896">
                  <c:v>44.60900000000062</c:v>
                </c:pt>
                <c:pt idx="897">
                  <c:v>44.609100000000623</c:v>
                </c:pt>
                <c:pt idx="898">
                  <c:v>44.609200000000627</c:v>
                </c:pt>
                <c:pt idx="899">
                  <c:v>44.60930000000063</c:v>
                </c:pt>
                <c:pt idx="900">
                  <c:v>44.609400000000633</c:v>
                </c:pt>
                <c:pt idx="901">
                  <c:v>44.609500000000637</c:v>
                </c:pt>
                <c:pt idx="902">
                  <c:v>44.60960000000064</c:v>
                </c:pt>
                <c:pt idx="903">
                  <c:v>44.609700000000643</c:v>
                </c:pt>
                <c:pt idx="904">
                  <c:v>44.609800000000646</c:v>
                </c:pt>
                <c:pt idx="905">
                  <c:v>44.60990000000065</c:v>
                </c:pt>
                <c:pt idx="906">
                  <c:v>44.610000000000653</c:v>
                </c:pt>
                <c:pt idx="907">
                  <c:v>44.610100000000656</c:v>
                </c:pt>
                <c:pt idx="908">
                  <c:v>44.61020000000066</c:v>
                </c:pt>
                <c:pt idx="909">
                  <c:v>44.610300000000663</c:v>
                </c:pt>
                <c:pt idx="910">
                  <c:v>44.610400000000666</c:v>
                </c:pt>
                <c:pt idx="911">
                  <c:v>44.61050000000067</c:v>
                </c:pt>
                <c:pt idx="912">
                  <c:v>44.610600000000673</c:v>
                </c:pt>
                <c:pt idx="913">
                  <c:v>44.610700000000676</c:v>
                </c:pt>
                <c:pt idx="914">
                  <c:v>44.61080000000068</c:v>
                </c:pt>
                <c:pt idx="915">
                  <c:v>44.610900000000683</c:v>
                </c:pt>
                <c:pt idx="916">
                  <c:v>44.611000000000686</c:v>
                </c:pt>
                <c:pt idx="917">
                  <c:v>44.61110000000069</c:v>
                </c:pt>
                <c:pt idx="918">
                  <c:v>44.611200000000693</c:v>
                </c:pt>
                <c:pt idx="919">
                  <c:v>44.611300000000696</c:v>
                </c:pt>
                <c:pt idx="920">
                  <c:v>44.6114000000007</c:v>
                </c:pt>
                <c:pt idx="921">
                  <c:v>44.611500000000703</c:v>
                </c:pt>
                <c:pt idx="922">
                  <c:v>44.611600000000706</c:v>
                </c:pt>
                <c:pt idx="923">
                  <c:v>44.61170000000071</c:v>
                </c:pt>
                <c:pt idx="924">
                  <c:v>44.611800000000713</c:v>
                </c:pt>
                <c:pt idx="925">
                  <c:v>44.611900000000716</c:v>
                </c:pt>
                <c:pt idx="926">
                  <c:v>44.61200000000072</c:v>
                </c:pt>
                <c:pt idx="927">
                  <c:v>44.612100000000723</c:v>
                </c:pt>
                <c:pt idx="928">
                  <c:v>44.612200000000726</c:v>
                </c:pt>
                <c:pt idx="929">
                  <c:v>44.612300000000729</c:v>
                </c:pt>
                <c:pt idx="930">
                  <c:v>44.612400000000733</c:v>
                </c:pt>
                <c:pt idx="931">
                  <c:v>44.612500000000736</c:v>
                </c:pt>
                <c:pt idx="932">
                  <c:v>44.612600000000739</c:v>
                </c:pt>
                <c:pt idx="933">
                  <c:v>44.612700000000743</c:v>
                </c:pt>
                <c:pt idx="934">
                  <c:v>44.612800000000746</c:v>
                </c:pt>
                <c:pt idx="935">
                  <c:v>44.612900000000749</c:v>
                </c:pt>
                <c:pt idx="936">
                  <c:v>44.613000000000753</c:v>
                </c:pt>
                <c:pt idx="937">
                  <c:v>44.613100000000756</c:v>
                </c:pt>
                <c:pt idx="938">
                  <c:v>44.613200000000759</c:v>
                </c:pt>
                <c:pt idx="939">
                  <c:v>44.613300000000763</c:v>
                </c:pt>
                <c:pt idx="940">
                  <c:v>44.613400000000766</c:v>
                </c:pt>
                <c:pt idx="941">
                  <c:v>44.613500000000769</c:v>
                </c:pt>
                <c:pt idx="942">
                  <c:v>44.613600000000773</c:v>
                </c:pt>
                <c:pt idx="943">
                  <c:v>44.613700000000776</c:v>
                </c:pt>
                <c:pt idx="944">
                  <c:v>44.613800000000779</c:v>
                </c:pt>
                <c:pt idx="945">
                  <c:v>44.613900000000783</c:v>
                </c:pt>
                <c:pt idx="946">
                  <c:v>44.614000000000786</c:v>
                </c:pt>
                <c:pt idx="947">
                  <c:v>44.614100000000789</c:v>
                </c:pt>
                <c:pt idx="948">
                  <c:v>44.614200000000793</c:v>
                </c:pt>
                <c:pt idx="949">
                  <c:v>44.614300000000796</c:v>
                </c:pt>
                <c:pt idx="950">
                  <c:v>44.614400000000799</c:v>
                </c:pt>
                <c:pt idx="951">
                  <c:v>44.614500000000803</c:v>
                </c:pt>
                <c:pt idx="952">
                  <c:v>44.614600000000806</c:v>
                </c:pt>
                <c:pt idx="953">
                  <c:v>44.614700000000809</c:v>
                </c:pt>
                <c:pt idx="954">
                  <c:v>44.614800000000812</c:v>
                </c:pt>
                <c:pt idx="955">
                  <c:v>44.614900000000816</c:v>
                </c:pt>
                <c:pt idx="956">
                  <c:v>44.615000000000819</c:v>
                </c:pt>
                <c:pt idx="957">
                  <c:v>44.615100000000822</c:v>
                </c:pt>
                <c:pt idx="958">
                  <c:v>44.615200000000826</c:v>
                </c:pt>
                <c:pt idx="959">
                  <c:v>44.615300000000829</c:v>
                </c:pt>
                <c:pt idx="960">
                  <c:v>44.615400000000832</c:v>
                </c:pt>
                <c:pt idx="961">
                  <c:v>44.615500000000836</c:v>
                </c:pt>
                <c:pt idx="962">
                  <c:v>44.615600000000839</c:v>
                </c:pt>
                <c:pt idx="963">
                  <c:v>44.615700000000842</c:v>
                </c:pt>
                <c:pt idx="964">
                  <c:v>44.615800000000846</c:v>
                </c:pt>
                <c:pt idx="965">
                  <c:v>44.615900000000849</c:v>
                </c:pt>
                <c:pt idx="966">
                  <c:v>44.616000000000852</c:v>
                </c:pt>
                <c:pt idx="967">
                  <c:v>44.616100000000856</c:v>
                </c:pt>
                <c:pt idx="968">
                  <c:v>44.616200000000859</c:v>
                </c:pt>
                <c:pt idx="969">
                  <c:v>44.616300000000862</c:v>
                </c:pt>
                <c:pt idx="970">
                  <c:v>44.616400000000866</c:v>
                </c:pt>
                <c:pt idx="971">
                  <c:v>44.616500000000869</c:v>
                </c:pt>
                <c:pt idx="972">
                  <c:v>44.616600000000872</c:v>
                </c:pt>
                <c:pt idx="973">
                  <c:v>44.616700000000876</c:v>
                </c:pt>
                <c:pt idx="974">
                  <c:v>44.616800000000879</c:v>
                </c:pt>
                <c:pt idx="975">
                  <c:v>44.616900000000882</c:v>
                </c:pt>
                <c:pt idx="976">
                  <c:v>44.617000000000886</c:v>
                </c:pt>
                <c:pt idx="977">
                  <c:v>44.617100000000889</c:v>
                </c:pt>
                <c:pt idx="978">
                  <c:v>44.617200000000892</c:v>
                </c:pt>
                <c:pt idx="979">
                  <c:v>44.617300000000895</c:v>
                </c:pt>
                <c:pt idx="980">
                  <c:v>44.617400000000899</c:v>
                </c:pt>
                <c:pt idx="981">
                  <c:v>44.617500000000902</c:v>
                </c:pt>
                <c:pt idx="982">
                  <c:v>44.617600000000905</c:v>
                </c:pt>
                <c:pt idx="983">
                  <c:v>44.617700000000909</c:v>
                </c:pt>
                <c:pt idx="984">
                  <c:v>44.617800000000912</c:v>
                </c:pt>
                <c:pt idx="985">
                  <c:v>44.617900000000915</c:v>
                </c:pt>
                <c:pt idx="986">
                  <c:v>44.618000000000919</c:v>
                </c:pt>
                <c:pt idx="987">
                  <c:v>44.618100000000922</c:v>
                </c:pt>
                <c:pt idx="988">
                  <c:v>44.618200000000925</c:v>
                </c:pt>
                <c:pt idx="989">
                  <c:v>44.618300000000929</c:v>
                </c:pt>
                <c:pt idx="990">
                  <c:v>44.618400000000932</c:v>
                </c:pt>
                <c:pt idx="991">
                  <c:v>44.618500000000935</c:v>
                </c:pt>
                <c:pt idx="992">
                  <c:v>44.618600000000939</c:v>
                </c:pt>
                <c:pt idx="993">
                  <c:v>44.618700000000942</c:v>
                </c:pt>
                <c:pt idx="994">
                  <c:v>44.618800000000945</c:v>
                </c:pt>
                <c:pt idx="995">
                  <c:v>44.618900000000949</c:v>
                </c:pt>
                <c:pt idx="996">
                  <c:v>44.619000000000952</c:v>
                </c:pt>
                <c:pt idx="997">
                  <c:v>44.619100000000955</c:v>
                </c:pt>
                <c:pt idx="998">
                  <c:v>44.619200000000959</c:v>
                </c:pt>
                <c:pt idx="999">
                  <c:v>44.619300000000962</c:v>
                </c:pt>
                <c:pt idx="1000">
                  <c:v>44.619400000000965</c:v>
                </c:pt>
              </c:numCache>
            </c:numRef>
          </c:xVal>
          <c:yVal>
            <c:numRef>
              <c:f>Calculs!$K$4:$K$1004</c:f>
              <c:numCache>
                <c:formatCode>0.00</c:formatCode>
                <c:ptCount val="1001"/>
                <c:pt idx="0">
                  <c:v>0</c:v>
                </c:pt>
                <c:pt idx="1">
                  <c:v>0.9847482099156567</c:v>
                </c:pt>
                <c:pt idx="2">
                  <c:v>1.9708158743514637</c:v>
                </c:pt>
                <c:pt idx="3">
                  <c:v>2.961079418210022</c:v>
                </c:pt>
                <c:pt idx="4">
                  <c:v>3.9584145720889357</c:v>
                </c:pt>
                <c:pt idx="5">
                  <c:v>4.9656827944024275</c:v>
                </c:pt>
                <c:pt idx="6">
                  <c:v>5.9850171664031286</c:v>
                </c:pt>
                <c:pt idx="7">
                  <c:v>7.0171068046332365</c:v>
                </c:pt>
                <c:pt idx="8">
                  <c:v>8.0619108910433823</c:v>
                </c:pt>
                <c:pt idx="9">
                  <c:v>9.1193883832660259</c:v>
                </c:pt>
                <c:pt idx="10">
                  <c:v>10.189498016550278</c:v>
                </c:pt>
                <c:pt idx="11">
                  <c:v>11.272198305715337</c:v>
                </c:pt>
                <c:pt idx="12">
                  <c:v>12.367447547121964</c:v>
                </c:pt>
                <c:pt idx="13">
                  <c:v>13.47520382066147</c:v>
                </c:pt>
                <c:pt idx="14">
                  <c:v>14.595424991761659</c:v>
                </c:pt>
                <c:pt idx="15">
                  <c:v>15.728068713409225</c:v>
                </c:pt>
                <c:pt idx="16">
                  <c:v>16.87309242818808</c:v>
                </c:pt>
                <c:pt idx="17">
                  <c:v>18.030453370333099</c:v>
                </c:pt>
                <c:pt idx="18">
                  <c:v>19.200108567798825</c:v>
                </c:pt>
                <c:pt idx="19">
                  <c:v>20.382014844342606</c:v>
                </c:pt>
                <c:pt idx="20">
                  <c:v>21.576128821621708</c:v>
                </c:pt>
                <c:pt idx="21">
                  <c:v>22.782406921303945</c:v>
                </c:pt>
                <c:pt idx="22">
                  <c:v>24.000805367191326</c:v>
                </c:pt>
                <c:pt idx="23">
                  <c:v>25.231280187356312</c:v>
                </c:pt>
                <c:pt idx="24">
                  <c:v>26.47378721629018</c:v>
                </c:pt>
                <c:pt idx="25">
                  <c:v>27.728282097063097</c:v>
                </c:pt>
                <c:pt idx="26">
                  <c:v>28.994720283495429</c:v>
                </c:pt>
                <c:pt idx="27">
                  <c:v>30.273057042339872</c:v>
                </c:pt>
                <c:pt idx="28">
                  <c:v>31.563247455473959</c:v>
                </c:pt>
                <c:pt idx="29">
                  <c:v>32.865246422102544</c:v>
                </c:pt>
                <c:pt idx="30">
                  <c:v>34.179008660969799</c:v>
                </c:pt>
                <c:pt idx="31">
                  <c:v>35.504488712580383</c:v>
                </c:pt>
                <c:pt idx="32">
                  <c:v>36.841640941429247</c:v>
                </c:pt>
                <c:pt idx="33">
                  <c:v>38.190419538239851</c:v>
                </c:pt>
                <c:pt idx="34">
                  <c:v>39.550778522210173</c:v>
                </c:pt>
                <c:pt idx="35">
                  <c:v>40.922671743266299</c:v>
                </c:pt>
                <c:pt idx="36">
                  <c:v>42.30605288432308</c:v>
                </c:pt>
                <c:pt idx="37">
                  <c:v>43.700875463551519</c:v>
                </c:pt>
                <c:pt idx="38">
                  <c:v>45.107092836652477</c:v>
                </c:pt>
                <c:pt idx="39">
                  <c:v>46.524658199136297</c:v>
                </c:pt>
                <c:pt idx="40">
                  <c:v>47.953524588608033</c:v>
                </c:pt>
                <c:pt idx="41">
                  <c:v>49.393644887057789</c:v>
                </c:pt>
                <c:pt idx="42">
                  <c:v>50.844971823155916</c:v>
                </c:pt>
                <c:pt idx="43">
                  <c:v>52.307457974552605</c:v>
                </c:pt>
                <c:pt idx="44">
                  <c:v>53.781055770181545</c:v>
                </c:pt>
                <c:pt idx="45">
                  <c:v>55.265717492567255</c:v>
                </c:pt>
                <c:pt idx="46">
                  <c:v>56.761395280135787</c:v>
                </c:pt>
                <c:pt idx="47">
                  <c:v>58.268041129528342</c:v>
                </c:pt>
                <c:pt idx="48">
                  <c:v>59.785606897917532</c:v>
                </c:pt>
                <c:pt idx="49">
                  <c:v>61.314044305325886</c:v>
                </c:pt>
                <c:pt idx="50">
                  <c:v>62.853304936946252</c:v>
                </c:pt>
                <c:pt idx="51">
                  <c:v>64.403344122442661</c:v>
                </c:pt>
                <c:pt idx="52">
                  <c:v>65.964124817409498</c:v>
                </c:pt>
                <c:pt idx="53">
                  <c:v>67.535613727695477</c:v>
                </c:pt>
                <c:pt idx="54">
                  <c:v>69.117777431181949</c:v>
                </c:pt>
                <c:pt idx="55">
                  <c:v>70.710582379331512</c:v>
                </c:pt>
                <c:pt idx="56">
                  <c:v>72.313994898741072</c:v>
                </c:pt>
                <c:pt idx="57">
                  <c:v>73.927981192699065</c:v>
                </c:pt>
                <c:pt idx="58">
                  <c:v>75.552507342746608</c:v>
                </c:pt>
                <c:pt idx="59">
                  <c:v>77.187539310242499</c:v>
                </c:pt>
                <c:pt idx="60">
                  <c:v>78.833042937931666</c:v>
                </c:pt>
                <c:pt idx="61">
                  <c:v>80.488983951517028</c:v>
                </c:pt>
                <c:pt idx="62">
                  <c:v>82.155327961234448</c:v>
                </c:pt>
                <c:pt idx="63">
                  <c:v>83.83204046343063</c:v>
                </c:pt>
                <c:pt idx="64">
                  <c:v>85.519086842143764</c:v>
                </c:pt>
                <c:pt idx="65">
                  <c:v>87.216432370686618</c:v>
                </c:pt>
                <c:pt idx="66">
                  <c:v>88.924042213232028</c:v>
                </c:pt>
                <c:pt idx="67">
                  <c:v>90.641881426400388</c:v>
                </c:pt>
                <c:pt idx="68">
                  <c:v>92.369914960849187</c:v>
                </c:pt>
                <c:pt idx="69">
                  <c:v>94.108107662864171</c:v>
                </c:pt>
                <c:pt idx="70">
                  <c:v>95.856424275951994</c:v>
                </c:pt>
                <c:pt idx="71">
                  <c:v>97.614829442434257</c:v>
                </c:pt>
                <c:pt idx="72">
                  <c:v>99.383287705042619</c:v>
                </c:pt>
                <c:pt idx="73">
                  <c:v>101.16176350851485</c:v>
                </c:pt>
                <c:pt idx="74">
                  <c:v>102.95022120119161</c:v>
                </c:pt>
                <c:pt idx="75">
                  <c:v>104.74862503661372</c:v>
                </c:pt>
                <c:pt idx="76">
                  <c:v>106.55693917511985</c:v>
                </c:pt>
                <c:pt idx="77">
                  <c:v>108.37512768544437</c:v>
                </c:pt>
                <c:pt idx="78">
                  <c:v>110.20315454631505</c:v>
                </c:pt>
                <c:pt idx="79">
                  <c:v>112.04098364805068</c:v>
                </c:pt>
                <c:pt idx="80">
                  <c:v>113.88857879415824</c:v>
                </c:pt>
                <c:pt idx="81">
                  <c:v>115.74590370292937</c:v>
                </c:pt>
                <c:pt idx="82">
                  <c:v>117.6129220090363</c:v>
                </c:pt>
                <c:pt idx="83">
                  <c:v>119.4895972651266</c:v>
                </c:pt>
                <c:pt idx="84">
                  <c:v>121.37589294341696</c:v>
                </c:pt>
                <c:pt idx="85">
                  <c:v>123.27177243728551</c:v>
                </c:pt>
                <c:pt idx="86">
                  <c:v>125.17719906286277</c:v>
                </c:pt>
                <c:pt idx="87">
                  <c:v>127.09213606062094</c:v>
                </c:pt>
                <c:pt idx="88">
                  <c:v>129.01654659696126</c:v>
                </c:pt>
                <c:pt idx="89">
                  <c:v>130.95039376579942</c:v>
                </c:pt>
                <c:pt idx="90">
                  <c:v>132.89364059014875</c:v>
                </c:pt>
                <c:pt idx="91">
                  <c:v>134.8462500237012</c:v>
                </c:pt>
                <c:pt idx="92">
                  <c:v>136.80818495240558</c:v>
                </c:pt>
                <c:pt idx="93">
                  <c:v>138.77940819604328</c:v>
                </c:pt>
                <c:pt idx="94">
                  <c:v>140.75988250980112</c:v>
                </c:pt>
                <c:pt idx="95">
                  <c:v>142.74957058584113</c:v>
                </c:pt>
                <c:pt idx="96">
                  <c:v>144.74843505486723</c:v>
                </c:pt>
                <c:pt idx="97">
                  <c:v>146.75643848768854</c:v>
                </c:pt>
                <c:pt idx="98">
                  <c:v>148.77354339677922</c:v>
                </c:pt>
                <c:pt idx="99">
                  <c:v>150.79971223783465</c:v>
                </c:pt>
                <c:pt idx="100">
                  <c:v>152.83490741132388</c:v>
                </c:pt>
                <c:pt idx="101">
                  <c:v>154.87908945814223</c:v>
                </c:pt>
                <c:pt idx="102">
                  <c:v>156.93221525581896</c:v>
                </c:pt>
                <c:pt idx="103">
                  <c:v>158.99423982945027</c:v>
                </c:pt>
                <c:pt idx="104">
                  <c:v>161.06511816222158</c:v>
                </c:pt>
                <c:pt idx="105">
                  <c:v>163.14480519724228</c:v>
                </c:pt>
                <c:pt idx="106">
                  <c:v>165.23325583937287</c:v>
                </c:pt>
                <c:pt idx="107">
                  <c:v>167.33042495704413</c:v>
                </c:pt>
                <c:pt idx="108">
                  <c:v>169.43626738406829</c:v>
                </c:pt>
                <c:pt idx="109">
                  <c:v>171.55073792144194</c:v>
                </c:pt>
                <c:pt idx="110">
                  <c:v>173.67379133914071</c:v>
                </c:pt>
                <c:pt idx="111">
                  <c:v>175.80538237790518</c:v>
                </c:pt>
                <c:pt idx="112">
                  <c:v>177.94546575101839</c:v>
                </c:pt>
                <c:pt idx="113">
                  <c:v>180.09399614607426</c:v>
                </c:pt>
                <c:pt idx="114">
                  <c:v>182.25092822673722</c:v>
                </c:pt>
                <c:pt idx="115">
                  <c:v>184.4162166344926</c:v>
                </c:pt>
                <c:pt idx="116">
                  <c:v>186.58981599038776</c:v>
                </c:pt>
                <c:pt idx="117">
                  <c:v>188.77168089676388</c:v>
                </c:pt>
                <c:pt idx="118">
                  <c:v>190.96176593897815</c:v>
                </c:pt>
                <c:pt idx="119">
                  <c:v>193.16002568711619</c:v>
                </c:pt>
                <c:pt idx="120">
                  <c:v>195.36641469769484</c:v>
                </c:pt>
                <c:pt idx="121">
                  <c:v>197.58088751535487</c:v>
                </c:pt>
                <c:pt idx="122">
                  <c:v>199.80339867454364</c:v>
                </c:pt>
                <c:pt idx="123">
                  <c:v>202.03390270118754</c:v>
                </c:pt>
                <c:pt idx="124">
                  <c:v>204.27235411435424</c:v>
                </c:pt>
                <c:pt idx="125">
                  <c:v>206.51870742790433</c:v>
                </c:pt>
                <c:pt idx="126">
                  <c:v>208.77291715213249</c:v>
                </c:pt>
                <c:pt idx="127">
                  <c:v>211.03493779539806</c:v>
                </c:pt>
                <c:pt idx="128">
                  <c:v>213.30472386574476</c:v>
                </c:pt>
                <c:pt idx="129">
                  <c:v>215.58222987250949</c:v>
                </c:pt>
                <c:pt idx="130">
                  <c:v>217.86741032792025</c:v>
                </c:pt>
                <c:pt idx="131">
                  <c:v>220.16021974868298</c:v>
                </c:pt>
                <c:pt idx="132">
                  <c:v>222.46061265755705</c:v>
                </c:pt>
                <c:pt idx="133">
                  <c:v>224.76854358491968</c:v>
                </c:pt>
                <c:pt idx="134">
                  <c:v>227.08396707031889</c:v>
                </c:pt>
                <c:pt idx="135">
                  <c:v>229.40683766401494</c:v>
                </c:pt>
                <c:pt idx="136">
                  <c:v>231.73710992851034</c:v>
                </c:pt>
                <c:pt idx="137">
                  <c:v>234.07473844006807</c:v>
                </c:pt>
                <c:pt idx="138">
                  <c:v>236.41967779021829</c:v>
                </c:pt>
                <c:pt idx="139">
                  <c:v>238.771882587253</c:v>
                </c:pt>
                <c:pt idx="140">
                  <c:v>241.13130745770911</c:v>
                </c:pt>
                <c:pt idx="141">
                  <c:v>243.49790704783928</c:v>
                </c:pt>
                <c:pt idx="142">
                  <c:v>245.87163602507093</c:v>
                </c:pt>
                <c:pt idx="143">
                  <c:v>248.2524490794531</c:v>
                </c:pt>
                <c:pt idx="144">
                  <c:v>250.6403009250912</c:v>
                </c:pt>
                <c:pt idx="145">
                  <c:v>253.0351463015694</c:v>
                </c:pt>
                <c:pt idx="146">
                  <c:v>255.43693997536093</c:v>
                </c:pt>
                <c:pt idx="147">
                  <c:v>257.84563674122592</c:v>
                </c:pt>
                <c:pt idx="148">
                  <c:v>260.26119142359687</c:v>
                </c:pt>
                <c:pt idx="149">
                  <c:v>262.68355887795167</c:v>
                </c:pt>
                <c:pt idx="150">
                  <c:v>265.11269399217417</c:v>
                </c:pt>
                <c:pt idx="151">
                  <c:v>267.54855230833056</c:v>
                </c:pt>
                <c:pt idx="152">
                  <c:v>269.99109064371459</c:v>
                </c:pt>
                <c:pt idx="153">
                  <c:v>272.44026646955751</c:v>
                </c:pt>
                <c:pt idx="154">
                  <c:v>274.89603729040419</c:v>
                </c:pt>
                <c:pt idx="155">
                  <c:v>277.3583606453318</c:v>
                </c:pt>
                <c:pt idx="156">
                  <c:v>279.82719410915723</c:v>
                </c:pt>
                <c:pt idx="157">
                  <c:v>282.3024952936326</c:v>
                </c:pt>
                <c:pt idx="158">
                  <c:v>284.78422184862956</c:v>
                </c:pt>
                <c:pt idx="159">
                  <c:v>287.27233146331179</c:v>
                </c:pt>
                <c:pt idx="160">
                  <c:v>289.766781867296</c:v>
                </c:pt>
                <c:pt idx="161">
                  <c:v>292.26753083180125</c:v>
                </c:pt>
                <c:pt idx="162">
                  <c:v>294.77453617078652</c:v>
                </c:pt>
                <c:pt idx="163">
                  <c:v>297.28775574207685</c:v>
                </c:pt>
                <c:pt idx="164">
                  <c:v>299.80714744847745</c:v>
                </c:pt>
                <c:pt idx="165">
                  <c:v>302.33266923887635</c:v>
                </c:pt>
                <c:pt idx="166">
                  <c:v>304.86427910933503</c:v>
                </c:pt>
                <c:pt idx="167">
                  <c:v>307.40193510416759</c:v>
                </c:pt>
                <c:pt idx="168">
                  <c:v>309.9455953170081</c:v>
                </c:pt>
                <c:pt idx="169">
                  <c:v>312.49521789186599</c:v>
                </c:pt>
                <c:pt idx="170">
                  <c:v>315.05076102416967</c:v>
                </c:pt>
                <c:pt idx="171">
                  <c:v>317.61218296179874</c:v>
                </c:pt>
                <c:pt idx="172">
                  <c:v>320.17944200610384</c:v>
                </c:pt>
                <c:pt idx="173">
                  <c:v>322.75249651291517</c:v>
                </c:pt>
                <c:pt idx="174">
                  <c:v>325.33130489353891</c:v>
                </c:pt>
                <c:pt idx="175">
                  <c:v>327.91582561574205</c:v>
                </c:pt>
                <c:pt idx="176">
                  <c:v>330.50601720472525</c:v>
                </c:pt>
                <c:pt idx="177">
                  <c:v>333.10183824408404</c:v>
                </c:pt>
                <c:pt idx="178">
                  <c:v>335.7032473767581</c:v>
                </c:pt>
                <c:pt idx="179">
                  <c:v>338.31020330596903</c:v>
                </c:pt>
                <c:pt idx="180">
                  <c:v>340.92266479614597</c:v>
                </c:pt>
                <c:pt idx="181">
                  <c:v>343.54059067383969</c:v>
                </c:pt>
                <c:pt idx="182">
                  <c:v>346.16393982862502</c:v>
                </c:pt>
                <c:pt idx="183">
                  <c:v>348.79267121399135</c:v>
                </c:pt>
                <c:pt idx="184">
                  <c:v>351.42674384822141</c:v>
                </c:pt>
                <c:pt idx="185">
                  <c:v>354.06611681525857</c:v>
                </c:pt>
                <c:pt idx="186">
                  <c:v>356.7107492655623</c:v>
                </c:pt>
                <c:pt idx="187">
                  <c:v>359.36060041695191</c:v>
                </c:pt>
                <c:pt idx="188">
                  <c:v>362.01562955543881</c:v>
                </c:pt>
                <c:pt idx="189">
                  <c:v>364.67579603604702</c:v>
                </c:pt>
                <c:pt idx="190">
                  <c:v>367.3410592836222</c:v>
                </c:pt>
                <c:pt idx="191">
                  <c:v>370.01137879362904</c:v>
                </c:pt>
                <c:pt idx="192">
                  <c:v>372.68671413293714</c:v>
                </c:pt>
                <c:pt idx="193">
                  <c:v>375.36702494059534</c:v>
                </c:pt>
                <c:pt idx="194">
                  <c:v>378.05227092859468</c:v>
                </c:pt>
                <c:pt idx="195">
                  <c:v>380.74241188261971</c:v>
                </c:pt>
                <c:pt idx="196">
                  <c:v>383.43740766278864</c:v>
                </c:pt>
                <c:pt idx="197">
                  <c:v>386.1372182043819</c:v>
                </c:pt>
                <c:pt idx="198">
                  <c:v>388.8418035185594</c:v>
                </c:pt>
                <c:pt idx="199">
                  <c:v>391.55112369306664</c:v>
                </c:pt>
                <c:pt idx="200">
                  <c:v>394.26513889292926</c:v>
                </c:pt>
                <c:pt idx="201">
                  <c:v>396.98380936113665</c:v>
                </c:pt>
                <c:pt idx="202">
                  <c:v>399.7070954193141</c:v>
                </c:pt>
                <c:pt idx="203">
                  <c:v>402.43495746838403</c:v>
                </c:pt>
                <c:pt idx="204">
                  <c:v>405.16735598921593</c:v>
                </c:pt>
                <c:pt idx="205">
                  <c:v>407.90425154326527</c:v>
                </c:pt>
                <c:pt idx="206">
                  <c:v>410.64560477320157</c:v>
                </c:pt>
                <c:pt idx="207">
                  <c:v>413.3913764035251</c:v>
                </c:pt>
                <c:pt idx="208">
                  <c:v>416.14152724117315</c:v>
                </c:pt>
                <c:pt idx="209">
                  <c:v>418.89601817611492</c:v>
                </c:pt>
                <c:pt idx="210">
                  <c:v>421.65481018193594</c:v>
                </c:pt>
                <c:pt idx="211">
                  <c:v>424.41786431641145</c:v>
                </c:pt>
                <c:pt idx="212">
                  <c:v>427.18514172206926</c:v>
                </c:pt>
                <c:pt idx="213">
                  <c:v>429.95660362674175</c:v>
                </c:pt>
                <c:pt idx="214">
                  <c:v>432.73221134410733</c:v>
                </c:pt>
                <c:pt idx="215">
                  <c:v>435.5119262742212</c:v>
                </c:pt>
                <c:pt idx="216">
                  <c:v>438.29570990403579</c:v>
                </c:pt>
                <c:pt idx="217">
                  <c:v>441.08352380791047</c:v>
                </c:pt>
                <c:pt idx="218">
                  <c:v>443.87532964811106</c:v>
                </c:pt>
                <c:pt idx="219">
                  <c:v>446.67108917529885</c:v>
                </c:pt>
                <c:pt idx="220">
                  <c:v>449.47076422900932</c:v>
                </c:pt>
                <c:pt idx="221">
                  <c:v>452.27431673812072</c:v>
                </c:pt>
                <c:pt idx="222">
                  <c:v>455.08170872131222</c:v>
                </c:pt>
                <c:pt idx="223">
                  <c:v>457.8929022875123</c:v>
                </c:pt>
                <c:pt idx="224">
                  <c:v>460.70785963633659</c:v>
                </c:pt>
                <c:pt idx="225">
                  <c:v>463.52654305851615</c:v>
                </c:pt>
                <c:pt idx="226">
                  <c:v>466.34891493631551</c:v>
                </c:pt>
                <c:pt idx="227">
                  <c:v>469.17493774394092</c:v>
                </c:pt>
                <c:pt idx="228">
                  <c:v>472.00457404793877</c:v>
                </c:pt>
                <c:pt idx="229">
                  <c:v>474.83778650758421</c:v>
                </c:pt>
                <c:pt idx="230">
                  <c:v>477.67453787526011</c:v>
                </c:pt>
                <c:pt idx="231">
                  <c:v>480.51479099682638</c:v>
                </c:pt>
                <c:pt idx="232">
                  <c:v>483.35850881197962</c:v>
                </c:pt>
                <c:pt idx="233">
                  <c:v>486.20565435460338</c:v>
                </c:pt>
                <c:pt idx="234">
                  <c:v>489.05619075310892</c:v>
                </c:pt>
                <c:pt idx="235">
                  <c:v>491.91008123076654</c:v>
                </c:pt>
                <c:pt idx="236">
                  <c:v>494.76728910602776</c:v>
                </c:pt>
                <c:pt idx="237">
                  <c:v>497.62777779283806</c:v>
                </c:pt>
                <c:pt idx="238">
                  <c:v>500.49151080094055</c:v>
                </c:pt>
                <c:pt idx="239">
                  <c:v>503.35845173617042</c:v>
                </c:pt>
                <c:pt idx="240">
                  <c:v>506.22856430074057</c:v>
                </c:pt>
                <c:pt idx="241">
                  <c:v>509.10181229351804</c:v>
                </c:pt>
                <c:pt idx="242">
                  <c:v>511.97815961029153</c:v>
                </c:pt>
                <c:pt idx="243">
                  <c:v>514.85757024403028</c:v>
                </c:pt>
                <c:pt idx="244">
                  <c:v>517.74000828513385</c:v>
                </c:pt>
                <c:pt idx="245">
                  <c:v>520.62543792167378</c:v>
                </c:pt>
                <c:pt idx="246">
                  <c:v>523.51382343962575</c:v>
                </c:pt>
                <c:pt idx="247">
                  <c:v>526.40512922309415</c:v>
                </c:pt>
                <c:pt idx="248">
                  <c:v>529.29931975452723</c:v>
                </c:pt>
                <c:pt idx="249">
                  <c:v>532.1963596149244</c:v>
                </c:pt>
                <c:pt idx="250">
                  <c:v>535.09621348403539</c:v>
                </c:pt>
                <c:pt idx="251">
                  <c:v>537.99884341880193</c:v>
                </c:pt>
                <c:pt idx="252">
                  <c:v>540.90420613836181</c:v>
                </c:pt>
                <c:pt idx="253">
                  <c:v>543.81225576174711</c:v>
                </c:pt>
                <c:pt idx="254">
                  <c:v>546.72294653906238</c:v>
                </c:pt>
                <c:pt idx="255">
                  <c:v>549.63623285175743</c:v>
                </c:pt>
                <c:pt idx="256">
                  <c:v>552.55206921288629</c:v>
                </c:pt>
                <c:pt idx="257">
                  <c:v>555.47041026735417</c:v>
                </c:pt>
                <c:pt idx="258">
                  <c:v>558.39121079215079</c:v>
                </c:pt>
                <c:pt idx="259">
                  <c:v>561.31442569657179</c:v>
                </c:pt>
                <c:pt idx="260">
                  <c:v>564.2400100224271</c:v>
                </c:pt>
                <c:pt idx="261">
                  <c:v>567.16791894423716</c:v>
                </c:pt>
                <c:pt idx="262">
                  <c:v>570.09810776941697</c:v>
                </c:pt>
                <c:pt idx="263">
                  <c:v>573.03053193844767</c:v>
                </c:pt>
                <c:pt idx="264">
                  <c:v>575.96514702503623</c:v>
                </c:pt>
                <c:pt idx="265">
                  <c:v>578.90190873626341</c:v>
                </c:pt>
                <c:pt idx="266">
                  <c:v>581.84077291271979</c:v>
                </c:pt>
                <c:pt idx="267">
                  <c:v>584.78169552862994</c:v>
                </c:pt>
                <c:pt idx="268">
                  <c:v>587.72463269196521</c:v>
                </c:pt>
                <c:pt idx="269">
                  <c:v>590.66954064454535</c:v>
                </c:pt>
                <c:pt idx="270">
                  <c:v>593.61637576212831</c:v>
                </c:pt>
                <c:pt idx="271">
                  <c:v>596.56509455448929</c:v>
                </c:pt>
                <c:pt idx="272">
                  <c:v>599.51565366548846</c:v>
                </c:pt>
                <c:pt idx="273">
                  <c:v>602.46800987312781</c:v>
                </c:pt>
                <c:pt idx="274">
                  <c:v>605.42212008959723</c:v>
                </c:pt>
                <c:pt idx="275">
                  <c:v>608.37794136130992</c:v>
                </c:pt>
                <c:pt idx="276">
                  <c:v>611.33543086892735</c:v>
                </c:pt>
                <c:pt idx="277">
                  <c:v>614.29454592737306</c:v>
                </c:pt>
                <c:pt idx="278">
                  <c:v>617.25524398583707</c:v>
                </c:pt>
                <c:pt idx="279">
                  <c:v>620.21748262776964</c:v>
                </c:pt>
                <c:pt idx="280">
                  <c:v>623.18121957086464</c:v>
                </c:pt>
                <c:pt idx="281">
                  <c:v>626.1464126670337</c:v>
                </c:pt>
                <c:pt idx="282">
                  <c:v>629.1130199023695</c:v>
                </c:pt>
                <c:pt idx="283">
                  <c:v>632.08099939710041</c:v>
                </c:pt>
                <c:pt idx="284">
                  <c:v>635.05030940553468</c:v>
                </c:pt>
                <c:pt idx="285">
                  <c:v>638.02090831599526</c:v>
                </c:pt>
                <c:pt idx="286">
                  <c:v>640.99275465074584</c:v>
                </c:pt>
                <c:pt idx="287">
                  <c:v>643.96580706590669</c:v>
                </c:pt>
                <c:pt idx="288">
                  <c:v>646.94002435136235</c:v>
                </c:pt>
                <c:pt idx="289">
                  <c:v>649.91536543065934</c:v>
                </c:pt>
                <c:pt idx="290">
                  <c:v>652.89178936089547</c:v>
                </c:pt>
                <c:pt idx="291">
                  <c:v>655.86925533260069</c:v>
                </c:pt>
                <c:pt idx="292">
                  <c:v>658.84772266960829</c:v>
                </c:pt>
                <c:pt idx="293">
                  <c:v>661.82715082891832</c:v>
                </c:pt>
                <c:pt idx="294">
                  <c:v>664.80749940055239</c:v>
                </c:pt>
                <c:pt idx="295">
                  <c:v>667.78872810740006</c:v>
                </c:pt>
                <c:pt idx="296">
                  <c:v>670.77079680505688</c:v>
                </c:pt>
                <c:pt idx="297">
                  <c:v>673.75366548165459</c:v>
                </c:pt>
                <c:pt idx="298">
                  <c:v>676.73726419430136</c:v>
                </c:pt>
                <c:pt idx="299">
                  <c:v>679.72146309386619</c:v>
                </c:pt>
                <c:pt idx="300">
                  <c:v>682.70610268891232</c:v>
                </c:pt>
                <c:pt idx="301">
                  <c:v>685.69102402235717</c:v>
                </c:pt>
                <c:pt idx="302">
                  <c:v>688.67606867337076</c:v>
                </c:pt>
                <c:pt idx="303">
                  <c:v>691.66107875913838</c:v>
                </c:pt>
                <c:pt idx="304">
                  <c:v>694.64589693649054</c:v>
                </c:pt>
                <c:pt idx="305">
                  <c:v>697.63036640340101</c:v>
                </c:pt>
                <c:pt idx="306">
                  <c:v>700.61433090035405</c:v>
                </c:pt>
                <c:pt idx="307">
                  <c:v>703.59763471158431</c:v>
                </c:pt>
                <c:pt idx="308">
                  <c:v>706.5801226661888</c:v>
                </c:pt>
                <c:pt idx="309">
                  <c:v>709.5616401391145</c:v>
                </c:pt>
                <c:pt idx="310">
                  <c:v>712.54203305202202</c:v>
                </c:pt>
                <c:pt idx="311">
                  <c:v>715.52114787402741</c:v>
                </c:pt>
                <c:pt idx="312">
                  <c:v>718.49883162232436</c:v>
                </c:pt>
                <c:pt idx="313">
                  <c:v>721.47493186268719</c:v>
                </c:pt>
                <c:pt idx="314">
                  <c:v>724.44929670985789</c:v>
                </c:pt>
                <c:pt idx="315">
                  <c:v>727.42177482781722</c:v>
                </c:pt>
                <c:pt idx="316">
                  <c:v>730.39221542994323</c:v>
                </c:pt>
                <c:pt idx="317">
                  <c:v>733.36046827905727</c:v>
                </c:pt>
                <c:pt idx="318">
                  <c:v>736.32638368736093</c:v>
                </c:pt>
                <c:pt idx="319">
                  <c:v>739.28981251626362</c:v>
                </c:pt>
                <c:pt idx="320">
                  <c:v>742.25060617610438</c:v>
                </c:pt>
                <c:pt idx="321">
                  <c:v>745.20862860487659</c:v>
                </c:pt>
                <c:pt idx="322">
                  <c:v>748.1637682030489</c:v>
                </c:pt>
                <c:pt idx="323">
                  <c:v>751.11592576136957</c:v>
                </c:pt>
                <c:pt idx="324">
                  <c:v>754.06500243216237</c:v>
                </c:pt>
                <c:pt idx="325">
                  <c:v>757.01089972814884</c:v>
                </c:pt>
                <c:pt idx="326">
                  <c:v>759.95351952123269</c:v>
                </c:pt>
                <c:pt idx="327">
                  <c:v>762.89276404124644</c:v>
                </c:pt>
                <c:pt idx="328">
                  <c:v>765.82853587466104</c:v>
                </c:pt>
                <c:pt idx="329">
                  <c:v>768.7607379632592</c:v>
                </c:pt>
                <c:pt idx="330">
                  <c:v>771.68927360277394</c:v>
                </c:pt>
                <c:pt idx="331">
                  <c:v>774.61404644149138</c:v>
                </c:pt>
                <c:pt idx="332">
                  <c:v>777.53496047882038</c:v>
                </c:pt>
                <c:pt idx="333">
                  <c:v>780.4519200638282</c:v>
                </c:pt>
                <c:pt idx="334">
                  <c:v>783.36482989374372</c:v>
                </c:pt>
                <c:pt idx="335">
                  <c:v>786.2735950124287</c:v>
                </c:pt>
                <c:pt idx="336">
                  <c:v>789.17812080881743</c:v>
                </c:pt>
                <c:pt idx="337">
                  <c:v>792.07831301532588</c:v>
                </c:pt>
                <c:pt idx="338">
                  <c:v>794.9740777062309</c:v>
                </c:pt>
                <c:pt idx="339">
                  <c:v>797.86532129601994</c:v>
                </c:pt>
                <c:pt idx="340">
                  <c:v>800.75195053771176</c:v>
                </c:pt>
                <c:pt idx="341">
                  <c:v>803.63387252114944</c:v>
                </c:pt>
                <c:pt idx="342">
                  <c:v>806.51099467126573</c:v>
                </c:pt>
                <c:pt idx="343">
                  <c:v>809.38322474632128</c:v>
                </c:pt>
                <c:pt idx="344">
                  <c:v>812.25047083611719</c:v>
                </c:pt>
                <c:pt idx="345">
                  <c:v>815.11264136018133</c:v>
                </c:pt>
                <c:pt idx="346">
                  <c:v>817.96964506592963</c:v>
                </c:pt>
                <c:pt idx="347">
                  <c:v>820.82139102680355</c:v>
                </c:pt>
                <c:pt idx="348">
                  <c:v>823.66778993327443</c:v>
                </c:pt>
                <c:pt idx="349">
                  <c:v>826.50875537856575</c:v>
                </c:pt>
                <c:pt idx="350">
                  <c:v>829.34420255321231</c:v>
                </c:pt>
                <c:pt idx="351">
                  <c:v>832.17404694488971</c:v>
                </c:pt>
                <c:pt idx="352">
                  <c:v>834.9982043365037</c:v>
                </c:pt>
                <c:pt idx="353">
                  <c:v>837.81659080426164</c:v>
                </c:pt>
                <c:pt idx="354">
                  <c:v>840.62912271572691</c:v>
                </c:pt>
                <c:pt idx="355">
                  <c:v>843.43571672785697</c:v>
                </c:pt>
                <c:pt idx="356">
                  <c:v>846.23628978502529</c:v>
                </c:pt>
                <c:pt idx="357">
                  <c:v>849.0307591170274</c:v>
                </c:pt>
                <c:pt idx="358">
                  <c:v>851.81904223707159</c:v>
                </c:pt>
                <c:pt idx="359">
                  <c:v>854.60105693975493</c:v>
                </c:pt>
                <c:pt idx="360">
                  <c:v>857.37674818526625</c:v>
                </c:pt>
                <c:pt idx="361">
                  <c:v>860.14611487112461</c:v>
                </c:pt>
                <c:pt idx="362">
                  <c:v>862.90918272102988</c:v>
                </c:pt>
                <c:pt idx="363">
                  <c:v>865.66597728795637</c:v>
                </c:pt>
                <c:pt idx="364">
                  <c:v>868.41652395566973</c:v>
                </c:pt>
                <c:pt idx="365">
                  <c:v>871.16084794022731</c:v>
                </c:pt>
                <c:pt idx="366">
                  <c:v>873.8989742914614</c:v>
                </c:pt>
                <c:pt idx="367">
                  <c:v>876.63092789444613</c:v>
                </c:pt>
                <c:pt idx="368">
                  <c:v>879.35673347094837</c:v>
                </c:pt>
                <c:pt idx="369">
                  <c:v>882.0764155808622</c:v>
                </c:pt>
                <c:pt idx="370">
                  <c:v>884.78999862362798</c:v>
                </c:pt>
                <c:pt idx="371">
                  <c:v>887.49750683963543</c:v>
                </c:pt>
                <c:pt idx="372">
                  <c:v>890.19896431161158</c:v>
                </c:pt>
                <c:pt idx="373">
                  <c:v>892.89439496599334</c:v>
                </c:pt>
                <c:pt idx="374">
                  <c:v>895.58382257428514</c:v>
                </c:pt>
                <c:pt idx="375">
                  <c:v>898.26727075440203</c:v>
                </c:pt>
                <c:pt idx="376">
                  <c:v>900.94476297199753</c:v>
                </c:pt>
                <c:pt idx="377">
                  <c:v>903.61632254177778</c:v>
                </c:pt>
                <c:pt idx="378">
                  <c:v>906.28197262880099</c:v>
                </c:pt>
                <c:pt idx="379">
                  <c:v>908.94173624976304</c:v>
                </c:pt>
                <c:pt idx="380">
                  <c:v>911.59563627426905</c:v>
                </c:pt>
                <c:pt idx="381">
                  <c:v>914.24369542609168</c:v>
                </c:pt>
                <c:pt idx="382">
                  <c:v>916.88593628441527</c:v>
                </c:pt>
                <c:pt idx="383">
                  <c:v>919.52238128506735</c:v>
                </c:pt>
                <c:pt idx="384">
                  <c:v>922.15305272173634</c:v>
                </c:pt>
                <c:pt idx="385">
                  <c:v>924.77797274717693</c:v>
                </c:pt>
                <c:pt idx="386">
                  <c:v>927.397163374402</c:v>
                </c:pt>
                <c:pt idx="387">
                  <c:v>930.01064647786234</c:v>
                </c:pt>
                <c:pt idx="388">
                  <c:v>932.61844379461354</c:v>
                </c:pt>
                <c:pt idx="389">
                  <c:v>935.22057692547082</c:v>
                </c:pt>
                <c:pt idx="390">
                  <c:v>937.81706733615158</c:v>
                </c:pt>
                <c:pt idx="391">
                  <c:v>940.40793635840566</c:v>
                </c:pt>
                <c:pt idx="392">
                  <c:v>942.99320519113439</c:v>
                </c:pt>
                <c:pt idx="393">
                  <c:v>945.57289490149697</c:v>
                </c:pt>
                <c:pt idx="394">
                  <c:v>948.14702642600639</c:v>
                </c:pt>
                <c:pt idx="395">
                  <c:v>950.7156205716127</c:v>
                </c:pt>
                <c:pt idx="396">
                  <c:v>953.27869801677605</c:v>
                </c:pt>
                <c:pt idx="397">
                  <c:v>955.83627931252806</c:v>
                </c:pt>
                <c:pt idx="398">
                  <c:v>958.38838488352201</c:v>
                </c:pt>
                <c:pt idx="399">
                  <c:v>960.93503502907276</c:v>
                </c:pt>
                <c:pt idx="400">
                  <c:v>963.47624992418537</c:v>
                </c:pt>
                <c:pt idx="401">
                  <c:v>988.59101272768726</c:v>
                </c:pt>
                <c:pt idx="402">
                  <c:v>1013.175072855261</c:v>
                </c:pt>
                <c:pt idx="403">
                  <c:v>1037.2474832232151</c:v>
                </c:pt>
                <c:pt idx="404">
                  <c:v>1060.8261774100238</c:v>
                </c:pt>
                <c:pt idx="405">
                  <c:v>1083.9280563520347</c:v>
                </c:pt>
                <c:pt idx="406">
                  <c:v>1106.5690667296578</c:v>
                </c:pt>
                <c:pt idx="407">
                  <c:v>1128.7642719871212</c:v>
                </c:pt>
                <c:pt idx="408">
                  <c:v>1150.5279168057789</c:v>
                </c:pt>
                <c:pt idx="409">
                  <c:v>1171.8734857459551</c:v>
                </c:pt>
                <c:pt idx="410">
                  <c:v>1192.8137566824398</c:v>
                </c:pt>
                <c:pt idx="411">
                  <c:v>1213.3608495816145</c:v>
                </c:pt>
                <c:pt idx="412">
                  <c:v>1233.5262711017738</c:v>
                </c:pt>
                <c:pt idx="413">
                  <c:v>1253.3209554408654</c:v>
                </c:pt>
                <c:pt idx="414">
                  <c:v>1272.7553018062345</c:v>
                </c:pt>
                <c:pt idx="415">
                  <c:v>1291.8392088378616</c:v>
                </c:pt>
                <c:pt idx="416">
                  <c:v>1310.5821062790887</c:v>
                </c:pt>
                <c:pt idx="417">
                  <c:v>1328.9929841561147</c:v>
                </c:pt>
                <c:pt idx="418">
                  <c:v>1347.080419698935</c:v>
                </c:pt>
                <c:pt idx="419">
                  <c:v>1364.8526022113342</c:v>
                </c:pt>
                <c:pt idx="420">
                  <c:v>1382.3173560755197</c:v>
                </c:pt>
                <c:pt idx="421">
                  <c:v>1399.4821620576013</c:v>
                </c:pt>
                <c:pt idx="422">
                  <c:v>1416.3541770630281</c:v>
                </c:pt>
                <c:pt idx="423">
                  <c:v>1432.940252475986</c:v>
                </c:pt>
                <c:pt idx="424">
                  <c:v>1449.2469512033774</c:v>
                </c:pt>
                <c:pt idx="425">
                  <c:v>1465.2805635321401</c:v>
                </c:pt>
                <c:pt idx="426">
                  <c:v>1481.0471218981097</c:v>
                </c:pt>
                <c:pt idx="427">
                  <c:v>1496.5524146552398</c:v>
                </c:pt>
                <c:pt idx="428">
                  <c:v>1511.80199892562</c:v>
                </c:pt>
                <c:pt idx="429">
                  <c:v>1526.8012126032452</c:v>
                </c:pt>
                <c:pt idx="430">
                  <c:v>1541.5551855777974</c:v>
                </c:pt>
                <c:pt idx="431">
                  <c:v>1556.0688502387006</c:v>
                </c:pt>
                <c:pt idx="432">
                  <c:v>1570.3469513143245</c:v>
                </c:pt>
                <c:pt idx="433">
                  <c:v>1584.3940550963703</c:v>
                </c:pt>
                <c:pt idx="434">
                  <c:v>1598.2145580951164</c:v>
                </c:pt>
                <c:pt idx="435">
                  <c:v>1611.8126951672771</c:v>
                </c:pt>
                <c:pt idx="436">
                  <c:v>1625.1925471546715</c:v>
                </c:pt>
                <c:pt idx="437">
                  <c:v>1638.3580480687119</c:v>
                </c:pt>
                <c:pt idx="438">
                  <c:v>1651.3129918528041</c:v>
                </c:pt>
                <c:pt idx="439">
                  <c:v>1664.0610387521367</c:v>
                </c:pt>
                <c:pt idx="440">
                  <c:v>1676.6057213179454</c:v>
                </c:pt>
                <c:pt idx="441">
                  <c:v>1688.9504500711755</c:v>
                </c:pt>
                <c:pt idx="442">
                  <c:v>1701.0985188484963</c:v>
                </c:pt>
                <c:pt idx="443">
                  <c:v>1713.0531098518254</c:v>
                </c:pt>
                <c:pt idx="444">
                  <c:v>1724.8172984208916</c:v>
                </c:pt>
                <c:pt idx="445">
                  <c:v>1736.3940575468671</c:v>
                </c:pt>
                <c:pt idx="446">
                  <c:v>1747.7862621437439</c:v>
                </c:pt>
                <c:pt idx="447">
                  <c:v>1758.9966930928802</c:v>
                </c:pt>
                <c:pt idx="448">
                  <c:v>1770.0280410750017</c:v>
                </c:pt>
                <c:pt idx="449">
                  <c:v>1780.8829102029038</c:v>
                </c:pt>
                <c:pt idx="450">
                  <c:v>1791.5638214671321</c:v>
                </c:pt>
                <c:pt idx="451">
                  <c:v>1802.0732160060543</c:v>
                </c:pt>
                <c:pt idx="452">
                  <c:v>1812.4134582109125</c:v>
                </c:pt>
                <c:pt idx="453">
                  <c:v>1822.5868386757145</c:v>
                </c:pt>
                <c:pt idx="454">
                  <c:v>1832.5955770011324</c:v>
                </c:pt>
                <c:pt idx="455">
                  <c:v>1842.4418244609471</c:v>
                </c:pt>
                <c:pt idx="456">
                  <c:v>1852.1276665390005</c:v>
                </c:pt>
                <c:pt idx="457">
                  <c:v>1861.6551253440741</c:v>
                </c:pt>
                <c:pt idx="458">
                  <c:v>1871.0261619096252</c:v>
                </c:pt>
                <c:pt idx="459">
                  <c:v>1880.2426783848484</c:v>
                </c:pt>
                <c:pt idx="460">
                  <c:v>1889.30652012311</c:v>
                </c:pt>
                <c:pt idx="461">
                  <c:v>1898.2194776734104</c:v>
                </c:pt>
                <c:pt idx="462">
                  <c:v>1906.9832886801662</c:v>
                </c:pt>
                <c:pt idx="463">
                  <c:v>1915.5996396962662</c:v>
                </c:pt>
                <c:pt idx="464">
                  <c:v>1924.0701679140466</c:v>
                </c:pt>
                <c:pt idx="465">
                  <c:v>1932.3964628185381</c:v>
                </c:pt>
                <c:pt idx="466">
                  <c:v>1940.5800677670682</c:v>
                </c:pt>
                <c:pt idx="467">
                  <c:v>1948.6224814990537</c:v>
                </c:pt>
                <c:pt idx="468">
                  <c:v>1956.5251595795858</c:v>
                </c:pt>
                <c:pt idx="469">
                  <c:v>1964.2895157801895</c:v>
                </c:pt>
                <c:pt idx="470">
                  <c:v>1971.9169233999437</c:v>
                </c:pt>
                <c:pt idx="471">
                  <c:v>1979.4087165299552</c:v>
                </c:pt>
                <c:pt idx="472">
                  <c:v>1986.7661912640065</c:v>
                </c:pt>
                <c:pt idx="473">
                  <c:v>1993.9906068580353</c:v>
                </c:pt>
                <c:pt idx="474">
                  <c:v>2001.0831868409487</c:v>
                </c:pt>
                <c:pt idx="475">
                  <c:v>2008.0451200791335</c:v>
                </c:pt>
                <c:pt idx="476">
                  <c:v>2014.877561796894</c:v>
                </c:pt>
                <c:pt idx="477">
                  <c:v>2021.5816345549181</c:v>
                </c:pt>
                <c:pt idx="478">
                  <c:v>2028.1584291887632</c:v>
                </c:pt>
                <c:pt idx="479">
                  <c:v>2034.6090057092433</c:v>
                </c:pt>
                <c:pt idx="480">
                  <c:v>2040.9343941664927</c:v>
                </c:pt>
                <c:pt idx="481">
                  <c:v>2047.135595479393</c:v>
                </c:pt>
                <c:pt idx="482">
                  <c:v>2053.2135822319601</c:v>
                </c:pt>
                <c:pt idx="483">
                  <c:v>2059.1692994382015</c:v>
                </c:pt>
                <c:pt idx="484">
                  <c:v>2065.0036652768822</c:v>
                </c:pt>
                <c:pt idx="485">
                  <c:v>2070.7175717975615</c:v>
                </c:pt>
                <c:pt idx="486">
                  <c:v>2076.3118855991988</c:v>
                </c:pt>
                <c:pt idx="487">
                  <c:v>2081.7874484825606</c:v>
                </c:pt>
                <c:pt idx="488">
                  <c:v>2087.1450780776045</c:v>
                </c:pt>
                <c:pt idx="489">
                  <c:v>2092.3855684469631</c:v>
                </c:pt>
                <c:pt idx="490">
                  <c:v>2097.5096906665985</c:v>
                </c:pt>
                <c:pt idx="491">
                  <c:v>2102.5181933846507</c:v>
                </c:pt>
                <c:pt idx="492">
                  <c:v>2107.4118033594664</c:v>
                </c:pt>
                <c:pt idx="493">
                  <c:v>2112.1912259777473</c:v>
                </c:pt>
                <c:pt idx="494">
                  <c:v>2116.8571457537323</c:v>
                </c:pt>
                <c:pt idx="495">
                  <c:v>2121.410226810282</c:v>
                </c:pt>
                <c:pt idx="496">
                  <c:v>2125.8511133427241</c:v>
                </c:pt>
                <c:pt idx="497">
                  <c:v>2130.1804300662739</c:v>
                </c:pt>
                <c:pt idx="498">
                  <c:v>2134.3987826478397</c:v>
                </c:pt>
                <c:pt idx="499">
                  <c:v>2138.5067581229946</c:v>
                </c:pt>
                <c:pt idx="500">
                  <c:v>2142.5049252988888</c:v>
                </c:pt>
                <c:pt idx="501">
                  <c:v>2146.3938351438624</c:v>
                </c:pt>
                <c:pt idx="502">
                  <c:v>2150.1740211645179</c:v>
                </c:pt>
                <c:pt idx="503">
                  <c:v>2153.8459997710061</c:v>
                </c:pt>
                <c:pt idx="504">
                  <c:v>2157.4102706312883</c:v>
                </c:pt>
                <c:pt idx="505">
                  <c:v>2160.8673170151383</c:v>
                </c:pt>
                <c:pt idx="506">
                  <c:v>2164.2176061286723</c:v>
                </c:pt>
                <c:pt idx="507">
                  <c:v>2167.461589440205</c:v>
                </c:pt>
                <c:pt idx="508">
                  <c:v>2170.5997029982659</c:v>
                </c:pt>
                <c:pt idx="509">
                  <c:v>2173.6323677426335</c:v>
                </c:pt>
                <c:pt idx="510">
                  <c:v>2176.5599898092951</c:v>
                </c:pt>
                <c:pt idx="511">
                  <c:v>2179.3829608302826</c:v>
                </c:pt>
                <c:pt idx="512">
                  <c:v>2182.1016582293946</c:v>
                </c:pt>
                <c:pt idx="513">
                  <c:v>2184.71644551488</c:v>
                </c:pt>
                <c:pt idx="514">
                  <c:v>2187.2276725702386</c:v>
                </c:pt>
                <c:pt idx="515">
                  <c:v>2189.6356759443729</c:v>
                </c:pt>
                <c:pt idx="516">
                  <c:v>2191.9407791424287</c:v>
                </c:pt>
                <c:pt idx="517">
                  <c:v>2194.1432929187604</c:v>
                </c:pt>
                <c:pt idx="518">
                  <c:v>2196.2435155735784</c:v>
                </c:pt>
                <c:pt idx="519">
                  <c:v>2198.2417332549526</c:v>
                </c:pt>
                <c:pt idx="520">
                  <c:v>2200.1382202679761</c:v>
                </c:pt>
                <c:pt idx="521">
                  <c:v>2201.9332393930194</c:v>
                </c:pt>
                <c:pt idx="522">
                  <c:v>2203.6270422151415</c:v>
                </c:pt>
                <c:pt idx="523">
                  <c:v>2205.2198694668296</c:v>
                </c:pt>
                <c:pt idx="524">
                  <c:v>2206.7119513863536</c:v>
                </c:pt>
                <c:pt idx="525">
                  <c:v>2208.1035080940915</c:v>
                </c:pt>
                <c:pt idx="526">
                  <c:v>2209.3947499892201</c:v>
                </c:pt>
                <c:pt idx="527">
                  <c:v>2210.5858781691522</c:v>
                </c:pt>
                <c:pt idx="528">
                  <c:v>2211.6770848740157</c:v>
                </c:pt>
                <c:pt idx="529">
                  <c:v>2212.6685539583027</c:v>
                </c:pt>
                <c:pt idx="530">
                  <c:v>2213.5604613915507</c:v>
                </c:pt>
                <c:pt idx="531">
                  <c:v>2214.3529757895258</c:v>
                </c:pt>
                <c:pt idx="532">
                  <c:v>2215.0462589768704</c:v>
                </c:pt>
                <c:pt idx="533">
                  <c:v>2215.6404665815344</c:v>
                </c:pt>
                <c:pt idx="534">
                  <c:v>2216.1357486605439</c:v>
                </c:pt>
                <c:pt idx="535">
                  <c:v>2216.5322503557763</c:v>
                </c:pt>
                <c:pt idx="536">
                  <c:v>2216.8301125774638</c:v>
                </c:pt>
                <c:pt idx="537">
                  <c:v>2217.029472712145</c:v>
                </c:pt>
                <c:pt idx="538">
                  <c:v>2217.1304653508096</c:v>
                </c:pt>
                <c:pt idx="539">
                  <c:v>2217.1332230320722</c:v>
                </c:pt>
                <c:pt idx="540">
                  <c:v>2217.0378769944482</c:v>
                </c:pt>
                <c:pt idx="541">
                  <c:v>2216.8445579312311</c:v>
                </c:pt>
                <c:pt idx="542">
                  <c:v>2216.5533967411411</c:v>
                </c:pt>
                <c:pt idx="543">
                  <c:v>2216.1645252678532</c:v>
                </c:pt>
                <c:pt idx="544">
                  <c:v>2215.6780770217192</c:v>
                </c:pt>
                <c:pt idx="545">
                  <c:v>2215.0941878774706</c:v>
                </c:pt>
                <c:pt idx="546">
                  <c:v>2214.4129967423728</c:v>
                </c:pt>
                <c:pt idx="547">
                  <c:v>2213.6346461901558</c:v>
                </c:pt>
                <c:pt idx="548">
                  <c:v>2212.7592830570052</c:v>
                </c:pt>
                <c:pt idx="549">
                  <c:v>2211.7870589969002</c:v>
                </c:pt>
                <c:pt idx="550">
                  <c:v>2210.7181309945686</c:v>
                </c:pt>
                <c:pt idx="551">
                  <c:v>2209.5526618352569</c:v>
                </c:pt>
                <c:pt idx="552">
                  <c:v>2208.290820531332</c:v>
                </c:pt>
                <c:pt idx="553">
                  <c:v>2206.932782706434</c:v>
                </c:pt>
                <c:pt idx="554">
                  <c:v>2205.4787309384715</c:v>
                </c:pt>
                <c:pt idx="555">
                  <c:v>2203.9288550631786</c:v>
                </c:pt>
                <c:pt idx="556">
                  <c:v>2202.2833524402749</c:v>
                </c:pt>
                <c:pt idx="557">
                  <c:v>2200.5424281844612</c:v>
                </c:pt>
                <c:pt idx="558">
                  <c:v>2198.7062953636009</c:v>
                </c:pt>
                <c:pt idx="559">
                  <c:v>2196.7751751664564</c:v>
                </c:pt>
                <c:pt idx="560">
                  <c:v>2194.7492970423232</c:v>
                </c:pt>
                <c:pt idx="561">
                  <c:v>2192.6288988148308</c:v>
                </c:pt>
                <c:pt idx="562">
                  <c:v>2190.4142267720649</c:v>
                </c:pt>
                <c:pt idx="563">
                  <c:v>2188.1055357350438</c:v>
                </c:pt>
                <c:pt idx="564">
                  <c:v>2185.7030891064337</c:v>
                </c:pt>
                <c:pt idx="565">
                  <c:v>2183.2071589012512</c:v>
                </c:pt>
                <c:pt idx="566">
                  <c:v>2180.6180257611481</c:v>
                </c:pt>
                <c:pt idx="567">
                  <c:v>2177.9359789537421</c:v>
                </c:pt>
                <c:pt idx="568">
                  <c:v>2175.1613163583147</c:v>
                </c:pt>
                <c:pt idx="569">
                  <c:v>2172.2943444390821</c:v>
                </c:pt>
                <c:pt idx="570">
                  <c:v>2169.3353782071231</c:v>
                </c:pt>
                <c:pt idx="571">
                  <c:v>2166.2847411719417</c:v>
                </c:pt>
                <c:pt idx="572">
                  <c:v>2163.1427652835564</c:v>
                </c:pt>
                <c:pt idx="573">
                  <c:v>2159.9097908659051</c:v>
                </c:pt>
                <c:pt idx="574">
                  <c:v>2156.5861665422931</c:v>
                </c:pt>
                <c:pt idx="575">
                  <c:v>2153.1722491535315</c:v>
                </c:pt>
                <c:pt idx="576">
                  <c:v>2149.668403669355</c:v>
                </c:pt>
                <c:pt idx="577">
                  <c:v>2146.0750030936524</c:v>
                </c:pt>
                <c:pt idx="578">
                  <c:v>2142.3924283639967</c:v>
                </c:pt>
                <c:pt idx="579">
                  <c:v>2138.6210682459127</c:v>
                </c:pt>
                <c:pt idx="580">
                  <c:v>2134.7613192222884</c:v>
                </c:pt>
                <c:pt idx="581">
                  <c:v>2130.8135853782978</c:v>
                </c:pt>
                <c:pt idx="582">
                  <c:v>2126.7782782821741</c:v>
                </c:pt>
                <c:pt idx="583">
                  <c:v>2122.6558168621482</c:v>
                </c:pt>
                <c:pt idx="584">
                  <c:v>2118.4466272798381</c:v>
                </c:pt>
                <c:pt idx="585">
                  <c:v>2114.1511428003619</c:v>
                </c:pt>
                <c:pt idx="586">
                  <c:v>2109.769803659422</c:v>
                </c:pt>
                <c:pt idx="587">
                  <c:v>2105.3030569275948</c:v>
                </c:pt>
                <c:pt idx="588">
                  <c:v>2100.7513563720458</c:v>
                </c:pt>
                <c:pt idx="589">
                  <c:v>2096.1151623158785</c:v>
                </c:pt>
                <c:pt idx="590">
                  <c:v>2091.3949414953058</c:v>
                </c:pt>
                <c:pt idx="591">
                  <c:v>2086.5911669148377</c:v>
                </c:pt>
                <c:pt idx="592">
                  <c:v>2081.7043177006531</c:v>
                </c:pt>
                <c:pt idx="593">
                  <c:v>2076.7348789523248</c:v>
                </c:pt>
                <c:pt idx="594">
                  <c:v>2071.683341593061</c:v>
                </c:pt>
                <c:pt idx="595">
                  <c:v>2066.5502022186101</c:v>
                </c:pt>
                <c:pt idx="596">
                  <c:v>2061.3359629449792</c:v>
                </c:pt>
                <c:pt idx="597">
                  <c:v>2056.0411312551059</c:v>
                </c:pt>
                <c:pt idx="598">
                  <c:v>2050.6662198446188</c:v>
                </c:pt>
                <c:pt idx="599">
                  <c:v>2045.2117464668172</c:v>
                </c:pt>
                <c:pt idx="600">
                  <c:v>2039.6782337769962</c:v>
                </c:pt>
                <c:pt idx="601">
                  <c:v>2034.0662091762392</c:v>
                </c:pt>
                <c:pt idx="602">
                  <c:v>2028.3762046547956</c:v>
                </c:pt>
                <c:pt idx="603">
                  <c:v>2022.6087566351584</c:v>
                </c:pt>
                <c:pt idx="604">
                  <c:v>2016.7644058149508</c:v>
                </c:pt>
                <c:pt idx="605">
                  <c:v>2010.8436970097312</c:v>
                </c:pt>
                <c:pt idx="606">
                  <c:v>2004.8471789958194</c:v>
                </c:pt>
                <c:pt idx="607">
                  <c:v>1998.7754043532445</c:v>
                </c:pt>
                <c:pt idx="608">
                  <c:v>1992.6289293089146</c:v>
                </c:pt>
                <c:pt idx="609">
                  <c:v>1986.4083135800995</c:v>
                </c:pt>
                <c:pt idx="610">
                  <c:v>1980.1141202183233</c:v>
                </c:pt>
                <c:pt idx="611">
                  <c:v>1973.7469154537525</c:v>
                </c:pt>
                <c:pt idx="612">
                  <c:v>1967.3072685401694</c:v>
                </c:pt>
                <c:pt idx="613">
                  <c:v>1960.7957516006111</c:v>
                </c:pt>
                <c:pt idx="614">
                  <c:v>1954.2129394737599</c:v>
                </c:pt>
                <c:pt idx="615">
                  <c:v>1947.5594095611611</c:v>
                </c:pt>
                <c:pt idx="616">
                  <c:v>1940.8357416753461</c:v>
                </c:pt>
                <c:pt idx="617">
                  <c:v>1934.0425178889332</c:v>
                </c:pt>
                <c:pt idx="618">
                  <c:v>1927.1803223847789</c:v>
                </c:pt>
                <c:pt idx="619">
                  <c:v>1920.2497413072488</c:v>
                </c:pt>
                <c:pt idx="620">
                  <c:v>1913.2513626146729</c:v>
                </c:pt>
                <c:pt idx="621">
                  <c:v>1906.1857759330514</c:v>
                </c:pt>
                <c:pt idx="622">
                  <c:v>1899.0535724110719</c:v>
                </c:pt>
                <c:pt idx="623">
                  <c:v>1891.8553445764965</c:v>
                </c:pt>
                <c:pt idx="624">
                  <c:v>1884.5916861939779</c:v>
                </c:pt>
                <c:pt idx="625">
                  <c:v>1877.2631921243571</c:v>
                </c:pt>
                <c:pt idx="626">
                  <c:v>1869.8704581854963</c:v>
                </c:pt>
                <c:pt idx="627">
                  <c:v>1862.4140810146964</c:v>
                </c:pt>
                <c:pt idx="628">
                  <c:v>1854.894657932748</c:v>
                </c:pt>
                <c:pt idx="629">
                  <c:v>1847.3127868096601</c:v>
                </c:pt>
                <c:pt idx="630">
                  <c:v>1839.6690659321096</c:v>
                </c:pt>
                <c:pt idx="631">
                  <c:v>1831.964093872655</c:v>
                </c:pt>
                <c:pt idx="632">
                  <c:v>1824.198469360751</c:v>
                </c:pt>
                <c:pt idx="633">
                  <c:v>1816.3727911556005</c:v>
                </c:pt>
                <c:pt idx="634">
                  <c:v>1808.4876579208806</c:v>
                </c:pt>
                <c:pt idx="635">
                  <c:v>1800.5436681013739</c:v>
                </c:pt>
                <c:pt idx="636">
                  <c:v>1792.5414198015346</c:v>
                </c:pt>
                <c:pt idx="637">
                  <c:v>1784.4815106660196</c:v>
                </c:pt>
                <c:pt idx="638">
                  <c:v>1776.3645377622092</c:v>
                </c:pt>
                <c:pt idx="639">
                  <c:v>1768.1910974647424</c:v>
                </c:pt>
                <c:pt idx="640">
                  <c:v>1759.9617853420893</c:v>
                </c:pt>
                <c:pt idx="641">
                  <c:v>1751.6771960451813</c:v>
                </c:pt>
                <c:pt idx="642">
                  <c:v>1743.3379231981155</c:v>
                </c:pt>
                <c:pt idx="643">
                  <c:v>1734.9445592909524</c:v>
                </c:pt>
                <c:pt idx="644">
                  <c:v>1726.4976955746201</c:v>
                </c:pt>
                <c:pt idx="645">
                  <c:v>1717.9979219579384</c:v>
                </c:pt>
                <c:pt idx="646">
                  <c:v>1709.4458269067741</c:v>
                </c:pt>
                <c:pt idx="647">
                  <c:v>1700.841997345336</c:v>
                </c:pt>
                <c:pt idx="648">
                  <c:v>1692.1870185596188</c:v>
                </c:pt>
                <c:pt idx="649">
                  <c:v>1683.4814741030004</c:v>
                </c:pt>
                <c:pt idx="650">
                  <c:v>1674.7259457039988</c:v>
                </c:pt>
                <c:pt idx="651">
                  <c:v>1665.9210131761888</c:v>
                </c:pt>
                <c:pt idx="652">
                  <c:v>1657.0672543302828</c:v>
                </c:pt>
                <c:pt idx="653">
                  <c:v>1648.1652448883738</c:v>
                </c:pt>
                <c:pt idx="654">
                  <c:v>1639.2155584003383</c:v>
                </c:pt>
                <c:pt idx="655">
                  <c:v>1630.2187661623989</c:v>
                </c:pt>
                <c:pt idx="656">
                  <c:v>1621.1754371378386</c:v>
                </c:pt>
                <c:pt idx="657">
                  <c:v>1612.0861378798629</c:v>
                </c:pt>
                <c:pt idx="658">
                  <c:v>1602.9514324566037</c:v>
                </c:pt>
                <c:pt idx="659">
                  <c:v>1593.7718823782534</c:v>
                </c:pt>
                <c:pt idx="660">
                  <c:v>1584.5480465263231</c:v>
                </c:pt>
                <c:pt idx="661">
                  <c:v>1575.2804810850125</c:v>
                </c:pt>
                <c:pt idx="662">
                  <c:v>1565.969739474679</c:v>
                </c:pt>
                <c:pt idx="663">
                  <c:v>1556.6163722873953</c:v>
                </c:pt>
                <c:pt idx="664">
                  <c:v>1547.2209272245789</c:v>
                </c:pt>
                <c:pt idx="665">
                  <c:v>1537.7839490366807</c:v>
                </c:pt>
                <c:pt idx="666">
                  <c:v>1528.3059794649159</c:v>
                </c:pt>
                <c:pt idx="667">
                  <c:v>1518.7875571850195</c:v>
                </c:pt>
                <c:pt idx="668">
                  <c:v>1509.2292177530103</c:v>
                </c:pt>
                <c:pt idx="669">
                  <c:v>1499.6314935529442</c:v>
                </c:pt>
                <c:pt idx="670">
                  <c:v>1489.9949137466363</c:v>
                </c:pt>
                <c:pt idx="671">
                  <c:v>1480.3200042253338</c:v>
                </c:pt>
                <c:pt idx="672">
                  <c:v>1470.6072875633167</c:v>
                </c:pt>
                <c:pt idx="673">
                  <c:v>1460.8572829734062</c:v>
                </c:pt>
                <c:pt idx="674">
                  <c:v>1451.0705062643578</c:v>
                </c:pt>
                <c:pt idx="675">
                  <c:v>1441.2474698001176</c:v>
                </c:pt>
                <c:pt idx="676">
                  <c:v>1431.388682460916</c:v>
                </c:pt>
                <c:pt idx="677">
                  <c:v>1421.4946496061775</c:v>
                </c:pt>
                <c:pt idx="678">
                  <c:v>1411.5658730392202</c:v>
                </c:pt>
                <c:pt idx="679">
                  <c:v>1401.6028509737214</c:v>
                </c:pt>
                <c:pt idx="680">
                  <c:v>1391.6060780019238</c:v>
                </c:pt>
                <c:pt idx="681">
                  <c:v>1381.5760450645555</c:v>
                </c:pt>
                <c:pt idx="682">
                  <c:v>1371.513239422439</c:v>
                </c:pt>
                <c:pt idx="683">
                  <c:v>1361.4181446297625</c:v>
                </c:pt>
                <c:pt idx="684">
                  <c:v>1351.2912405089862</c:v>
                </c:pt>
                <c:pt idx="685">
                  <c:v>1341.1330031273567</c:v>
                </c:pt>
                <c:pt idx="686">
                  <c:v>1330.9439047750034</c:v>
                </c:pt>
                <c:pt idx="687">
                  <c:v>1320.7244139445872</c:v>
                </c:pt>
                <c:pt idx="688">
                  <c:v>1310.4749953124772</c:v>
                </c:pt>
                <c:pt idx="689">
                  <c:v>1300.196109721423</c:v>
                </c:pt>
                <c:pt idx="690">
                  <c:v>1289.8882141646998</c:v>
                </c:pt>
                <c:pt idx="691">
                  <c:v>1279.5517617716939</c:v>
                </c:pt>
                <c:pt idx="692">
                  <c:v>1269.1872017949033</c:v>
                </c:pt>
                <c:pt idx="693">
                  <c:v>1258.7949795983232</c:v>
                </c:pt>
                <c:pt idx="694">
                  <c:v>1248.3755366471901</c:v>
                </c:pt>
                <c:pt idx="695">
                  <c:v>1237.9293104990545</c:v>
                </c:pt>
                <c:pt idx="696">
                  <c:v>1227.4567347961554</c:v>
                </c:pt>
                <c:pt idx="697">
                  <c:v>1216.9582392590676</c:v>
                </c:pt>
                <c:pt idx="698">
                  <c:v>1206.434249681593</c:v>
                </c:pt>
                <c:pt idx="699">
                  <c:v>1195.88518792687</c:v>
                </c:pt>
                <c:pt idx="700">
                  <c:v>1185.3114719246703</c:v>
                </c:pt>
                <c:pt idx="701">
                  <c:v>1174.7135156698575</c:v>
                </c:pt>
                <c:pt idx="702">
                  <c:v>1164.0917292219785</c:v>
                </c:pt>
                <c:pt idx="703">
                  <c:v>1153.44651870596</c:v>
                </c:pt>
                <c:pt idx="704">
                  <c:v>1142.778286313883</c:v>
                </c:pt>
                <c:pt idx="705">
                  <c:v>1132.0874303078085</c:v>
                </c:pt>
                <c:pt idx="706">
                  <c:v>1121.374345023627</c:v>
                </c:pt>
                <c:pt idx="707">
                  <c:v>1110.6394208759036</c:v>
                </c:pt>
                <c:pt idx="708">
                  <c:v>1099.8830443636939</c:v>
                </c:pt>
                <c:pt idx="709">
                  <c:v>1089.1055980773033</c:v>
                </c:pt>
                <c:pt idx="710">
                  <c:v>1078.3074607059639</c:v>
                </c:pt>
                <c:pt idx="711">
                  <c:v>1067.4890070464021</c:v>
                </c:pt>
                <c:pt idx="712">
                  <c:v>1056.6506080122722</c:v>
                </c:pt>
                <c:pt idx="713">
                  <c:v>1045.7926306444301</c:v>
                </c:pt>
                <c:pt idx="714">
                  <c:v>1034.9154381220224</c:v>
                </c:pt>
                <c:pt idx="715">
                  <c:v>1024.0193897743645</c:v>
                </c:pt>
                <c:pt idx="716">
                  <c:v>1013.1048410935863</c:v>
                </c:pt>
                <c:pt idx="717">
                  <c:v>1002.1721437480164</c:v>
                </c:pt>
                <c:pt idx="718">
                  <c:v>991.22164559628607</c:v>
                </c:pt>
                <c:pt idx="719">
                  <c:v>980.25369070212548</c:v>
                </c:pt>
                <c:pt idx="720">
                  <c:v>969.26861934983071</c:v>
                </c:pt>
                <c:pt idx="721">
                  <c:v>958.26676806037767</c:v>
                </c:pt>
                <c:pt idx="722">
                  <c:v>947.24846960816126</c:v>
                </c:pt>
                <c:pt idx="723">
                  <c:v>936.21405303833637</c:v>
                </c:pt>
                <c:pt idx="724">
                  <c:v>925.16384368473905</c:v>
                </c:pt>
                <c:pt idx="725">
                  <c:v>914.09816318836693</c:v>
                </c:pt>
                <c:pt idx="726">
                  <c:v>903.01732951639644</c:v>
                </c:pt>
                <c:pt idx="727">
                  <c:v>891.92165698171675</c:v>
                </c:pt>
                <c:pt idx="728">
                  <c:v>880.81145626295938</c:v>
                </c:pt>
                <c:pt idx="729">
                  <c:v>869.68703442500339</c:v>
                </c:pt>
                <c:pt idx="730">
                  <c:v>858.54869493993635</c:v>
                </c:pt>
                <c:pt idx="731">
                  <c:v>847.39673770845184</c:v>
                </c:pt>
                <c:pt idx="732">
                  <c:v>836.23145908166305</c:v>
                </c:pt>
                <c:pt idx="733">
                  <c:v>825.05315188331565</c:v>
                </c:pt>
                <c:pt idx="734">
                  <c:v>813.86210543237974</c:v>
                </c:pt>
                <c:pt idx="735">
                  <c:v>802.65860556600387</c:v>
                </c:pt>
                <c:pt idx="736">
                  <c:v>791.44293466281283</c:v>
                </c:pt>
                <c:pt idx="737">
                  <c:v>780.21537166653229</c:v>
                </c:pt>
                <c:pt idx="738">
                  <c:v>768.97619210992286</c:v>
                </c:pt>
                <c:pt idx="739">
                  <c:v>757.72566813900721</c:v>
                </c:pt>
                <c:pt idx="740">
                  <c:v>746.46406853757378</c:v>
                </c:pt>
                <c:pt idx="741">
                  <c:v>735.19165875194153</c:v>
                </c:pt>
                <c:pt idx="742">
                  <c:v>723.90870091596958</c:v>
                </c:pt>
                <c:pt idx="743">
                  <c:v>712.6154538762969</c:v>
                </c:pt>
                <c:pt idx="744">
                  <c:v>701.31217321779684</c:v>
                </c:pt>
                <c:pt idx="745">
                  <c:v>689.9991112892327</c:v>
                </c:pt>
                <c:pt idx="746">
                  <c:v>678.67651722909886</c:v>
                </c:pt>
                <c:pt idx="747">
                  <c:v>667.34463699163518</c:v>
                </c:pt>
                <c:pt idx="748">
                  <c:v>656.00371337299941</c:v>
                </c:pt>
                <c:pt idx="749">
                  <c:v>644.65398603758626</c:v>
                </c:pt>
                <c:pt idx="750">
                  <c:v>633.29569154447881</c:v>
                </c:pt>
                <c:pt idx="751">
                  <c:v>621.9290633740203</c:v>
                </c:pt>
                <c:pt idx="752">
                  <c:v>610.55433195449416</c:v>
                </c:pt>
                <c:pt idx="753">
                  <c:v>599.17172468890055</c:v>
                </c:pt>
                <c:pt idx="754">
                  <c:v>587.78146598181695</c:v>
                </c:pt>
                <c:pt idx="755">
                  <c:v>576.38377726633303</c:v>
                </c:pt>
                <c:pt idx="756">
                  <c:v>564.97887703104698</c:v>
                </c:pt>
                <c:pt idx="757">
                  <c:v>553.56698084711479</c:v>
                </c:pt>
                <c:pt idx="758">
                  <c:v>542.1483013953399</c:v>
                </c:pt>
                <c:pt idx="759">
                  <c:v>530.72304849329532</c:v>
                </c:pt>
                <c:pt idx="760">
                  <c:v>519.29142912246664</c:v>
                </c:pt>
                <c:pt idx="761">
                  <c:v>507.85364745540755</c:v>
                </c:pt>
                <c:pt idx="762">
                  <c:v>496.40990488289839</c:v>
                </c:pt>
                <c:pt idx="763">
                  <c:v>484.96040004109875</c:v>
                </c:pt>
                <c:pt idx="764">
                  <c:v>473.5053288386855</c:v>
                </c:pt>
                <c:pt idx="765">
                  <c:v>462.04488448396808</c:v>
                </c:pt>
                <c:pt idx="766">
                  <c:v>450.57925751197246</c:v>
                </c:pt>
                <c:pt idx="767">
                  <c:v>439.10863581148664</c:v>
                </c:pt>
                <c:pt idx="768">
                  <c:v>427.63320465205942</c:v>
                </c:pt>
                <c:pt idx="769">
                  <c:v>416.15314671094569</c:v>
                </c:pt>
                <c:pt idx="770">
                  <c:v>404.66864209999051</c:v>
                </c:pt>
                <c:pt idx="771">
                  <c:v>393.17986839244577</c:v>
                </c:pt>
                <c:pt idx="772">
                  <c:v>381.68700064971256</c:v>
                </c:pt>
                <c:pt idx="773">
                  <c:v>370.19021144800274</c:v>
                </c:pt>
                <c:pt idx="774">
                  <c:v>358.68967090491378</c:v>
                </c:pt>
                <c:pt idx="775">
                  <c:v>347.18554670591095</c:v>
                </c:pt>
                <c:pt idx="776">
                  <c:v>335.67800413071092</c:v>
                </c:pt>
                <c:pt idx="777">
                  <c:v>324.16720607956154</c:v>
                </c:pt>
                <c:pt idx="778">
                  <c:v>312.65331309941246</c:v>
                </c:pt>
                <c:pt idx="779">
                  <c:v>301.13648340997167</c:v>
                </c:pt>
                <c:pt idx="780">
                  <c:v>289.61687292964257</c:v>
                </c:pt>
                <c:pt idx="781">
                  <c:v>278.09463530133769</c:v>
                </c:pt>
                <c:pt idx="782">
                  <c:v>266.56992191816386</c:v>
                </c:pt>
                <c:pt idx="783">
                  <c:v>255.04288194897509</c:v>
                </c:pt>
                <c:pt idx="784">
                  <c:v>243.51366236378882</c:v>
                </c:pt>
                <c:pt idx="785">
                  <c:v>231.9824079590615</c:v>
                </c:pt>
                <c:pt idx="786">
                  <c:v>220.44926138282011</c:v>
                </c:pt>
                <c:pt idx="787">
                  <c:v>208.91436315964575</c:v>
                </c:pt>
                <c:pt idx="788">
                  <c:v>197.37785171550604</c:v>
                </c:pt>
                <c:pt idx="789">
                  <c:v>185.83986340243317</c:v>
                </c:pt>
                <c:pt idx="790">
                  <c:v>174.30053252304421</c:v>
                </c:pt>
                <c:pt idx="791">
                  <c:v>162.7599913549013</c:v>
                </c:pt>
                <c:pt idx="792">
                  <c:v>151.21837017470838</c:v>
                </c:pt>
                <c:pt idx="793">
                  <c:v>139.6757972823423</c:v>
                </c:pt>
                <c:pt idx="794">
                  <c:v>128.13239902471554</c:v>
                </c:pt>
                <c:pt idx="795">
                  <c:v>116.58829981946835</c:v>
                </c:pt>
                <c:pt idx="796">
                  <c:v>105.04362217848822</c:v>
                </c:pt>
                <c:pt idx="797">
                  <c:v>93.498486731254374</c:v>
                </c:pt>
                <c:pt idx="798">
                  <c:v>81.953012248005535</c:v>
                </c:pt>
                <c:pt idx="799">
                  <c:v>70.407315662729161</c:v>
                </c:pt>
                <c:pt idx="800">
                  <c:v>58.861512095970397</c:v>
                </c:pt>
                <c:pt idx="801">
                  <c:v>47.315714877459257</c:v>
                </c:pt>
                <c:pt idx="802">
                  <c:v>35.770035568554562</c:v>
                </c:pt>
                <c:pt idx="803">
                  <c:v>24.224583984503333</c:v>
                </c:pt>
                <c:pt idx="804">
                  <c:v>12.679468216514387</c:v>
                </c:pt>
                <c:pt idx="805">
                  <c:v>1.1347946536450735</c:v>
                </c:pt>
                <c:pt idx="806">
                  <c:v>-10.409331995499883</c:v>
                </c:pt>
                <c:pt idx="807">
                  <c:v>-10.420875822373183</c:v>
                </c:pt>
                <c:pt idx="808">
                  <c:v>-10.432419648545357</c:v>
                </c:pt>
                <c:pt idx="809">
                  <c:v>-10.443963474016304</c:v>
                </c:pt>
                <c:pt idx="810">
                  <c:v>-10.455507298785923</c:v>
                </c:pt>
                <c:pt idx="811">
                  <c:v>-10.467051122854114</c:v>
                </c:pt>
                <c:pt idx="812">
                  <c:v>-10.478594946220776</c:v>
                </c:pt>
                <c:pt idx="813">
                  <c:v>-10.490138768885808</c:v>
                </c:pt>
                <c:pt idx="814">
                  <c:v>-10.501682590849112</c:v>
                </c:pt>
                <c:pt idx="815">
                  <c:v>-10.513226412110585</c:v>
                </c:pt>
                <c:pt idx="816">
                  <c:v>-10.524770232670127</c:v>
                </c:pt>
                <c:pt idx="817">
                  <c:v>-10.536314052527638</c:v>
                </c:pt>
                <c:pt idx="818">
                  <c:v>-10.547857871683018</c:v>
                </c:pt>
                <c:pt idx="819">
                  <c:v>-10.559401690136164</c:v>
                </c:pt>
                <c:pt idx="820">
                  <c:v>-10.570945507886979</c:v>
                </c:pt>
                <c:pt idx="821">
                  <c:v>-10.582489324935359</c:v>
                </c:pt>
                <c:pt idx="822">
                  <c:v>-10.594033141281207</c:v>
                </c:pt>
                <c:pt idx="823">
                  <c:v>-10.60557695692442</c:v>
                </c:pt>
                <c:pt idx="824">
                  <c:v>-10.617120771864897</c:v>
                </c:pt>
                <c:pt idx="825">
                  <c:v>-10.62866458610254</c:v>
                </c:pt>
                <c:pt idx="826">
                  <c:v>-10.640208399637245</c:v>
                </c:pt>
                <c:pt idx="827">
                  <c:v>-10.651752212468915</c:v>
                </c:pt>
                <c:pt idx="828">
                  <c:v>-10.663296024597448</c:v>
                </c:pt>
                <c:pt idx="829">
                  <c:v>-10.674839836022743</c:v>
                </c:pt>
                <c:pt idx="830">
                  <c:v>-10.6863836467447</c:v>
                </c:pt>
                <c:pt idx="831">
                  <c:v>-10.697927456763217</c:v>
                </c:pt>
                <c:pt idx="832">
                  <c:v>-10.709471266078197</c:v>
                </c:pt>
                <c:pt idx="833">
                  <c:v>-10.721015074689536</c:v>
                </c:pt>
                <c:pt idx="834">
                  <c:v>-10.732558882597136</c:v>
                </c:pt>
                <c:pt idx="835">
                  <c:v>-10.744102689800895</c:v>
                </c:pt>
                <c:pt idx="836">
                  <c:v>-10.755646496300713</c:v>
                </c:pt>
                <c:pt idx="837">
                  <c:v>-10.767190302096489</c:v>
                </c:pt>
                <c:pt idx="838">
                  <c:v>-10.778734107188123</c:v>
                </c:pt>
                <c:pt idx="839">
                  <c:v>-10.790277911575515</c:v>
                </c:pt>
                <c:pt idx="840">
                  <c:v>-10.801821715258564</c:v>
                </c:pt>
                <c:pt idx="841">
                  <c:v>-10.81336551823717</c:v>
                </c:pt>
                <c:pt idx="842">
                  <c:v>-10.824909320511232</c:v>
                </c:pt>
                <c:pt idx="843">
                  <c:v>-10.836453122080648</c:v>
                </c:pt>
                <c:pt idx="844">
                  <c:v>-10.84799692294532</c:v>
                </c:pt>
                <c:pt idx="845">
                  <c:v>-10.859540723105146</c:v>
                </c:pt>
                <c:pt idx="846">
                  <c:v>-10.871084522560027</c:v>
                </c:pt>
                <c:pt idx="847">
                  <c:v>-10.882628321309861</c:v>
                </c:pt>
                <c:pt idx="848">
                  <c:v>-10.894172119354549</c:v>
                </c:pt>
                <c:pt idx="849">
                  <c:v>-10.905715916693989</c:v>
                </c:pt>
                <c:pt idx="850">
                  <c:v>-10.917259713328081</c:v>
                </c:pt>
                <c:pt idx="851">
                  <c:v>-10.928803509256724</c:v>
                </c:pt>
                <c:pt idx="852">
                  <c:v>-10.940347304479818</c:v>
                </c:pt>
                <c:pt idx="853">
                  <c:v>-10.951891098997264</c:v>
                </c:pt>
                <c:pt idx="854">
                  <c:v>-10.963434892808959</c:v>
                </c:pt>
                <c:pt idx="855">
                  <c:v>-10.974978685914804</c:v>
                </c:pt>
                <c:pt idx="856">
                  <c:v>-10.986522478314699</c:v>
                </c:pt>
                <c:pt idx="857">
                  <c:v>-10.998066270008541</c:v>
                </c:pt>
                <c:pt idx="858">
                  <c:v>-11.009610060996232</c:v>
                </c:pt>
                <c:pt idx="859">
                  <c:v>-11.021153851277672</c:v>
                </c:pt>
                <c:pt idx="860">
                  <c:v>-11.032697640852758</c:v>
                </c:pt>
                <c:pt idx="861">
                  <c:v>-11.044241429721392</c:v>
                </c:pt>
                <c:pt idx="862">
                  <c:v>-11.055785217883471</c:v>
                </c:pt>
                <c:pt idx="863">
                  <c:v>-11.067329005338898</c:v>
                </c:pt>
                <c:pt idx="864">
                  <c:v>-11.078872792087569</c:v>
                </c:pt>
                <c:pt idx="865">
                  <c:v>-11.090416578129386</c:v>
                </c:pt>
                <c:pt idx="866">
                  <c:v>-11.101960363464247</c:v>
                </c:pt>
                <c:pt idx="867">
                  <c:v>-11.113504148092053</c:v>
                </c:pt>
                <c:pt idx="868">
                  <c:v>-11.125047932012702</c:v>
                </c:pt>
                <c:pt idx="869">
                  <c:v>-11.136591715226094</c:v>
                </c:pt>
                <c:pt idx="870">
                  <c:v>-11.148135497732129</c:v>
                </c:pt>
                <c:pt idx="871">
                  <c:v>-11.159679279530707</c:v>
                </c:pt>
                <c:pt idx="872">
                  <c:v>-11.171223060621728</c:v>
                </c:pt>
                <c:pt idx="873">
                  <c:v>-11.182766841005089</c:v>
                </c:pt>
                <c:pt idx="874">
                  <c:v>-11.194310620680691</c:v>
                </c:pt>
                <c:pt idx="875">
                  <c:v>-11.205854399648434</c:v>
                </c:pt>
                <c:pt idx="876">
                  <c:v>-11.217398177908217</c:v>
                </c:pt>
                <c:pt idx="877">
                  <c:v>-11.228941955459941</c:v>
                </c:pt>
                <c:pt idx="878">
                  <c:v>-11.240485732303505</c:v>
                </c:pt>
                <c:pt idx="879">
                  <c:v>-11.252029508438806</c:v>
                </c:pt>
                <c:pt idx="880">
                  <c:v>-11.263573283865746</c:v>
                </c:pt>
                <c:pt idx="881">
                  <c:v>-11.275117058584224</c:v>
                </c:pt>
                <c:pt idx="882">
                  <c:v>-11.286660832594139</c:v>
                </c:pt>
                <c:pt idx="883">
                  <c:v>-11.298204605895391</c:v>
                </c:pt>
                <c:pt idx="884">
                  <c:v>-11.30974837848788</c:v>
                </c:pt>
                <c:pt idx="885">
                  <c:v>-11.321292150371507</c:v>
                </c:pt>
                <c:pt idx="886">
                  <c:v>-11.332835921546168</c:v>
                </c:pt>
                <c:pt idx="887">
                  <c:v>-11.344379692011765</c:v>
                </c:pt>
                <c:pt idx="888">
                  <c:v>-11.355923461768198</c:v>
                </c:pt>
                <c:pt idx="889">
                  <c:v>-11.367467230815365</c:v>
                </c:pt>
                <c:pt idx="890">
                  <c:v>-11.379010999153166</c:v>
                </c:pt>
                <c:pt idx="891">
                  <c:v>-11.390554766781502</c:v>
                </c:pt>
                <c:pt idx="892">
                  <c:v>-11.40209853370027</c:v>
                </c:pt>
                <c:pt idx="893">
                  <c:v>-11.413642299909371</c:v>
                </c:pt>
                <c:pt idx="894">
                  <c:v>-11.425186065408706</c:v>
                </c:pt>
                <c:pt idx="895">
                  <c:v>-11.436729830198173</c:v>
                </c:pt>
                <c:pt idx="896">
                  <c:v>-11.448273594277671</c:v>
                </c:pt>
                <c:pt idx="897">
                  <c:v>-11.459817357647101</c:v>
                </c:pt>
                <c:pt idx="898">
                  <c:v>-11.471361120306362</c:v>
                </c:pt>
                <c:pt idx="899">
                  <c:v>-11.482904882255353</c:v>
                </c:pt>
                <c:pt idx="900">
                  <c:v>-11.494448643493975</c:v>
                </c:pt>
                <c:pt idx="901">
                  <c:v>-11.505992404022127</c:v>
                </c:pt>
                <c:pt idx="902">
                  <c:v>-11.517536163839708</c:v>
                </c:pt>
                <c:pt idx="903">
                  <c:v>-11.529079922946618</c:v>
                </c:pt>
                <c:pt idx="904">
                  <c:v>-11.540623681342757</c:v>
                </c:pt>
                <c:pt idx="905">
                  <c:v>-11.552167439028024</c:v>
                </c:pt>
                <c:pt idx="906">
                  <c:v>-11.563711196002318</c:v>
                </c:pt>
                <c:pt idx="907">
                  <c:v>-11.57525495226554</c:v>
                </c:pt>
                <c:pt idx="908">
                  <c:v>-11.586798707817589</c:v>
                </c:pt>
                <c:pt idx="909">
                  <c:v>-11.598342462658366</c:v>
                </c:pt>
                <c:pt idx="910">
                  <c:v>-11.609886216787768</c:v>
                </c:pt>
                <c:pt idx="911">
                  <c:v>-11.621429970205696</c:v>
                </c:pt>
                <c:pt idx="912">
                  <c:v>-11.63297372291205</c:v>
                </c:pt>
                <c:pt idx="913">
                  <c:v>-11.64451747490673</c:v>
                </c:pt>
                <c:pt idx="914">
                  <c:v>-11.656061226189633</c:v>
                </c:pt>
                <c:pt idx="915">
                  <c:v>-11.667604976760662</c:v>
                </c:pt>
                <c:pt idx="916">
                  <c:v>-11.679148726619715</c:v>
                </c:pt>
                <c:pt idx="917">
                  <c:v>-11.69069247576669</c:v>
                </c:pt>
                <c:pt idx="918">
                  <c:v>-11.70223622420149</c:v>
                </c:pt>
                <c:pt idx="919">
                  <c:v>-11.713779971924012</c:v>
                </c:pt>
                <c:pt idx="920">
                  <c:v>-11.725323718934156</c:v>
                </c:pt>
                <c:pt idx="921">
                  <c:v>-11.736867465231823</c:v>
                </c:pt>
                <c:pt idx="922">
                  <c:v>-11.748411210816911</c:v>
                </c:pt>
                <c:pt idx="923">
                  <c:v>-11.759954955689322</c:v>
                </c:pt>
                <c:pt idx="924">
                  <c:v>-11.771498699848953</c:v>
                </c:pt>
                <c:pt idx="925">
                  <c:v>-11.783042443295706</c:v>
                </c:pt>
                <c:pt idx="926">
                  <c:v>-11.794586186029479</c:v>
                </c:pt>
                <c:pt idx="927">
                  <c:v>-11.806129928050172</c:v>
                </c:pt>
                <c:pt idx="928">
                  <c:v>-11.817673669357685</c:v>
                </c:pt>
                <c:pt idx="929">
                  <c:v>-11.829217409951916</c:v>
                </c:pt>
                <c:pt idx="930">
                  <c:v>-11.840761149832767</c:v>
                </c:pt>
                <c:pt idx="931">
                  <c:v>-11.852304889000136</c:v>
                </c:pt>
                <c:pt idx="932">
                  <c:v>-11.863848627453924</c:v>
                </c:pt>
                <c:pt idx="933">
                  <c:v>-11.875392365194029</c:v>
                </c:pt>
                <c:pt idx="934">
                  <c:v>-11.886936102220353</c:v>
                </c:pt>
                <c:pt idx="935">
                  <c:v>-11.898479838532793</c:v>
                </c:pt>
                <c:pt idx="936">
                  <c:v>-11.910023574131252</c:v>
                </c:pt>
                <c:pt idx="937">
                  <c:v>-11.921567309015625</c:v>
                </c:pt>
                <c:pt idx="938">
                  <c:v>-11.933111043185816</c:v>
                </c:pt>
                <c:pt idx="939">
                  <c:v>-11.944654776641721</c:v>
                </c:pt>
                <c:pt idx="940">
                  <c:v>-11.956198509383244</c:v>
                </c:pt>
                <c:pt idx="941">
                  <c:v>-11.967742241410281</c:v>
                </c:pt>
                <c:pt idx="942">
                  <c:v>-11.979285972722733</c:v>
                </c:pt>
                <c:pt idx="943">
                  <c:v>-11.9908297033205</c:v>
                </c:pt>
                <c:pt idx="944">
                  <c:v>-12.002373433203481</c:v>
                </c:pt>
                <c:pt idx="945">
                  <c:v>-12.013917162371575</c:v>
                </c:pt>
                <c:pt idx="946">
                  <c:v>-12.025460890824684</c:v>
                </c:pt>
                <c:pt idx="947">
                  <c:v>-12.037004618562706</c:v>
                </c:pt>
                <c:pt idx="948">
                  <c:v>-12.048548345585541</c:v>
                </c:pt>
                <c:pt idx="949">
                  <c:v>-12.060092071893088</c:v>
                </c:pt>
                <c:pt idx="950">
                  <c:v>-12.071635797485248</c:v>
                </c:pt>
                <c:pt idx="951">
                  <c:v>-12.08317952236192</c:v>
                </c:pt>
                <c:pt idx="952">
                  <c:v>-12.094723246523003</c:v>
                </c:pt>
                <c:pt idx="953">
                  <c:v>-12.106266969968397</c:v>
                </c:pt>
                <c:pt idx="954">
                  <c:v>-12.117810692698002</c:v>
                </c:pt>
                <c:pt idx="955">
                  <c:v>-12.129354414711718</c:v>
                </c:pt>
                <c:pt idx="956">
                  <c:v>-12.140898136009445</c:v>
                </c:pt>
                <c:pt idx="957">
                  <c:v>-12.152441856591082</c:v>
                </c:pt>
                <c:pt idx="958">
                  <c:v>-12.163985576456529</c:v>
                </c:pt>
                <c:pt idx="959">
                  <c:v>-12.175529295605685</c:v>
                </c:pt>
                <c:pt idx="960">
                  <c:v>-12.18707301403845</c:v>
                </c:pt>
                <c:pt idx="961">
                  <c:v>-12.198616731754726</c:v>
                </c:pt>
                <c:pt idx="962">
                  <c:v>-12.210160448754408</c:v>
                </c:pt>
                <c:pt idx="963">
                  <c:v>-12.2217041650374</c:v>
                </c:pt>
                <c:pt idx="964">
                  <c:v>-12.233247880603599</c:v>
                </c:pt>
                <c:pt idx="965">
                  <c:v>-12.244791595452906</c:v>
                </c:pt>
                <c:pt idx="966">
                  <c:v>-12.25633530958522</c:v>
                </c:pt>
                <c:pt idx="967">
                  <c:v>-12.267879023000441</c:v>
                </c:pt>
                <c:pt idx="968">
                  <c:v>-12.27942273569847</c:v>
                </c:pt>
                <c:pt idx="969">
                  <c:v>-12.290966447679205</c:v>
                </c:pt>
                <c:pt idx="970">
                  <c:v>-12.302510158942546</c:v>
                </c:pt>
                <c:pt idx="971">
                  <c:v>-12.314053869488394</c:v>
                </c:pt>
                <c:pt idx="972">
                  <c:v>-12.325597579316646</c:v>
                </c:pt>
                <c:pt idx="973">
                  <c:v>-12.337141288427205</c:v>
                </c:pt>
                <c:pt idx="974">
                  <c:v>-12.348684996819969</c:v>
                </c:pt>
                <c:pt idx="975">
                  <c:v>-12.360228704494839</c:v>
                </c:pt>
                <c:pt idx="976">
                  <c:v>-12.371772411451712</c:v>
                </c:pt>
                <c:pt idx="977">
                  <c:v>-12.383316117690489</c:v>
                </c:pt>
                <c:pt idx="978">
                  <c:v>-12.394859823211071</c:v>
                </c:pt>
                <c:pt idx="979">
                  <c:v>-12.406403528013357</c:v>
                </c:pt>
                <c:pt idx="980">
                  <c:v>-12.417947232097246</c:v>
                </c:pt>
                <c:pt idx="981">
                  <c:v>-12.429490935462638</c:v>
                </c:pt>
                <c:pt idx="982">
                  <c:v>-12.441034638109434</c:v>
                </c:pt>
                <c:pt idx="983">
                  <c:v>-12.452578340037531</c:v>
                </c:pt>
                <c:pt idx="984">
                  <c:v>-12.464122041246831</c:v>
                </c:pt>
                <c:pt idx="985">
                  <c:v>-12.475665741737235</c:v>
                </c:pt>
                <c:pt idx="986">
                  <c:v>-12.487209441508639</c:v>
                </c:pt>
                <c:pt idx="987">
                  <c:v>-12.498753140560945</c:v>
                </c:pt>
                <c:pt idx="988">
                  <c:v>-12.510296838894053</c:v>
                </c:pt>
                <c:pt idx="989">
                  <c:v>-12.521840536507861</c:v>
                </c:pt>
                <c:pt idx="990">
                  <c:v>-12.533384233402272</c:v>
                </c:pt>
                <c:pt idx="991">
                  <c:v>-12.544927929577181</c:v>
                </c:pt>
                <c:pt idx="992">
                  <c:v>-12.556471625032492</c:v>
                </c:pt>
                <c:pt idx="993">
                  <c:v>-12.568015319768103</c:v>
                </c:pt>
                <c:pt idx="994">
                  <c:v>-12.579559013783912</c:v>
                </c:pt>
                <c:pt idx="995">
                  <c:v>-12.591102707079823</c:v>
                </c:pt>
                <c:pt idx="996">
                  <c:v>-12.602646399655733</c:v>
                </c:pt>
                <c:pt idx="997">
                  <c:v>-12.614190091511542</c:v>
                </c:pt>
                <c:pt idx="998">
                  <c:v>-12.625733782647149</c:v>
                </c:pt>
                <c:pt idx="999">
                  <c:v>-12.637277473062456</c:v>
                </c:pt>
                <c:pt idx="1000">
                  <c:v>-12.648821162757361</c:v>
                </c:pt>
              </c:numCache>
            </c:numRef>
          </c:yVal>
          <c:smooth val="0"/>
          <c:extLst>
            <c:ext xmlns:c16="http://schemas.microsoft.com/office/drawing/2014/chart" uri="{C3380CC4-5D6E-409C-BE32-E72D297353CC}">
              <c16:uniqueId val="{00000001-B5CC-4BD6-9E0D-EA30945FB569}"/>
            </c:ext>
          </c:extLst>
        </c:ser>
        <c:dLbls>
          <c:showLegendKey val="0"/>
          <c:showVal val="0"/>
          <c:showCatName val="0"/>
          <c:showSerName val="0"/>
          <c:showPercent val="0"/>
          <c:showBubbleSize val="0"/>
        </c:dLbls>
        <c:axId val="149619072"/>
        <c:axId val="149620992"/>
      </c:scatterChart>
      <c:valAx>
        <c:axId val="1496190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20992"/>
        <c:crosses val="autoZero"/>
        <c:crossBetween val="midCat"/>
      </c:valAx>
      <c:valAx>
        <c:axId val="149620992"/>
        <c:scaling>
          <c:orientation val="minMax"/>
          <c:min val="0"/>
        </c:scaling>
        <c:delete val="0"/>
        <c:axPos val="l"/>
        <c:majorGridlines>
          <c:spPr>
            <a:ln w="3175">
              <a:solidFill>
                <a:srgbClr val="000000"/>
              </a:solidFill>
              <a:prstDash val="sysDash"/>
            </a:ln>
          </c:spPr>
        </c:majorGridlines>
        <c:title>
          <c:tx>
            <c:rich>
              <a:bodyPr/>
              <a:lstStyle/>
              <a:p>
                <a:pPr>
                  <a:defRPr sz="1175" b="1" i="0" u="none" strike="noStrike" baseline="0">
                    <a:solidFill>
                      <a:srgbClr val="000000"/>
                    </a:solidFill>
                    <a:latin typeface="Arial"/>
                    <a:ea typeface="Arial"/>
                    <a:cs typeface="Arial"/>
                  </a:defRPr>
                </a:pPr>
                <a:r>
                  <a:rPr lang="fr-FR"/>
                  <a:t>Positions [m]</a:t>
                </a:r>
              </a:p>
            </c:rich>
          </c:tx>
          <c:layout>
            <c:manualLayout>
              <c:xMode val="edge"/>
              <c:yMode val="edge"/>
              <c:x val="2.0047169811320761E-2"/>
              <c:y val="0.3006547681539808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19072"/>
        <c:crosses val="autoZero"/>
        <c:crossBetween val="midCat"/>
      </c:valAx>
      <c:spPr>
        <a:noFill/>
        <a:ln w="12700">
          <a:solidFill>
            <a:srgbClr val="808080"/>
          </a:solidFill>
          <a:prstDash val="solid"/>
        </a:ln>
      </c:spPr>
    </c:plotArea>
    <c:legend>
      <c:legendPos val="r"/>
      <c:layout>
        <c:manualLayout>
          <c:xMode val="edge"/>
          <c:yMode val="edge"/>
          <c:x val="0.8286169712276531"/>
          <c:y val="0.4888892388451444"/>
          <c:w val="0.13679257663546773"/>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Propu!$A$2</c:f>
          <c:strCache>
            <c:ptCount val="1"/>
            <c:pt idx="0">
              <c:v>Barasinga (Pro54-5G C)</c:v>
            </c:pt>
          </c:strCache>
        </c:strRef>
      </c:tx>
      <c:layout>
        <c:manualLayout>
          <c:xMode val="edge"/>
          <c:yMode val="edge"/>
          <c:x val="0.47127077646762688"/>
          <c:y val="3.9178592393174498E-2"/>
        </c:manualLayout>
      </c:layout>
      <c:overlay val="0"/>
      <c:txPr>
        <a:bodyPr/>
        <a:lstStyle/>
        <a:p>
          <a:pPr>
            <a:defRPr sz="1200" b="0"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7.2496559551677733E-2"/>
          <c:y val="5.5426586068345711E-2"/>
          <c:w val="0.88973722710617964"/>
          <c:h val="0.82390179871348956"/>
        </c:manualLayout>
      </c:layout>
      <c:scatterChart>
        <c:scatterStyle val="lineMarker"/>
        <c:varyColors val="0"/>
        <c:ser>
          <c:idx val="0"/>
          <c:order val="0"/>
          <c:tx>
            <c:strRef>
              <c:f>Propu!$A$4</c:f>
              <c:strCache>
                <c:ptCount val="1"/>
                <c:pt idx="0">
                  <c:v>Poussée (en N)</c:v>
                </c:pt>
              </c:strCache>
            </c:strRef>
          </c:tx>
          <c:spPr>
            <a:ln w="25400">
              <a:solidFill>
                <a:srgbClr val="004586"/>
              </a:solidFill>
              <a:prstDash val="solid"/>
            </a:ln>
          </c:spPr>
          <c:marker>
            <c:symbol val="square"/>
            <c:size val="4"/>
            <c:spPr>
              <a:solidFill>
                <a:srgbClr val="004586"/>
              </a:solidFill>
              <a:ln>
                <a:solidFill>
                  <a:srgbClr val="004586"/>
                </a:solidFill>
                <a:prstDash val="solid"/>
              </a:ln>
            </c:spPr>
          </c:marker>
          <c:xVal>
            <c:numRef>
              <c:f>Propu!$B$3:$X$3</c:f>
              <c:numCache>
                <c:formatCode>General</c:formatCode>
                <c:ptCount val="23"/>
                <c:pt idx="0">
                  <c:v>0</c:v>
                </c:pt>
                <c:pt idx="1">
                  <c:v>0.05</c:v>
                </c:pt>
                <c:pt idx="2">
                  <c:v>0.5</c:v>
                </c:pt>
                <c:pt idx="3">
                  <c:v>1</c:v>
                </c:pt>
                <c:pt idx="4">
                  <c:v>1.5</c:v>
                </c:pt>
                <c:pt idx="5">
                  <c:v>2</c:v>
                </c:pt>
                <c:pt idx="6">
                  <c:v>2.5</c:v>
                </c:pt>
                <c:pt idx="7">
                  <c:v>2.97</c:v>
                </c:pt>
                <c:pt idx="8">
                  <c:v>3.2</c:v>
                </c:pt>
                <c:pt idx="9">
                  <c:v>3.47</c:v>
                </c:pt>
                <c:pt idx="10">
                  <c:v>3.59</c:v>
                </c:pt>
                <c:pt idx="11">
                  <c:v>3.59</c:v>
                </c:pt>
                <c:pt idx="12">
                  <c:v>3.59</c:v>
                </c:pt>
                <c:pt idx="13">
                  <c:v>3.59</c:v>
                </c:pt>
                <c:pt idx="14">
                  <c:v>3.59</c:v>
                </c:pt>
                <c:pt idx="15">
                  <c:v>3.59</c:v>
                </c:pt>
                <c:pt idx="16">
                  <c:v>3.59</c:v>
                </c:pt>
                <c:pt idx="17">
                  <c:v>3.59</c:v>
                </c:pt>
                <c:pt idx="18">
                  <c:v>3.59</c:v>
                </c:pt>
                <c:pt idx="19">
                  <c:v>3.59</c:v>
                </c:pt>
                <c:pt idx="20">
                  <c:v>3.59</c:v>
                </c:pt>
                <c:pt idx="21">
                  <c:v>3.59</c:v>
                </c:pt>
                <c:pt idx="22">
                  <c:v>3.59</c:v>
                </c:pt>
              </c:numCache>
            </c:numRef>
          </c:xVal>
          <c:yVal>
            <c:numRef>
              <c:f>Propu!$B$4:$X$4</c:f>
              <c:numCache>
                <c:formatCode>General</c:formatCode>
                <c:ptCount val="23"/>
                <c:pt idx="0">
                  <c:v>0</c:v>
                </c:pt>
                <c:pt idx="1">
                  <c:v>893</c:v>
                </c:pt>
                <c:pt idx="2">
                  <c:v>798</c:v>
                </c:pt>
                <c:pt idx="3">
                  <c:v>739</c:v>
                </c:pt>
                <c:pt idx="4">
                  <c:v>659</c:v>
                </c:pt>
                <c:pt idx="5">
                  <c:v>586</c:v>
                </c:pt>
                <c:pt idx="6">
                  <c:v>513</c:v>
                </c:pt>
                <c:pt idx="7">
                  <c:v>417</c:v>
                </c:pt>
                <c:pt idx="8">
                  <c:v>225</c:v>
                </c:pt>
                <c:pt idx="9">
                  <c:v>67</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0-8EF7-4299-9A20-8D075AE9918F}"/>
            </c:ext>
          </c:extLst>
        </c:ser>
        <c:dLbls>
          <c:showLegendKey val="0"/>
          <c:showVal val="0"/>
          <c:showCatName val="0"/>
          <c:showSerName val="0"/>
          <c:showPercent val="0"/>
          <c:showBubbleSize val="0"/>
        </c:dLbls>
        <c:axId val="193428480"/>
        <c:axId val="193451520"/>
      </c:scatterChart>
      <c:valAx>
        <c:axId val="193428480"/>
        <c:scaling>
          <c:orientation val="minMax"/>
        </c:scaling>
        <c:delete val="0"/>
        <c:axPos val="b"/>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Temps / Time [s]</a:t>
                </a:r>
              </a:p>
            </c:rich>
          </c:tx>
          <c:layout>
            <c:manualLayout>
              <c:xMode val="edge"/>
              <c:yMode val="edge"/>
              <c:x val="0.78665554917523417"/>
              <c:y val="0.68868125417484782"/>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51520"/>
        <c:crosses val="autoZero"/>
        <c:crossBetween val="midCat"/>
      </c:valAx>
      <c:valAx>
        <c:axId val="193451520"/>
        <c:scaling>
          <c:orientation val="minMax"/>
        </c:scaling>
        <c:delete val="0"/>
        <c:axPos val="l"/>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Poussée / Thrust [N]</a:t>
                </a:r>
              </a:p>
            </c:rich>
          </c:tx>
          <c:layout>
            <c:manualLayout>
              <c:xMode val="edge"/>
              <c:yMode val="edge"/>
              <c:x val="8.5144147191391295E-2"/>
              <c:y val="0.35327652166872459"/>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28480"/>
        <c:crosses val="autoZero"/>
        <c:crossBetween val="midCat"/>
      </c:valAx>
      <c:spPr>
        <a:noFill/>
        <a:ln w="3175">
          <a:solidFill>
            <a:srgbClr val="B3B3B3"/>
          </a:solidFill>
          <a:prstDash val="solid"/>
        </a:ln>
      </c:spPr>
    </c:plotArea>
    <c:plotVisOnly val="0"/>
    <c:dispBlanksAs val="gap"/>
    <c:showDLblsOverMax val="0"/>
  </c:chart>
  <c:spPr>
    <a:solidFill>
      <a:srgbClr val="FFFFFF"/>
    </a:solidFill>
    <a:ln w="9525">
      <a:noFill/>
    </a:ln>
  </c:spPr>
  <c:txPr>
    <a:bodyPr/>
    <a:lstStyle/>
    <a:p>
      <a:pPr>
        <a:defRPr sz="12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Abaco!$B$77</c:f>
          <c:strCache>
            <c:ptCount val="1"/>
            <c:pt idx="0">
              <c:v>Vitesse max / Masse totale</c:v>
            </c:pt>
          </c:strCache>
        </c:strRef>
      </c:tx>
      <c:layout>
        <c:manualLayout>
          <c:xMode val="edge"/>
          <c:yMode val="edge"/>
          <c:x val="0.32580555555555563"/>
          <c:y val="3.2407484861159096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54 mm</c:v>
                </c:pt>
              </c:strCache>
            </c:strRef>
          </c:tx>
          <c:xVal>
            <c:numRef>
              <c:f>Abaco!$D$43:$D$51</c:f>
              <c:numCache>
                <c:formatCode>General\ "kg"</c:formatCode>
                <c:ptCount val="9"/>
                <c:pt idx="0">
                  <c:v>1.6850000000000001</c:v>
                </c:pt>
                <c:pt idx="1">
                  <c:v>2.7927499999999998</c:v>
                </c:pt>
                <c:pt idx="2">
                  <c:v>3.9005000000000001</c:v>
                </c:pt>
                <c:pt idx="3">
                  <c:v>5.0082500000000003</c:v>
                </c:pt>
                <c:pt idx="4">
                  <c:v>6.1159999999999997</c:v>
                </c:pt>
                <c:pt idx="5">
                  <c:v>7.2237500000000008</c:v>
                </c:pt>
                <c:pt idx="6">
                  <c:v>8.3315000000000001</c:v>
                </c:pt>
                <c:pt idx="7">
                  <c:v>9.4392499999999995</c:v>
                </c:pt>
                <c:pt idx="8">
                  <c:v>10.547000000000001</c:v>
                </c:pt>
              </c:numCache>
            </c:numRef>
          </c:xVal>
          <c:yVal>
            <c:numRef>
              <c:f>Abaco!$K$43:$K$51</c:f>
              <c:numCache>
                <c:formatCode>General" m/s"</c:formatCode>
                <c:ptCount val="9"/>
                <c:pt idx="0">
                  <c:v>793.5341125462329</c:v>
                </c:pt>
                <c:pt idx="1">
                  <c:v>640.01586537867388</c:v>
                </c:pt>
                <c:pt idx="2">
                  <c:v>491.88274269116357</c:v>
                </c:pt>
                <c:pt idx="3">
                  <c:v>387.00552417947853</c:v>
                </c:pt>
                <c:pt idx="4">
                  <c:v>313.83862212879154</c:v>
                </c:pt>
                <c:pt idx="5">
                  <c:v>261.10367176403747</c:v>
                </c:pt>
                <c:pt idx="6">
                  <c:v>221.68823234441047</c:v>
                </c:pt>
                <c:pt idx="7">
                  <c:v>191.26826372305382</c:v>
                </c:pt>
                <c:pt idx="8">
                  <c:v>167.14976173001207</c:v>
                </c:pt>
              </c:numCache>
            </c:numRef>
          </c:yVal>
          <c:smooth val="0"/>
          <c:extLst>
            <c:ext xmlns:c16="http://schemas.microsoft.com/office/drawing/2014/chart" uri="{C3380CC4-5D6E-409C-BE32-E72D297353CC}">
              <c16:uniqueId val="{00000000-8857-4FF4-B70E-166DFD57E3E3}"/>
            </c:ext>
          </c:extLst>
        </c:ser>
        <c:ser>
          <c:idx val="1"/>
          <c:order val="1"/>
          <c:tx>
            <c:strRef>
              <c:f>Abaco!$B$52</c:f>
              <c:strCache>
                <c:ptCount val="1"/>
                <c:pt idx="0">
                  <c:v>Ø = 104 mm</c:v>
                </c:pt>
              </c:strCache>
            </c:strRef>
          </c:tx>
          <c:xVal>
            <c:numRef>
              <c:f>Abaco!$D$52:$D$60</c:f>
              <c:numCache>
                <c:formatCode>General\ "kg"</c:formatCode>
                <c:ptCount val="9"/>
                <c:pt idx="0">
                  <c:v>1.6850000000000001</c:v>
                </c:pt>
                <c:pt idx="1">
                  <c:v>2.7927499999999998</c:v>
                </c:pt>
                <c:pt idx="2">
                  <c:v>3.9005000000000001</c:v>
                </c:pt>
                <c:pt idx="3">
                  <c:v>5.0082500000000003</c:v>
                </c:pt>
                <c:pt idx="4">
                  <c:v>6.1159999999999997</c:v>
                </c:pt>
                <c:pt idx="5">
                  <c:v>7.2237500000000008</c:v>
                </c:pt>
                <c:pt idx="6">
                  <c:v>8.3315000000000001</c:v>
                </c:pt>
                <c:pt idx="7">
                  <c:v>9.4392499999999995</c:v>
                </c:pt>
                <c:pt idx="8">
                  <c:v>10.547000000000001</c:v>
                </c:pt>
              </c:numCache>
            </c:numRef>
          </c:xVal>
          <c:yVal>
            <c:numRef>
              <c:f>Abaco!$K$52:$K$60</c:f>
              <c:numCache>
                <c:formatCode>General" m/s"</c:formatCode>
                <c:ptCount val="9"/>
                <c:pt idx="0">
                  <c:v>424.00255764491766</c:v>
                </c:pt>
                <c:pt idx="1">
                  <c:v>406.92113985336647</c:v>
                </c:pt>
                <c:pt idx="2">
                  <c:v>366.22377191207079</c:v>
                </c:pt>
                <c:pt idx="3">
                  <c:v>318.23214973278778</c:v>
                </c:pt>
                <c:pt idx="4">
                  <c:v>274.12763205937313</c:v>
                </c:pt>
                <c:pt idx="5">
                  <c:v>236.86752303205211</c:v>
                </c:pt>
                <c:pt idx="6">
                  <c:v>206.15866748987341</c:v>
                </c:pt>
                <c:pt idx="7">
                  <c:v>180.90166312340986</c:v>
                </c:pt>
                <c:pt idx="8">
                  <c:v>159.98969400982759</c:v>
                </c:pt>
              </c:numCache>
            </c:numRef>
          </c:yVal>
          <c:smooth val="0"/>
          <c:extLst>
            <c:ext xmlns:c16="http://schemas.microsoft.com/office/drawing/2014/chart" uri="{C3380CC4-5D6E-409C-BE32-E72D297353CC}">
              <c16:uniqueId val="{00000001-8857-4FF4-B70E-166DFD57E3E3}"/>
            </c:ext>
          </c:extLst>
        </c:ser>
        <c:ser>
          <c:idx val="2"/>
          <c:order val="2"/>
          <c:tx>
            <c:strRef>
              <c:f>Abaco!$B$61</c:f>
              <c:strCache>
                <c:ptCount val="1"/>
                <c:pt idx="0">
                  <c:v>Ø = 156 mm</c:v>
                </c:pt>
              </c:strCache>
            </c:strRef>
          </c:tx>
          <c:xVal>
            <c:numRef>
              <c:f>Abaco!$D$61:$D$69</c:f>
              <c:numCache>
                <c:formatCode>General\ "kg"</c:formatCode>
                <c:ptCount val="9"/>
                <c:pt idx="0">
                  <c:v>1.6850000000000001</c:v>
                </c:pt>
                <c:pt idx="1">
                  <c:v>2.7927499999999998</c:v>
                </c:pt>
                <c:pt idx="2">
                  <c:v>3.9005000000000001</c:v>
                </c:pt>
                <c:pt idx="3">
                  <c:v>5.0082500000000003</c:v>
                </c:pt>
                <c:pt idx="4">
                  <c:v>6.1159999999999997</c:v>
                </c:pt>
                <c:pt idx="5">
                  <c:v>7.2237500000000008</c:v>
                </c:pt>
                <c:pt idx="6">
                  <c:v>8.3315000000000001</c:v>
                </c:pt>
                <c:pt idx="7">
                  <c:v>9.4392499999999995</c:v>
                </c:pt>
                <c:pt idx="8">
                  <c:v>10.547000000000001</c:v>
                </c:pt>
              </c:numCache>
            </c:numRef>
          </c:xVal>
          <c:yVal>
            <c:numRef>
              <c:f>Abaco!$K$61:$K$69</c:f>
              <c:numCache>
                <c:formatCode>General" m/s"</c:formatCode>
                <c:ptCount val="9"/>
                <c:pt idx="0">
                  <c:v>282.83075487995666</c:v>
                </c:pt>
                <c:pt idx="1">
                  <c:v>278.95716805462189</c:v>
                </c:pt>
                <c:pt idx="2">
                  <c:v>268.55607111163459</c:v>
                </c:pt>
                <c:pt idx="3">
                  <c:v>250.43267086621776</c:v>
                </c:pt>
                <c:pt idx="4">
                  <c:v>228.38806833155272</c:v>
                </c:pt>
                <c:pt idx="5">
                  <c:v>205.91569645672874</c:v>
                </c:pt>
                <c:pt idx="6">
                  <c:v>184.87897906609155</c:v>
                </c:pt>
                <c:pt idx="7">
                  <c:v>165.97633607021055</c:v>
                </c:pt>
                <c:pt idx="8">
                  <c:v>149.30609677609067</c:v>
                </c:pt>
              </c:numCache>
            </c:numRef>
          </c:yVal>
          <c:smooth val="0"/>
          <c:extLst>
            <c:ext xmlns:c16="http://schemas.microsoft.com/office/drawing/2014/chart" uri="{C3380CC4-5D6E-409C-BE32-E72D297353CC}">
              <c16:uniqueId val="{00000002-8857-4FF4-B70E-166DFD57E3E3}"/>
            </c:ext>
          </c:extLst>
        </c:ser>
        <c:dLbls>
          <c:showLegendKey val="0"/>
          <c:showVal val="0"/>
          <c:showCatName val="0"/>
          <c:showSerName val="0"/>
          <c:showPercent val="0"/>
          <c:showBubbleSize val="0"/>
        </c:dLbls>
        <c:axId val="193467904"/>
        <c:axId val="193469824"/>
      </c:scatterChart>
      <c:valAx>
        <c:axId val="193467904"/>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605680929611"/>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9824"/>
        <c:crosses val="autoZero"/>
        <c:crossBetween val="midCat"/>
      </c:valAx>
      <c:valAx>
        <c:axId val="193469824"/>
        <c:scaling>
          <c:orientation val="minMax"/>
        </c:scaling>
        <c:delete val="0"/>
        <c:axPos val="l"/>
        <c:majorGridlines/>
        <c:title>
          <c:tx>
            <c:strRef>
              <c:f>Abaco!$B$76</c:f>
              <c:strCache>
                <c:ptCount val="1"/>
                <c:pt idx="0">
                  <c:v>Vitesse max</c:v>
                </c:pt>
              </c:strCache>
            </c:strRef>
          </c:tx>
          <c:layout>
            <c:manualLayout>
              <c:xMode val="edge"/>
              <c:yMode val="edge"/>
              <c:x val="0.14166666666666666"/>
              <c:y val="5.803422378207343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7904"/>
        <c:crosses val="autoZero"/>
        <c:crossBetween val="midCat"/>
      </c:valAx>
    </c:plotArea>
    <c:legend>
      <c:legendPos val="r"/>
      <c:layout>
        <c:manualLayout>
          <c:xMode val="edge"/>
          <c:yMode val="edge"/>
          <c:x val="0.71944466316710431"/>
          <c:y val="0.18706733829172051"/>
          <c:w val="0.20833333333333343"/>
          <c:h val="0.24711352766816386"/>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Abaco!$B$79</c:f>
          <c:strCache>
            <c:ptCount val="1"/>
            <c:pt idx="0">
              <c:v>Altitude max / Masse totale</c:v>
            </c:pt>
          </c:strCache>
        </c:strRef>
      </c:tx>
      <c:layout>
        <c:manualLayout>
          <c:xMode val="edge"/>
          <c:yMode val="edge"/>
          <c:x val="0.32580555555555563"/>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54 mm</c:v>
                </c:pt>
              </c:strCache>
            </c:strRef>
          </c:tx>
          <c:xVal>
            <c:numRef>
              <c:f>Abaco!$D$43:$D$51</c:f>
              <c:numCache>
                <c:formatCode>General\ "kg"</c:formatCode>
                <c:ptCount val="9"/>
                <c:pt idx="0">
                  <c:v>1.6850000000000001</c:v>
                </c:pt>
                <c:pt idx="1">
                  <c:v>2.7927499999999998</c:v>
                </c:pt>
                <c:pt idx="2">
                  <c:v>3.9005000000000001</c:v>
                </c:pt>
                <c:pt idx="3">
                  <c:v>5.0082500000000003</c:v>
                </c:pt>
                <c:pt idx="4">
                  <c:v>6.1159999999999997</c:v>
                </c:pt>
                <c:pt idx="5">
                  <c:v>7.2237500000000008</c:v>
                </c:pt>
                <c:pt idx="6">
                  <c:v>8.3315000000000001</c:v>
                </c:pt>
                <c:pt idx="7">
                  <c:v>9.4392499999999995</c:v>
                </c:pt>
                <c:pt idx="8">
                  <c:v>10.547000000000001</c:v>
                </c:pt>
              </c:numCache>
            </c:numRef>
          </c:xVal>
          <c:yVal>
            <c:numRef>
              <c:f>Abaco!$L$43:$L$51</c:f>
              <c:numCache>
                <c:formatCode>General" m"</c:formatCode>
                <c:ptCount val="9"/>
                <c:pt idx="0">
                  <c:v>3706.6765556662222</c:v>
                </c:pt>
                <c:pt idx="1">
                  <c:v>4510.0261525130873</c:v>
                </c:pt>
                <c:pt idx="2">
                  <c:v>4543.7447116111744</c:v>
                </c:pt>
                <c:pt idx="3">
                  <c:v>4133.0899183244219</c:v>
                </c:pt>
                <c:pt idx="4">
                  <c:v>3536.6149199804549</c:v>
                </c:pt>
                <c:pt idx="5">
                  <c:v>2924.31640002718</c:v>
                </c:pt>
                <c:pt idx="6">
                  <c:v>2380.7195720967452</c:v>
                </c:pt>
                <c:pt idx="7">
                  <c:v>1931.4897111486348</c:v>
                </c:pt>
                <c:pt idx="8">
                  <c:v>1572.5745664543954</c:v>
                </c:pt>
              </c:numCache>
            </c:numRef>
          </c:yVal>
          <c:smooth val="0"/>
          <c:extLst>
            <c:ext xmlns:c16="http://schemas.microsoft.com/office/drawing/2014/chart" uri="{C3380CC4-5D6E-409C-BE32-E72D297353CC}">
              <c16:uniqueId val="{00000000-7047-4687-B7C4-0BB054548F22}"/>
            </c:ext>
          </c:extLst>
        </c:ser>
        <c:ser>
          <c:idx val="1"/>
          <c:order val="1"/>
          <c:tx>
            <c:strRef>
              <c:f>Abaco!$B$52</c:f>
              <c:strCache>
                <c:ptCount val="1"/>
                <c:pt idx="0">
                  <c:v>Ø = 104 mm</c:v>
                </c:pt>
              </c:strCache>
            </c:strRef>
          </c:tx>
          <c:xVal>
            <c:numRef>
              <c:f>Abaco!$D$52:$D$60</c:f>
              <c:numCache>
                <c:formatCode>General\ "kg"</c:formatCode>
                <c:ptCount val="9"/>
                <c:pt idx="0">
                  <c:v>1.6850000000000001</c:v>
                </c:pt>
                <c:pt idx="1">
                  <c:v>2.7927499999999998</c:v>
                </c:pt>
                <c:pt idx="2">
                  <c:v>3.9005000000000001</c:v>
                </c:pt>
                <c:pt idx="3">
                  <c:v>5.0082500000000003</c:v>
                </c:pt>
                <c:pt idx="4">
                  <c:v>6.1159999999999997</c:v>
                </c:pt>
                <c:pt idx="5">
                  <c:v>7.2237500000000008</c:v>
                </c:pt>
                <c:pt idx="6">
                  <c:v>8.3315000000000001</c:v>
                </c:pt>
                <c:pt idx="7">
                  <c:v>9.4392499999999995</c:v>
                </c:pt>
                <c:pt idx="8">
                  <c:v>10.547000000000001</c:v>
                </c:pt>
              </c:numCache>
            </c:numRef>
          </c:xVal>
          <c:yVal>
            <c:numRef>
              <c:f>Abaco!$L$52:$L$60</c:f>
              <c:numCache>
                <c:formatCode>General" m"</c:formatCode>
                <c:ptCount val="9"/>
                <c:pt idx="0">
                  <c:v>1732.1543650816982</c:v>
                </c:pt>
                <c:pt idx="1">
                  <c:v>1981.752730990152</c:v>
                </c:pt>
                <c:pt idx="2">
                  <c:v>2078.8064692576249</c:v>
                </c:pt>
                <c:pt idx="3">
                  <c:v>2060.8269164606763</c:v>
                </c:pt>
                <c:pt idx="4">
                  <c:v>1957.8321421176474</c:v>
                </c:pt>
                <c:pt idx="5">
                  <c:v>1800.0639307962006</c:v>
                </c:pt>
                <c:pt idx="6">
                  <c:v>1614.5456034142069</c:v>
                </c:pt>
                <c:pt idx="7">
                  <c:v>1422.5099270984811</c:v>
                </c:pt>
                <c:pt idx="8">
                  <c:v>1238.4247224180292</c:v>
                </c:pt>
              </c:numCache>
            </c:numRef>
          </c:yVal>
          <c:smooth val="0"/>
          <c:extLst>
            <c:ext xmlns:c16="http://schemas.microsoft.com/office/drawing/2014/chart" uri="{C3380CC4-5D6E-409C-BE32-E72D297353CC}">
              <c16:uniqueId val="{00000001-7047-4687-B7C4-0BB054548F22}"/>
            </c:ext>
          </c:extLst>
        </c:ser>
        <c:ser>
          <c:idx val="2"/>
          <c:order val="2"/>
          <c:tx>
            <c:strRef>
              <c:f>Abaco!$B$61</c:f>
              <c:strCache>
                <c:ptCount val="1"/>
                <c:pt idx="0">
                  <c:v>Ø = 156 mm</c:v>
                </c:pt>
              </c:strCache>
            </c:strRef>
          </c:tx>
          <c:xVal>
            <c:numRef>
              <c:f>Abaco!$D$61:$D$69</c:f>
              <c:numCache>
                <c:formatCode>General\ "kg"</c:formatCode>
                <c:ptCount val="9"/>
                <c:pt idx="0">
                  <c:v>1.6850000000000001</c:v>
                </c:pt>
                <c:pt idx="1">
                  <c:v>2.7927499999999998</c:v>
                </c:pt>
                <c:pt idx="2">
                  <c:v>3.9005000000000001</c:v>
                </c:pt>
                <c:pt idx="3">
                  <c:v>5.0082500000000003</c:v>
                </c:pt>
                <c:pt idx="4">
                  <c:v>6.1159999999999997</c:v>
                </c:pt>
                <c:pt idx="5">
                  <c:v>7.2237500000000008</c:v>
                </c:pt>
                <c:pt idx="6">
                  <c:v>8.3315000000000001</c:v>
                </c:pt>
                <c:pt idx="7">
                  <c:v>9.4392499999999995</c:v>
                </c:pt>
                <c:pt idx="8">
                  <c:v>10.547000000000001</c:v>
                </c:pt>
              </c:numCache>
            </c:numRef>
          </c:xVal>
          <c:yVal>
            <c:numRef>
              <c:f>Abaco!$L$61:$L$69</c:f>
              <c:numCache>
                <c:formatCode>General" m"</c:formatCode>
                <c:ptCount val="9"/>
                <c:pt idx="0">
                  <c:v>1108.3088472586128</c:v>
                </c:pt>
                <c:pt idx="1">
                  <c:v>1218.2378567692895</c:v>
                </c:pt>
                <c:pt idx="2">
                  <c:v>1270.3787501304641</c:v>
                </c:pt>
                <c:pt idx="3">
                  <c:v>1280.9615950512371</c:v>
                </c:pt>
                <c:pt idx="4">
                  <c:v>1256.7092000685959</c:v>
                </c:pt>
                <c:pt idx="5">
                  <c:v>1204.4468741183227</c:v>
                </c:pt>
                <c:pt idx="6">
                  <c:v>1131.5762587256754</c:v>
                </c:pt>
                <c:pt idx="7">
                  <c:v>1045.4324778287923</c:v>
                </c:pt>
                <c:pt idx="8">
                  <c:v>952.64707680815536</c:v>
                </c:pt>
              </c:numCache>
            </c:numRef>
          </c:yVal>
          <c:smooth val="0"/>
          <c:extLst>
            <c:ext xmlns:c16="http://schemas.microsoft.com/office/drawing/2014/chart" uri="{C3380CC4-5D6E-409C-BE32-E72D297353CC}">
              <c16:uniqueId val="{00000002-7047-4687-B7C4-0BB054548F22}"/>
            </c:ext>
          </c:extLst>
        </c:ser>
        <c:dLbls>
          <c:showLegendKey val="0"/>
          <c:showVal val="0"/>
          <c:showCatName val="0"/>
          <c:showSerName val="0"/>
          <c:showPercent val="0"/>
          <c:showBubbleSize val="0"/>
        </c:dLbls>
        <c:axId val="193512576"/>
        <c:axId val="193514496"/>
      </c:scatterChart>
      <c:valAx>
        <c:axId val="193512576"/>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4496"/>
        <c:crosses val="autoZero"/>
        <c:crossBetween val="midCat"/>
      </c:valAx>
      <c:valAx>
        <c:axId val="193514496"/>
        <c:scaling>
          <c:orientation val="minMax"/>
        </c:scaling>
        <c:delete val="0"/>
        <c:axPos val="l"/>
        <c:majorGridlines/>
        <c:title>
          <c:tx>
            <c:strRef>
              <c:f>Abaco!$B$78</c:f>
              <c:strCache>
                <c:ptCount val="1"/>
                <c:pt idx="0">
                  <c:v>Altitude max</c:v>
                </c:pt>
              </c:strCache>
            </c:strRef>
          </c:tx>
          <c:layout>
            <c:manualLayout>
              <c:xMode val="edge"/>
              <c:yMode val="edge"/>
              <c:x val="0.14166666666666666"/>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2576"/>
        <c:crosses val="autoZero"/>
        <c:crossBetween val="midCat"/>
      </c:valAx>
    </c:plotArea>
    <c:legend>
      <c:legendPos val="r"/>
      <c:layout>
        <c:manualLayout>
          <c:xMode val="edge"/>
          <c:yMode val="edge"/>
          <c:x val="0.71944466316710431"/>
          <c:y val="0.18396263556678061"/>
          <c:w val="0.20833333333333343"/>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Abaco!$B$81</c:f>
          <c:strCache>
            <c:ptCount val="1"/>
            <c:pt idx="0">
              <c:v>Temps de culmination / Masse totale</c:v>
            </c:pt>
          </c:strCache>
        </c:strRef>
      </c:tx>
      <c:layout>
        <c:manualLayout>
          <c:xMode val="edge"/>
          <c:yMode val="edge"/>
          <c:x val="0.18369438576275529"/>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54 mm</c:v>
                </c:pt>
              </c:strCache>
            </c:strRef>
          </c:tx>
          <c:xVal>
            <c:numRef>
              <c:f>Abaco!$D$43:$D$51</c:f>
              <c:numCache>
                <c:formatCode>General\ "kg"</c:formatCode>
                <c:ptCount val="9"/>
                <c:pt idx="0">
                  <c:v>1.6850000000000001</c:v>
                </c:pt>
                <c:pt idx="1">
                  <c:v>2.7927499999999998</c:v>
                </c:pt>
                <c:pt idx="2">
                  <c:v>3.9005000000000001</c:v>
                </c:pt>
                <c:pt idx="3">
                  <c:v>5.0082500000000003</c:v>
                </c:pt>
                <c:pt idx="4">
                  <c:v>6.1159999999999997</c:v>
                </c:pt>
                <c:pt idx="5">
                  <c:v>7.2237500000000008</c:v>
                </c:pt>
                <c:pt idx="6">
                  <c:v>8.3315000000000001</c:v>
                </c:pt>
                <c:pt idx="7">
                  <c:v>9.4392499999999995</c:v>
                </c:pt>
                <c:pt idx="8">
                  <c:v>10.547000000000001</c:v>
                </c:pt>
              </c:numCache>
            </c:numRef>
          </c:xVal>
          <c:yVal>
            <c:numRef>
              <c:f>Abaco!$M$43:$M$51</c:f>
              <c:numCache>
                <c:formatCode>General" s"</c:formatCode>
                <c:ptCount val="9"/>
                <c:pt idx="0">
                  <c:v>16.576277929342474</c:v>
                </c:pt>
                <c:pt idx="1">
                  <c:v>23.308204732528374</c:v>
                </c:pt>
                <c:pt idx="2">
                  <c:v>26.231630671632672</c:v>
                </c:pt>
                <c:pt idx="3">
                  <c:v>26.919051496198122</c:v>
                </c:pt>
                <c:pt idx="4">
                  <c:v>26.196782238058812</c:v>
                </c:pt>
                <c:pt idx="5">
                  <c:v>24.707481307640631</c:v>
                </c:pt>
                <c:pt idx="6">
                  <c:v>22.913026923448779</c:v>
                </c:pt>
                <c:pt idx="7">
                  <c:v>21.091612992500416</c:v>
                </c:pt>
                <c:pt idx="8">
                  <c:v>19.381465620077478</c:v>
                </c:pt>
              </c:numCache>
            </c:numRef>
          </c:yVal>
          <c:smooth val="0"/>
          <c:extLst>
            <c:ext xmlns:c16="http://schemas.microsoft.com/office/drawing/2014/chart" uri="{C3380CC4-5D6E-409C-BE32-E72D297353CC}">
              <c16:uniqueId val="{00000000-DDCF-44BB-899F-3EC11CCF873C}"/>
            </c:ext>
          </c:extLst>
        </c:ser>
        <c:ser>
          <c:idx val="1"/>
          <c:order val="1"/>
          <c:tx>
            <c:strRef>
              <c:f>Abaco!$B$52</c:f>
              <c:strCache>
                <c:ptCount val="1"/>
                <c:pt idx="0">
                  <c:v>Ø = 104 mm</c:v>
                </c:pt>
              </c:strCache>
            </c:strRef>
          </c:tx>
          <c:xVal>
            <c:numRef>
              <c:f>Abaco!$D$52:$D$60</c:f>
              <c:numCache>
                <c:formatCode>General\ "kg"</c:formatCode>
                <c:ptCount val="9"/>
                <c:pt idx="0">
                  <c:v>1.6850000000000001</c:v>
                </c:pt>
                <c:pt idx="1">
                  <c:v>2.7927499999999998</c:v>
                </c:pt>
                <c:pt idx="2">
                  <c:v>3.9005000000000001</c:v>
                </c:pt>
                <c:pt idx="3">
                  <c:v>5.0082500000000003</c:v>
                </c:pt>
                <c:pt idx="4">
                  <c:v>6.1159999999999997</c:v>
                </c:pt>
                <c:pt idx="5">
                  <c:v>7.2237500000000008</c:v>
                </c:pt>
                <c:pt idx="6">
                  <c:v>8.3315000000000001</c:v>
                </c:pt>
                <c:pt idx="7">
                  <c:v>9.4392499999999995</c:v>
                </c:pt>
                <c:pt idx="8">
                  <c:v>10.547000000000001</c:v>
                </c:pt>
              </c:numCache>
            </c:numRef>
          </c:xVal>
          <c:yVal>
            <c:numRef>
              <c:f>Abaco!$M$52:$M$60</c:f>
              <c:numCache>
                <c:formatCode>General" s"</c:formatCode>
                <c:ptCount val="9"/>
                <c:pt idx="0">
                  <c:v>10.347025133070924</c:v>
                </c:pt>
                <c:pt idx="1">
                  <c:v>14.126915354355102</c:v>
                </c:pt>
                <c:pt idx="2">
                  <c:v>16.335446782177762</c:v>
                </c:pt>
                <c:pt idx="3">
                  <c:v>17.638165689172183</c:v>
                </c:pt>
                <c:pt idx="4">
                  <c:v>18.261251504810097</c:v>
                </c:pt>
                <c:pt idx="5">
                  <c:v>18.356912329198764</c:v>
                </c:pt>
                <c:pt idx="6">
                  <c:v>18.058484476278505</c:v>
                </c:pt>
                <c:pt idx="7">
                  <c:v>17.487686797560126</c:v>
                </c:pt>
                <c:pt idx="8">
                  <c:v>16.749490029101892</c:v>
                </c:pt>
              </c:numCache>
            </c:numRef>
          </c:yVal>
          <c:smooth val="0"/>
          <c:extLst>
            <c:ext xmlns:c16="http://schemas.microsoft.com/office/drawing/2014/chart" uri="{C3380CC4-5D6E-409C-BE32-E72D297353CC}">
              <c16:uniqueId val="{00000001-DDCF-44BB-899F-3EC11CCF873C}"/>
            </c:ext>
          </c:extLst>
        </c:ser>
        <c:ser>
          <c:idx val="2"/>
          <c:order val="2"/>
          <c:tx>
            <c:strRef>
              <c:f>Abaco!$B$61</c:f>
              <c:strCache>
                <c:ptCount val="1"/>
                <c:pt idx="0">
                  <c:v>Ø = 156 mm</c:v>
                </c:pt>
              </c:strCache>
            </c:strRef>
          </c:tx>
          <c:xVal>
            <c:numRef>
              <c:f>Abaco!$D$61:$D$69</c:f>
              <c:numCache>
                <c:formatCode>General\ "kg"</c:formatCode>
                <c:ptCount val="9"/>
                <c:pt idx="0">
                  <c:v>1.6850000000000001</c:v>
                </c:pt>
                <c:pt idx="1">
                  <c:v>2.7927499999999998</c:v>
                </c:pt>
                <c:pt idx="2">
                  <c:v>3.9005000000000001</c:v>
                </c:pt>
                <c:pt idx="3">
                  <c:v>5.0082500000000003</c:v>
                </c:pt>
                <c:pt idx="4">
                  <c:v>6.1159999999999997</c:v>
                </c:pt>
                <c:pt idx="5">
                  <c:v>7.2237500000000008</c:v>
                </c:pt>
                <c:pt idx="6">
                  <c:v>8.3315000000000001</c:v>
                </c:pt>
                <c:pt idx="7">
                  <c:v>9.4392499999999995</c:v>
                </c:pt>
                <c:pt idx="8">
                  <c:v>10.547000000000001</c:v>
                </c:pt>
              </c:numCache>
            </c:numRef>
          </c:xVal>
          <c:yVal>
            <c:numRef>
              <c:f>Abaco!$M$61:$M$69</c:f>
              <c:numCache>
                <c:formatCode>General" s"</c:formatCode>
                <c:ptCount val="9"/>
                <c:pt idx="0">
                  <c:v>8.0948698322266992</c:v>
                </c:pt>
                <c:pt idx="1">
                  <c:v>10.639223689553251</c:v>
                </c:pt>
                <c:pt idx="2">
                  <c:v>12.230153799652008</c:v>
                </c:pt>
                <c:pt idx="3">
                  <c:v>13.324308617888907</c:v>
                </c:pt>
                <c:pt idx="4">
                  <c:v>14.045654568975372</c:v>
                </c:pt>
                <c:pt idx="5">
                  <c:v>14.458440754169525</c:v>
                </c:pt>
                <c:pt idx="6">
                  <c:v>14.611908760610573</c:v>
                </c:pt>
                <c:pt idx="7">
                  <c:v>14.551607379580817</c:v>
                </c:pt>
                <c:pt idx="8">
                  <c:v>14.321988510468342</c:v>
                </c:pt>
              </c:numCache>
            </c:numRef>
          </c:yVal>
          <c:smooth val="0"/>
          <c:extLst>
            <c:ext xmlns:c16="http://schemas.microsoft.com/office/drawing/2014/chart" uri="{C3380CC4-5D6E-409C-BE32-E72D297353CC}">
              <c16:uniqueId val="{00000002-DDCF-44BB-899F-3EC11CCF873C}"/>
            </c:ext>
          </c:extLst>
        </c:ser>
        <c:dLbls>
          <c:showLegendKey val="0"/>
          <c:showVal val="0"/>
          <c:showCatName val="0"/>
          <c:showSerName val="0"/>
          <c:showPercent val="0"/>
          <c:showBubbleSize val="0"/>
        </c:dLbls>
        <c:axId val="195678976"/>
        <c:axId val="195680896"/>
      </c:scatterChart>
      <c:valAx>
        <c:axId val="195678976"/>
        <c:scaling>
          <c:orientation val="minMax"/>
        </c:scaling>
        <c:delete val="0"/>
        <c:axPos val="b"/>
        <c:majorGridlines/>
        <c:title>
          <c:tx>
            <c:strRef>
              <c:f>Abaco!$B$75</c:f>
              <c:strCache>
                <c:ptCount val="1"/>
                <c:pt idx="0">
                  <c:v>Masse totale</c:v>
                </c:pt>
              </c:strCache>
            </c:strRef>
          </c:tx>
          <c:layout>
            <c:manualLayout>
              <c:xMode val="edge"/>
              <c:yMode val="edge"/>
              <c:x val="0.25133794251328334"/>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80896"/>
        <c:crosses val="autoZero"/>
        <c:crossBetween val="midCat"/>
      </c:valAx>
      <c:valAx>
        <c:axId val="195680896"/>
        <c:scaling>
          <c:orientation val="minMax"/>
        </c:scaling>
        <c:delete val="0"/>
        <c:axPos val="l"/>
        <c:majorGridlines/>
        <c:title>
          <c:tx>
            <c:strRef>
              <c:f>Abaco!$B$80</c:f>
              <c:strCache>
                <c:ptCount val="1"/>
                <c:pt idx="0">
                  <c:v>Temps de culmination</c:v>
                </c:pt>
              </c:strCache>
            </c:strRef>
          </c:tx>
          <c:layout>
            <c:manualLayout>
              <c:xMode val="edge"/>
              <c:yMode val="edge"/>
              <c:x val="0.14166677336064695"/>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78976"/>
        <c:crosses val="autoZero"/>
        <c:crossBetween val="midCat"/>
      </c:valAx>
    </c:plotArea>
    <c:legend>
      <c:legendPos val="r"/>
      <c:layout>
        <c:manualLayout>
          <c:xMode val="edge"/>
          <c:yMode val="edge"/>
          <c:x val="0.72357744916031841"/>
          <c:y val="0.18396263556678061"/>
          <c:w val="0.20325203252032525"/>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trlProps/ctrlProp1.xml><?xml version="1.0" encoding="utf-8"?>
<formControlPr xmlns="http://schemas.microsoft.com/office/spreadsheetml/2009/9/main" objectType="Spin" dx="15" fmlaLink="$C$23" inc="25" max="30000" noThreeD="1" page="10"/>
</file>

<file path=xl/ctrlProps/ctrlProp2.xml><?xml version="1.0" encoding="utf-8"?>
<formControlPr xmlns="http://schemas.microsoft.com/office/spreadsheetml/2009/9/main" objectType="Spin" dx="15" fmlaLink="$C$12" inc="100" max="30000" noThreeD="1" page="10" val="4431"/>
</file>

<file path=xl/ctrlProps/ctrlProp3.xml><?xml version="1.0" encoding="utf-8"?>
<formControlPr xmlns="http://schemas.microsoft.com/office/spreadsheetml/2009/9/main" objectType="Spin" dx="15" fmlaLink="$C$13" inc="50" max="30000" noThreeD="1" page="10" val="440"/>
</file>

<file path=xl/ctrlProps/ctrlProp4.xml><?xml version="1.0" encoding="utf-8"?>
<formControlPr xmlns="http://schemas.microsoft.com/office/spreadsheetml/2009/9/main" objectType="Spin" dx="15" fmlaLink="$C$24" inc="20" max="30000" noThreeD="1" page="10" val="84"/>
</file>

<file path=xl/ctrlProps/ctrlProp5.xml><?xml version="1.0" encoding="utf-8"?>
<formControlPr xmlns="http://schemas.microsoft.com/office/spreadsheetml/2009/9/main" objectType="Spin" dx="15" fmlaLink="$C$28" inc="10" max="30000" noThreeD="1" page="10" val="190"/>
</file>

<file path=xl/ctrlProps/ctrlProp6.xml><?xml version="1.0" encoding="utf-8"?>
<formControlPr xmlns="http://schemas.microsoft.com/office/spreadsheetml/2009/9/main" objectType="Spin" dx="15" fmlaLink="$C$29" inc="10" max="30000" noThreeD="1" page="10" val="80"/>
</file>

<file path=xl/ctrlProps/ctrlProp7.xml><?xml version="1.0" encoding="utf-8"?>
<formControlPr xmlns="http://schemas.microsoft.com/office/spreadsheetml/2009/9/main" objectType="Spin" dx="15" fmlaLink="$C$30" inc="10" max="30000" noThreeD="1" page="10" val="180"/>
</file>

<file path=xl/ctrlProps/ctrlProp8.xml><?xml version="1.0" encoding="utf-8"?>
<formControlPr xmlns="http://schemas.microsoft.com/office/spreadsheetml/2009/9/main" objectType="Spin" dx="15" fmlaLink="$C$31" inc="10" max="30000" noThreeD="1" page="10" val="145"/>
</file>

<file path=xl/ctrlProps/ctrlProp9.xml><?xml version="1.0" encoding="utf-8"?>
<formControlPr xmlns="http://schemas.microsoft.com/office/spreadsheetml/2009/9/main" objectType="Spin" dx="15" fmlaLink="$C$32" max="30000" noThreeD="1" page="10" val="3"/>
</file>

<file path=xl/ctrlProps/ctrlProp10.xml><?xml version="1.0" encoding="utf-8"?>
<formControlPr xmlns="http://schemas.microsoft.com/office/spreadsheetml/2009/9/main" objectType="Spin" dx="15" fmlaLink="$C$33" max="6" min="3" noThreeD="1" page="10" val="4"/>
</file>

<file path=xl/ctrlProps/ctrlProp11.xml><?xml version="1.0" encoding="utf-8"?>
<formControlPr xmlns="http://schemas.microsoft.com/office/spreadsheetml/2009/9/main" objectType="Spin" dx="15" fmlaLink="$C$14" inc="50" max="30000" noThreeD="1" page="10" val="1120"/>
</file>

<file path=xl/ctrlProps/ctrlProp12.xml><?xml version="1.0" encoding="utf-8"?>
<formControlPr xmlns="http://schemas.microsoft.com/office/spreadsheetml/2009/9/main" objectType="Spin" dx="15" fmlaLink="$C$12" inc="100" max="30000" noThreeD="1" page="10" val="4431"/>
</file>

<file path=xl/ctrlProps/ctrlProp13.xml><?xml version="1.0" encoding="utf-8"?>
<formControlPr xmlns="http://schemas.microsoft.com/office/spreadsheetml/2009/9/main" objectType="Spin" dx="15" fmlaLink="$C$12" inc="100" max="30000" noThreeD="1" page="10" val="4431"/>
</file>

<file path=xl/ctrlProps/ctrlProp14.xml><?xml version="1.0" encoding="utf-8"?>
<formControlPr xmlns="http://schemas.microsoft.com/office/spreadsheetml/2009/9/main" objectType="Spin" dx="15" fmlaLink="Stabilito!C12" inc="100" max="30000" noThreeD="1" page="10" val="4431"/>
</file>

<file path=xl/ctrlProps/ctrlProp15.xml><?xml version="1.0" encoding="utf-8"?>
<formControlPr xmlns="http://schemas.microsoft.com/office/spreadsheetml/2009/9/main" objectType="Spin" dx="15" fmlaLink="$B$44" inc="50" max="30000" noThreeD="1" page="10" val="310"/>
</file>

<file path=xl/ctrlProps/ctrlProp16.xml><?xml version="1.0" encoding="utf-8"?>
<formControlPr xmlns="http://schemas.microsoft.com/office/spreadsheetml/2009/9/main" objectType="Spin" dx="15" fmlaLink="$B$46" inc="50" max="30000" noThreeD="1" page="10" val="310"/>
</file>

<file path=xl/ctrlProps/ctrlProp17.xml><?xml version="1.0" encoding="utf-8"?>
<formControlPr xmlns="http://schemas.microsoft.com/office/spreadsheetml/2009/9/main" objectType="Spin" dx="15" fmlaLink="$B$52" inc="50" max="30000" noThreeD="1" page="10" val="299"/>
</file>

<file path=xl/ctrlProps/ctrlProp18.xml><?xml version="1.0" encoding="utf-8"?>
<formControlPr xmlns="http://schemas.microsoft.com/office/spreadsheetml/2009/9/main" objectType="Spin" dx="15" fmlaLink="$B$54" inc="5" max="30000" noThreeD="1" page="10" val="29"/>
</file>

<file path=xl/ctrlProps/ctrlProp19.xml><?xml version="1.0" encoding="utf-8"?>
<formControlPr xmlns="http://schemas.microsoft.com/office/spreadsheetml/2009/9/main" objectType="Spin" dx="15" fmlaLink="Stabilito!C12" inc="100" max="30000" noThreeD="1" page="10" val="4431"/>
</file>

<file path=xl/ctrlProps/ctrlProp20.xml><?xml version="1.0" encoding="utf-8"?>
<formControlPr xmlns="http://schemas.microsoft.com/office/spreadsheetml/2009/9/main" objectType="Spin" dx="15" fmlaLink="Stabilito!C12" inc="100" max="30000" noThreeD="1" page="10" val="4431"/>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image" Target="../media/image3.png"/><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5.png"/><Relationship Id="rId1" Type="http://schemas.openxmlformats.org/officeDocument/2006/relationships/image" Target="../media/image44.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3.vml.rels><?xml version="1.0" encoding="UTF-8" standalone="yes"?>
<Relationships xmlns="http://schemas.openxmlformats.org/package/2006/relationships"><Relationship Id="rId13" Type="http://schemas.openxmlformats.org/officeDocument/2006/relationships/image" Target="../media/image19.emf"/><Relationship Id="rId18" Type="http://schemas.openxmlformats.org/officeDocument/2006/relationships/image" Target="../media/image24.emf"/><Relationship Id="rId26" Type="http://schemas.openxmlformats.org/officeDocument/2006/relationships/image" Target="../media/image32.emf"/><Relationship Id="rId3" Type="http://schemas.openxmlformats.org/officeDocument/2006/relationships/image" Target="../media/image9.emf"/><Relationship Id="rId21" Type="http://schemas.openxmlformats.org/officeDocument/2006/relationships/image" Target="../media/image27.emf"/><Relationship Id="rId34" Type="http://schemas.openxmlformats.org/officeDocument/2006/relationships/image" Target="../media/image40.emf"/><Relationship Id="rId7" Type="http://schemas.openxmlformats.org/officeDocument/2006/relationships/image" Target="../media/image13.emf"/><Relationship Id="rId12" Type="http://schemas.openxmlformats.org/officeDocument/2006/relationships/image" Target="../media/image18.emf"/><Relationship Id="rId17" Type="http://schemas.openxmlformats.org/officeDocument/2006/relationships/image" Target="../media/image23.emf"/><Relationship Id="rId25" Type="http://schemas.openxmlformats.org/officeDocument/2006/relationships/image" Target="../media/image31.emf"/><Relationship Id="rId33" Type="http://schemas.openxmlformats.org/officeDocument/2006/relationships/image" Target="../media/image39.emf"/><Relationship Id="rId2" Type="http://schemas.openxmlformats.org/officeDocument/2006/relationships/image" Target="../media/image8.emf"/><Relationship Id="rId16" Type="http://schemas.openxmlformats.org/officeDocument/2006/relationships/image" Target="../media/image22.emf"/><Relationship Id="rId20" Type="http://schemas.openxmlformats.org/officeDocument/2006/relationships/image" Target="../media/image26.emf"/><Relationship Id="rId29" Type="http://schemas.openxmlformats.org/officeDocument/2006/relationships/image" Target="../media/image35.emf"/><Relationship Id="rId1" Type="http://schemas.openxmlformats.org/officeDocument/2006/relationships/image" Target="../media/image7.emf"/><Relationship Id="rId6" Type="http://schemas.openxmlformats.org/officeDocument/2006/relationships/image" Target="../media/image12.emf"/><Relationship Id="rId11" Type="http://schemas.openxmlformats.org/officeDocument/2006/relationships/image" Target="../media/image17.emf"/><Relationship Id="rId24" Type="http://schemas.openxmlformats.org/officeDocument/2006/relationships/image" Target="../media/image30.emf"/><Relationship Id="rId32" Type="http://schemas.openxmlformats.org/officeDocument/2006/relationships/image" Target="../media/image38.emf"/><Relationship Id="rId5" Type="http://schemas.openxmlformats.org/officeDocument/2006/relationships/image" Target="../media/image11.emf"/><Relationship Id="rId15" Type="http://schemas.openxmlformats.org/officeDocument/2006/relationships/image" Target="../media/image21.emf"/><Relationship Id="rId23" Type="http://schemas.openxmlformats.org/officeDocument/2006/relationships/image" Target="../media/image29.emf"/><Relationship Id="rId28" Type="http://schemas.openxmlformats.org/officeDocument/2006/relationships/image" Target="../media/image34.emf"/><Relationship Id="rId36" Type="http://schemas.openxmlformats.org/officeDocument/2006/relationships/image" Target="../media/image42.emf"/><Relationship Id="rId10" Type="http://schemas.openxmlformats.org/officeDocument/2006/relationships/image" Target="../media/image16.emf"/><Relationship Id="rId19" Type="http://schemas.openxmlformats.org/officeDocument/2006/relationships/image" Target="../media/image25.emf"/><Relationship Id="rId31" Type="http://schemas.openxmlformats.org/officeDocument/2006/relationships/image" Target="../media/image37.emf"/><Relationship Id="rId4" Type="http://schemas.openxmlformats.org/officeDocument/2006/relationships/image" Target="../media/image10.emf"/><Relationship Id="rId9" Type="http://schemas.openxmlformats.org/officeDocument/2006/relationships/image" Target="../media/image15.emf"/><Relationship Id="rId14" Type="http://schemas.openxmlformats.org/officeDocument/2006/relationships/image" Target="../media/image20.emf"/><Relationship Id="rId22" Type="http://schemas.openxmlformats.org/officeDocument/2006/relationships/image" Target="../media/image28.emf"/><Relationship Id="rId27" Type="http://schemas.openxmlformats.org/officeDocument/2006/relationships/image" Target="../media/image33.emf"/><Relationship Id="rId30" Type="http://schemas.openxmlformats.org/officeDocument/2006/relationships/image" Target="../media/image36.emf"/><Relationship Id="rId35" Type="http://schemas.openxmlformats.org/officeDocument/2006/relationships/image" Target="../media/image41.emf"/><Relationship Id="rId8" Type="http://schemas.openxmlformats.org/officeDocument/2006/relationships/image" Target="../media/image1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3.emf"/></Relationships>
</file>

<file path=xl/drawings/drawing1.xml><?xml version="1.0" encoding="utf-8"?>
<xdr:wsDr xmlns:xdr="http://schemas.openxmlformats.org/drawingml/2006/spreadsheetDrawing" xmlns:a="http://schemas.openxmlformats.org/drawingml/2006/main">
  <xdr:twoCellAnchor>
    <xdr:from>
      <xdr:col>12</xdr:col>
      <xdr:colOff>25400</xdr:colOff>
      <xdr:row>1</xdr:row>
      <xdr:rowOff>25400</xdr:rowOff>
    </xdr:from>
    <xdr:to>
      <xdr:col>12</xdr:col>
      <xdr:colOff>488950</xdr:colOff>
      <xdr:row>1</xdr:row>
      <xdr:rowOff>139700</xdr:rowOff>
    </xdr:to>
    <xdr:grpSp>
      <xdr:nvGrpSpPr>
        <xdr:cNvPr id="5096993" name="Groupe 1">
          <a:extLst>
            <a:ext uri="{FF2B5EF4-FFF2-40B4-BE49-F238E27FC236}">
              <a16:creationId xmlns:a16="http://schemas.microsoft.com/office/drawing/2014/main" id="{00000000-0008-0000-0000-000021C64D00}"/>
            </a:ext>
          </a:extLst>
        </xdr:cNvPr>
        <xdr:cNvGrpSpPr>
          <a:grpSpLocks/>
        </xdr:cNvGrpSpPr>
      </xdr:nvGrpSpPr>
      <xdr:grpSpPr bwMode="auto">
        <a:xfrm>
          <a:off x="7372074" y="191052"/>
          <a:ext cx="463550" cy="114300"/>
          <a:chOff x="7067550" y="190500"/>
          <a:chExt cx="438150" cy="114300"/>
        </a:xfrm>
      </xdr:grpSpPr>
      <xdr:pic>
        <xdr:nvPicPr>
          <xdr:cNvPr id="5096999" name="Image 1">
            <a:extLst>
              <a:ext uri="{FF2B5EF4-FFF2-40B4-BE49-F238E27FC236}">
                <a16:creationId xmlns:a16="http://schemas.microsoft.com/office/drawing/2014/main" id="{00000000-0008-0000-0000-000027C64D00}"/>
              </a:ext>
            </a:extLst>
          </xdr:cNvPr>
          <xdr:cNvPicPr>
            <a:picLocks noChangeAspect="1"/>
          </xdr:cNvPicPr>
        </xdr:nvPicPr>
        <xdr:blipFill>
          <a:blip xmlns:r="http://schemas.openxmlformats.org/officeDocument/2006/relationships" r:embed="rId1" cstate="print"/>
          <a:srcRect/>
          <a:stretch>
            <a:fillRect/>
          </a:stretch>
        </xdr:blipFill>
        <xdr:spPr bwMode="auto">
          <a:xfrm>
            <a:off x="7067550" y="190500"/>
            <a:ext cx="171450" cy="114300"/>
          </a:xfrm>
          <a:prstGeom prst="rect">
            <a:avLst/>
          </a:prstGeom>
          <a:noFill/>
          <a:ln w="9525">
            <a:noFill/>
            <a:miter lim="800000"/>
            <a:headEnd/>
            <a:tailEnd/>
          </a:ln>
        </xdr:spPr>
      </xdr:pic>
      <xdr:pic>
        <xdr:nvPicPr>
          <xdr:cNvPr id="5097000" name="Image 2">
            <a:extLst>
              <a:ext uri="{FF2B5EF4-FFF2-40B4-BE49-F238E27FC236}">
                <a16:creationId xmlns:a16="http://schemas.microsoft.com/office/drawing/2014/main" id="{00000000-0008-0000-0000-000028C64D00}"/>
              </a:ext>
            </a:extLst>
          </xdr:cNvPr>
          <xdr:cNvPicPr>
            <a:picLocks noChangeAspect="1"/>
          </xdr:cNvPicPr>
        </xdr:nvPicPr>
        <xdr:blipFill>
          <a:blip xmlns:r="http://schemas.openxmlformats.org/officeDocument/2006/relationships" r:embed="rId2" cstate="print"/>
          <a:srcRect/>
          <a:stretch>
            <a:fillRect/>
          </a:stretch>
        </xdr:blipFill>
        <xdr:spPr bwMode="auto">
          <a:xfrm>
            <a:off x="7277100" y="190500"/>
            <a:ext cx="228600" cy="114300"/>
          </a:xfrm>
          <a:prstGeom prst="rect">
            <a:avLst/>
          </a:prstGeom>
          <a:noFill/>
          <a:ln w="9525">
            <a:noFill/>
            <a:miter lim="800000"/>
            <a:headEnd/>
            <a:tailEnd/>
          </a:ln>
        </xdr:spPr>
      </xdr:pic>
    </xdr:grpSp>
    <xdr:clientData/>
  </xdr:twoCellAnchor>
  <xdr:twoCellAnchor>
    <xdr:from>
      <xdr:col>4</xdr:col>
      <xdr:colOff>279400</xdr:colOff>
      <xdr:row>1</xdr:row>
      <xdr:rowOff>0</xdr:rowOff>
    </xdr:from>
    <xdr:to>
      <xdr:col>10</xdr:col>
      <xdr:colOff>0</xdr:colOff>
      <xdr:row>24</xdr:row>
      <xdr:rowOff>0</xdr:rowOff>
    </xdr:to>
    <xdr:graphicFrame macro="">
      <xdr:nvGraphicFramePr>
        <xdr:cNvPr id="5096994" name="Graphique 9">
          <a:extLst>
            <a:ext uri="{FF2B5EF4-FFF2-40B4-BE49-F238E27FC236}">
              <a16:creationId xmlns:a16="http://schemas.microsoft.com/office/drawing/2014/main" id="{00000000-0008-0000-0000-000022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25</xdr:row>
      <xdr:rowOff>0</xdr:rowOff>
    </xdr:from>
    <xdr:to>
      <xdr:col>16</xdr:col>
      <xdr:colOff>0</xdr:colOff>
      <xdr:row>35</xdr:row>
      <xdr:rowOff>0</xdr:rowOff>
    </xdr:to>
    <xdr:graphicFrame macro="">
      <xdr:nvGraphicFramePr>
        <xdr:cNvPr id="5096995" name="Graphique 19">
          <a:extLst>
            <a:ext uri="{FF2B5EF4-FFF2-40B4-BE49-F238E27FC236}">
              <a16:creationId xmlns:a16="http://schemas.microsoft.com/office/drawing/2014/main" id="{00000000-0008-0000-0000-000023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1</xdr:row>
      <xdr:rowOff>0</xdr:rowOff>
    </xdr:from>
    <xdr:to>
      <xdr:col>1</xdr:col>
      <xdr:colOff>981075</xdr:colOff>
      <xdr:row>4</xdr:row>
      <xdr:rowOff>152400</xdr:rowOff>
    </xdr:to>
    <xdr:pic>
      <xdr:nvPicPr>
        <xdr:cNvPr id="5096996" name="Picture 8" descr="logoplasci">
          <a:extLst>
            <a:ext uri="{FF2B5EF4-FFF2-40B4-BE49-F238E27FC236}">
              <a16:creationId xmlns:a16="http://schemas.microsoft.com/office/drawing/2014/main" id="{00000000-0008-0000-0000-000024C64D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twoCellAnchor editAs="oneCell">
    <xdr:from>
      <xdr:col>1</xdr:col>
      <xdr:colOff>0</xdr:colOff>
      <xdr:row>38</xdr:row>
      <xdr:rowOff>0</xdr:rowOff>
    </xdr:from>
    <xdr:to>
      <xdr:col>3</xdr:col>
      <xdr:colOff>1270</xdr:colOff>
      <xdr:row>49</xdr:row>
      <xdr:rowOff>66675</xdr:rowOff>
    </xdr:to>
    <xdr:pic>
      <xdr:nvPicPr>
        <xdr:cNvPr id="5096997" name="Image 1">
          <a:extLst>
            <a:ext uri="{FF2B5EF4-FFF2-40B4-BE49-F238E27FC236}">
              <a16:creationId xmlns:a16="http://schemas.microsoft.com/office/drawing/2014/main" id="{00000000-0008-0000-0000-000025C64D00}"/>
            </a:ext>
          </a:extLst>
        </xdr:cNvPr>
        <xdr:cNvPicPr>
          <a:picLocks noChangeAspect="1"/>
        </xdr:cNvPicPr>
      </xdr:nvPicPr>
      <xdr:blipFill>
        <a:blip xmlns:r="http://schemas.openxmlformats.org/officeDocument/2006/relationships" r:embed="rId6" cstate="print"/>
        <a:srcRect/>
        <a:stretch>
          <a:fillRect/>
        </a:stretch>
      </xdr:blipFill>
      <xdr:spPr bwMode="auto">
        <a:xfrm>
          <a:off x="152400" y="5873750"/>
          <a:ext cx="1987550" cy="1885950"/>
        </a:xfrm>
        <a:prstGeom prst="rect">
          <a:avLst/>
        </a:prstGeom>
        <a:noFill/>
        <a:ln w="9525">
          <a:noFill/>
          <a:miter lim="800000"/>
          <a:headEnd/>
          <a:tailEnd/>
        </a:ln>
      </xdr:spPr>
    </xdr:pic>
    <xdr:clientData/>
  </xdr:twoCellAnchor>
  <xdr:twoCellAnchor editAs="oneCell">
    <xdr:from>
      <xdr:col>18</xdr:col>
      <xdr:colOff>0</xdr:colOff>
      <xdr:row>3</xdr:row>
      <xdr:rowOff>12700</xdr:rowOff>
    </xdr:from>
    <xdr:to>
      <xdr:col>20</xdr:col>
      <xdr:colOff>561975</xdr:colOff>
      <xdr:row>9</xdr:row>
      <xdr:rowOff>20320</xdr:rowOff>
    </xdr:to>
    <xdr:pic>
      <xdr:nvPicPr>
        <xdr:cNvPr id="5096998" name="Image 2">
          <a:extLst>
            <a:ext uri="{FF2B5EF4-FFF2-40B4-BE49-F238E27FC236}">
              <a16:creationId xmlns:a16="http://schemas.microsoft.com/office/drawing/2014/main" id="{00000000-0008-0000-0000-000026C64D00}"/>
            </a:ext>
          </a:extLst>
        </xdr:cNvPr>
        <xdr:cNvPicPr>
          <a:picLocks noChangeAspect="1"/>
        </xdr:cNvPicPr>
      </xdr:nvPicPr>
      <xdr:blipFill>
        <a:blip xmlns:r="http://schemas.openxmlformats.org/officeDocument/2006/relationships" r:embed="rId7" cstate="print"/>
        <a:srcRect/>
        <a:stretch>
          <a:fillRect/>
        </a:stretch>
      </xdr:blipFill>
      <xdr:spPr bwMode="auto">
        <a:xfrm>
          <a:off x="9810750" y="488950"/>
          <a:ext cx="2152650" cy="952500"/>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3</xdr:col>
          <xdr:colOff>752475</xdr:colOff>
          <xdr:row>22</xdr:row>
          <xdr:rowOff>0</xdr:rowOff>
        </xdr:from>
        <xdr:to>
          <xdr:col>3</xdr:col>
          <xdr:colOff>895350</xdr:colOff>
          <xdr:row>23</xdr:row>
          <xdr:rowOff>0</xdr:rowOff>
        </xdr:to>
        <xdr:sp macro="" textlink="">
          <xdr:nvSpPr>
            <xdr:cNvPr id="36775" name="Spinner 935" hidden="1">
              <a:extLst>
                <a:ext uri="{63B3BB69-23CF-44E3-9099-C40C66FF867C}">
                  <a14:compatExt spid="_x0000_s36775"/>
                </a:ext>
                <a:ext uri="{FF2B5EF4-FFF2-40B4-BE49-F238E27FC236}">
                  <a16:creationId xmlns:a16="http://schemas.microsoft.com/office/drawing/2014/main" id="{00000000-0008-0000-0000-0000A7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11</xdr:row>
          <xdr:rowOff>0</xdr:rowOff>
        </xdr:from>
        <xdr:to>
          <xdr:col>2</xdr:col>
          <xdr:colOff>895350</xdr:colOff>
          <xdr:row>12</xdr:row>
          <xdr:rowOff>0</xdr:rowOff>
        </xdr:to>
        <xdr:sp macro="" textlink="">
          <xdr:nvSpPr>
            <xdr:cNvPr id="36781" name="Spinner 941" hidden="1">
              <a:extLst>
                <a:ext uri="{63B3BB69-23CF-44E3-9099-C40C66FF867C}">
                  <a14:compatExt spid="_x0000_s36781"/>
                </a:ext>
                <a:ext uri="{FF2B5EF4-FFF2-40B4-BE49-F238E27FC236}">
                  <a16:creationId xmlns:a16="http://schemas.microsoft.com/office/drawing/2014/main" id="{00000000-0008-0000-0000-0000A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12</xdr:row>
          <xdr:rowOff>0</xdr:rowOff>
        </xdr:from>
        <xdr:to>
          <xdr:col>2</xdr:col>
          <xdr:colOff>895350</xdr:colOff>
          <xdr:row>13</xdr:row>
          <xdr:rowOff>0</xdr:rowOff>
        </xdr:to>
        <xdr:sp macro="" textlink="">
          <xdr:nvSpPr>
            <xdr:cNvPr id="36782" name="Spinner 942" hidden="1">
              <a:extLst>
                <a:ext uri="{63B3BB69-23CF-44E3-9099-C40C66FF867C}">
                  <a14:compatExt spid="_x0000_s36782"/>
                </a:ext>
                <a:ext uri="{FF2B5EF4-FFF2-40B4-BE49-F238E27FC236}">
                  <a16:creationId xmlns:a16="http://schemas.microsoft.com/office/drawing/2014/main" id="{00000000-0008-0000-0000-0000A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22</xdr:row>
          <xdr:rowOff>161925</xdr:rowOff>
        </xdr:from>
        <xdr:to>
          <xdr:col>3</xdr:col>
          <xdr:colOff>895350</xdr:colOff>
          <xdr:row>24</xdr:row>
          <xdr:rowOff>0</xdr:rowOff>
        </xdr:to>
        <xdr:sp macro="" textlink="">
          <xdr:nvSpPr>
            <xdr:cNvPr id="36783" name="Spinner 943" hidden="1">
              <a:extLst>
                <a:ext uri="{63B3BB69-23CF-44E3-9099-C40C66FF867C}">
                  <a14:compatExt spid="_x0000_s36783"/>
                </a:ext>
                <a:ext uri="{FF2B5EF4-FFF2-40B4-BE49-F238E27FC236}">
                  <a16:creationId xmlns:a16="http://schemas.microsoft.com/office/drawing/2014/main" id="{00000000-0008-0000-0000-0000A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27</xdr:row>
          <xdr:rowOff>0</xdr:rowOff>
        </xdr:from>
        <xdr:to>
          <xdr:col>3</xdr:col>
          <xdr:colOff>0</xdr:colOff>
          <xdr:row>28</xdr:row>
          <xdr:rowOff>9525</xdr:rowOff>
        </xdr:to>
        <xdr:sp macro="" textlink="">
          <xdr:nvSpPr>
            <xdr:cNvPr id="36789" name="Spinner 949" hidden="1">
              <a:extLst>
                <a:ext uri="{63B3BB69-23CF-44E3-9099-C40C66FF867C}">
                  <a14:compatExt spid="_x0000_s36789"/>
                </a:ext>
                <a:ext uri="{FF2B5EF4-FFF2-40B4-BE49-F238E27FC236}">
                  <a16:creationId xmlns:a16="http://schemas.microsoft.com/office/drawing/2014/main" id="{00000000-0008-0000-0000-0000B5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0</xdr:rowOff>
        </xdr:from>
        <xdr:to>
          <xdr:col>3</xdr:col>
          <xdr:colOff>0</xdr:colOff>
          <xdr:row>29</xdr:row>
          <xdr:rowOff>9525</xdr:rowOff>
        </xdr:to>
        <xdr:sp macro="" textlink="">
          <xdr:nvSpPr>
            <xdr:cNvPr id="36795" name="Spinner 955" hidden="1">
              <a:extLst>
                <a:ext uri="{63B3BB69-23CF-44E3-9099-C40C66FF867C}">
                  <a14:compatExt spid="_x0000_s36795"/>
                </a:ext>
                <a:ext uri="{FF2B5EF4-FFF2-40B4-BE49-F238E27FC236}">
                  <a16:creationId xmlns:a16="http://schemas.microsoft.com/office/drawing/2014/main" id="{00000000-0008-0000-0000-0000BB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161925</xdr:rowOff>
        </xdr:from>
        <xdr:to>
          <xdr:col>3</xdr:col>
          <xdr:colOff>0</xdr:colOff>
          <xdr:row>30</xdr:row>
          <xdr:rowOff>0</xdr:rowOff>
        </xdr:to>
        <xdr:sp macro="" textlink="">
          <xdr:nvSpPr>
            <xdr:cNvPr id="36796" name="Spinner 956" hidden="1">
              <a:extLst>
                <a:ext uri="{63B3BB69-23CF-44E3-9099-C40C66FF867C}">
                  <a14:compatExt spid="_x0000_s36796"/>
                </a:ext>
                <a:ext uri="{FF2B5EF4-FFF2-40B4-BE49-F238E27FC236}">
                  <a16:creationId xmlns:a16="http://schemas.microsoft.com/office/drawing/2014/main" id="{00000000-0008-0000-0000-0000BC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30</xdr:row>
          <xdr:rowOff>0</xdr:rowOff>
        </xdr:from>
        <xdr:to>
          <xdr:col>3</xdr:col>
          <xdr:colOff>0</xdr:colOff>
          <xdr:row>30</xdr:row>
          <xdr:rowOff>161925</xdr:rowOff>
        </xdr:to>
        <xdr:sp macro="" textlink="">
          <xdr:nvSpPr>
            <xdr:cNvPr id="36797" name="Spinner 957" hidden="1">
              <a:extLst>
                <a:ext uri="{63B3BB69-23CF-44E3-9099-C40C66FF867C}">
                  <a14:compatExt spid="_x0000_s36797"/>
                </a:ext>
                <a:ext uri="{FF2B5EF4-FFF2-40B4-BE49-F238E27FC236}">
                  <a16:creationId xmlns:a16="http://schemas.microsoft.com/office/drawing/2014/main" id="{00000000-0008-0000-0000-0000B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31</xdr:row>
          <xdr:rowOff>0</xdr:rowOff>
        </xdr:from>
        <xdr:to>
          <xdr:col>2</xdr:col>
          <xdr:colOff>895350</xdr:colOff>
          <xdr:row>32</xdr:row>
          <xdr:rowOff>0</xdr:rowOff>
        </xdr:to>
        <xdr:sp macro="" textlink="">
          <xdr:nvSpPr>
            <xdr:cNvPr id="36798" name="Spinner 958" hidden="1">
              <a:extLst>
                <a:ext uri="{63B3BB69-23CF-44E3-9099-C40C66FF867C}">
                  <a14:compatExt spid="_x0000_s36798"/>
                </a:ext>
                <a:ext uri="{FF2B5EF4-FFF2-40B4-BE49-F238E27FC236}">
                  <a16:creationId xmlns:a16="http://schemas.microsoft.com/office/drawing/2014/main" id="{00000000-0008-0000-0000-0000B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32</xdr:row>
          <xdr:rowOff>0</xdr:rowOff>
        </xdr:from>
        <xdr:to>
          <xdr:col>3</xdr:col>
          <xdr:colOff>0</xdr:colOff>
          <xdr:row>33</xdr:row>
          <xdr:rowOff>0</xdr:rowOff>
        </xdr:to>
        <xdr:sp macro="" textlink="">
          <xdr:nvSpPr>
            <xdr:cNvPr id="36799" name="Spinner 959" hidden="1">
              <a:extLst>
                <a:ext uri="{63B3BB69-23CF-44E3-9099-C40C66FF867C}">
                  <a14:compatExt spid="_x0000_s36799"/>
                </a:ext>
                <a:ext uri="{FF2B5EF4-FFF2-40B4-BE49-F238E27FC236}">
                  <a16:creationId xmlns:a16="http://schemas.microsoft.com/office/drawing/2014/main" id="{00000000-0008-0000-0000-0000B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12</xdr:row>
          <xdr:rowOff>161925</xdr:rowOff>
        </xdr:from>
        <xdr:to>
          <xdr:col>4</xdr:col>
          <xdr:colOff>0</xdr:colOff>
          <xdr:row>13</xdr:row>
          <xdr:rowOff>161925</xdr:rowOff>
        </xdr:to>
        <xdr:sp macro="" textlink="">
          <xdr:nvSpPr>
            <xdr:cNvPr id="36801" name="Spinner 961" hidden="1">
              <a:extLst>
                <a:ext uri="{63B3BB69-23CF-44E3-9099-C40C66FF867C}">
                  <a14:compatExt spid="_x0000_s36801"/>
                </a:ext>
                <a:ext uri="{FF2B5EF4-FFF2-40B4-BE49-F238E27FC236}">
                  <a16:creationId xmlns:a16="http://schemas.microsoft.com/office/drawing/2014/main" id="{00000000-0008-0000-0000-0000C1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1" name="Spinner 3315" hidden="1">
              <a:extLst>
                <a:ext uri="{63B3BB69-23CF-44E3-9099-C40C66FF867C}">
                  <a14:compatExt spid="_x0000_s5096691"/>
                </a:ext>
                <a:ext uri="{FF2B5EF4-FFF2-40B4-BE49-F238E27FC236}">
                  <a16:creationId xmlns:a16="http://schemas.microsoft.com/office/drawing/2014/main" id="{00000000-0008-0000-0000-0000F3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2" name="Spinner 3316" hidden="1">
              <a:extLst>
                <a:ext uri="{63B3BB69-23CF-44E3-9099-C40C66FF867C}">
                  <a14:compatExt spid="_x0000_s5096692"/>
                </a:ext>
                <a:ext uri="{FF2B5EF4-FFF2-40B4-BE49-F238E27FC236}">
                  <a16:creationId xmlns:a16="http://schemas.microsoft.com/office/drawing/2014/main" id="{00000000-0008-0000-0000-0000F4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0</xdr:rowOff>
    </xdr:from>
    <xdr:to>
      <xdr:col>8</xdr:col>
      <xdr:colOff>609600</xdr:colOff>
      <xdr:row>21</xdr:row>
      <xdr:rowOff>38100</xdr:rowOff>
    </xdr:to>
    <xdr:graphicFrame macro="">
      <xdr:nvGraphicFramePr>
        <xdr:cNvPr id="4779983" name="Graphique 1">
          <a:extLst>
            <a:ext uri="{FF2B5EF4-FFF2-40B4-BE49-F238E27FC236}">
              <a16:creationId xmlns:a16="http://schemas.microsoft.com/office/drawing/2014/main" id="{00000000-0008-0000-0100-0000CF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13</xdr:col>
      <xdr:colOff>0</xdr:colOff>
      <xdr:row>21</xdr:row>
      <xdr:rowOff>47625</xdr:rowOff>
    </xdr:to>
    <xdr:graphicFrame macro="">
      <xdr:nvGraphicFramePr>
        <xdr:cNvPr id="4779984" name="Graphique 2">
          <a:extLst>
            <a:ext uri="{FF2B5EF4-FFF2-40B4-BE49-F238E27FC236}">
              <a16:creationId xmlns:a16="http://schemas.microsoft.com/office/drawing/2014/main" id="{00000000-0008-0000-0100-0000D0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xdr:row>
      <xdr:rowOff>0</xdr:rowOff>
    </xdr:from>
    <xdr:to>
      <xdr:col>1</xdr:col>
      <xdr:colOff>979170</xdr:colOff>
      <xdr:row>4</xdr:row>
      <xdr:rowOff>152400</xdr:rowOff>
    </xdr:to>
    <xdr:pic>
      <xdr:nvPicPr>
        <xdr:cNvPr id="4779985" name="Picture 8" descr="logoplasci">
          <a:extLst>
            <a:ext uri="{FF2B5EF4-FFF2-40B4-BE49-F238E27FC236}">
              <a16:creationId xmlns:a16="http://schemas.microsoft.com/office/drawing/2014/main" id="{00000000-0008-0000-0100-0000D1EF48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65100"/>
          <a:ext cx="984250" cy="628650"/>
        </a:xfrm>
        <a:prstGeom prst="rect">
          <a:avLst/>
        </a:prstGeom>
        <a:noFill/>
        <a:ln w="9525">
          <a:noFill/>
          <a:miter lim="800000"/>
          <a:headEnd/>
          <a:tailEnd/>
        </a:ln>
      </xdr:spPr>
    </xdr:pic>
    <xdr:clientData/>
  </xdr:twoCellAnchor>
  <xdr:twoCellAnchor>
    <xdr:from>
      <xdr:col>2</xdr:col>
      <xdr:colOff>397377</xdr:colOff>
      <xdr:row>49</xdr:row>
      <xdr:rowOff>132682</xdr:rowOff>
    </xdr:from>
    <xdr:to>
      <xdr:col>3</xdr:col>
      <xdr:colOff>583998</xdr:colOff>
      <xdr:row>56</xdr:row>
      <xdr:rowOff>50436</xdr:rowOff>
    </xdr:to>
    <xdr:grpSp>
      <xdr:nvGrpSpPr>
        <xdr:cNvPr id="4" name="Groupe 3">
          <a:extLst>
            <a:ext uri="{FF2B5EF4-FFF2-40B4-BE49-F238E27FC236}">
              <a16:creationId xmlns:a16="http://schemas.microsoft.com/office/drawing/2014/main" id="{00000000-0008-0000-0100-000004000000}"/>
            </a:ext>
          </a:extLst>
        </xdr:cNvPr>
        <xdr:cNvGrpSpPr/>
      </xdr:nvGrpSpPr>
      <xdr:grpSpPr>
        <a:xfrm>
          <a:off x="1616577" y="8076532"/>
          <a:ext cx="1043871" cy="1051229"/>
          <a:chOff x="1543718" y="8304129"/>
          <a:chExt cx="1082306" cy="1064096"/>
        </a:xfrm>
      </xdr:grpSpPr>
      <xdr:sp macro="" textlink="">
        <xdr:nvSpPr>
          <xdr:cNvPr id="4779987" name="Oval 323">
            <a:extLst>
              <a:ext uri="{FF2B5EF4-FFF2-40B4-BE49-F238E27FC236}">
                <a16:creationId xmlns:a16="http://schemas.microsoft.com/office/drawing/2014/main" id="{00000000-0008-0000-0100-0000D3EF4800}"/>
              </a:ext>
            </a:extLst>
          </xdr:cNvPr>
          <xdr:cNvSpPr>
            <a:spLocks noChangeArrowheads="1"/>
          </xdr:cNvSpPr>
        </xdr:nvSpPr>
        <xdr:spPr bwMode="auto">
          <a:xfrm>
            <a:off x="1543718" y="8304129"/>
            <a:ext cx="1082306" cy="1064096"/>
          </a:xfrm>
          <a:prstGeom prst="ellipse">
            <a:avLst/>
          </a:prstGeom>
          <a:solidFill>
            <a:srgbClr val="F2F2F2"/>
          </a:solidFill>
          <a:ln w="9525">
            <a:solidFill>
              <a:srgbClr val="000000"/>
            </a:solidFill>
            <a:round/>
            <a:headEnd/>
            <a:tailEnd/>
          </a:ln>
        </xdr:spPr>
      </xdr:sp>
      <xdr:sp macro="" textlink="">
        <xdr:nvSpPr>
          <xdr:cNvPr id="4779988" name="Oval 323">
            <a:extLst>
              <a:ext uri="{FF2B5EF4-FFF2-40B4-BE49-F238E27FC236}">
                <a16:creationId xmlns:a16="http://schemas.microsoft.com/office/drawing/2014/main" id="{00000000-0008-0000-0100-0000D4EF4800}"/>
              </a:ext>
            </a:extLst>
          </xdr:cNvPr>
          <xdr:cNvSpPr>
            <a:spLocks noChangeArrowheads="1"/>
          </xdr:cNvSpPr>
        </xdr:nvSpPr>
        <xdr:spPr bwMode="auto">
          <a:xfrm>
            <a:off x="1939718" y="8694827"/>
            <a:ext cx="290306" cy="282700"/>
          </a:xfrm>
          <a:prstGeom prst="ellipse">
            <a:avLst/>
          </a:prstGeom>
          <a:solidFill>
            <a:srgbClr val="FFFFFF"/>
          </a:solidFill>
          <a:ln w="9525">
            <a:solidFill>
              <a:srgbClr val="000000"/>
            </a:solidFill>
            <a:round/>
            <a:headEnd/>
            <a:tailEnd/>
          </a:ln>
        </xdr:spPr>
      </xdr:sp>
      <xdr:sp macro="" textlink="">
        <xdr:nvSpPr>
          <xdr:cNvPr id="4779989" name="Line 324">
            <a:extLst>
              <a:ext uri="{FF2B5EF4-FFF2-40B4-BE49-F238E27FC236}">
                <a16:creationId xmlns:a16="http://schemas.microsoft.com/office/drawing/2014/main" id="{00000000-0008-0000-0100-0000D5EF4800}"/>
              </a:ext>
            </a:extLst>
          </xdr:cNvPr>
          <xdr:cNvSpPr>
            <a:spLocks noChangeShapeType="1"/>
          </xdr:cNvSpPr>
        </xdr:nvSpPr>
        <xdr:spPr bwMode="auto">
          <a:xfrm>
            <a:off x="2083718" y="8304129"/>
            <a:ext cx="0" cy="540000"/>
          </a:xfrm>
          <a:prstGeom prst="line">
            <a:avLst/>
          </a:prstGeom>
          <a:noFill/>
          <a:ln w="9525">
            <a:solidFill>
              <a:srgbClr val="000000"/>
            </a:solidFill>
            <a:round/>
            <a:headEnd type="triangle" w="med" len="med"/>
            <a:tailEnd type="triangle" w="med" len="med"/>
          </a:ln>
        </xdr:spPr>
      </xdr:sp>
      <xdr:sp macro="" textlink="">
        <xdr:nvSpPr>
          <xdr:cNvPr id="4779990" name="Line 324">
            <a:extLst>
              <a:ext uri="{FF2B5EF4-FFF2-40B4-BE49-F238E27FC236}">
                <a16:creationId xmlns:a16="http://schemas.microsoft.com/office/drawing/2014/main" id="{00000000-0008-0000-0100-0000D6EF4800}"/>
              </a:ext>
            </a:extLst>
          </xdr:cNvPr>
          <xdr:cNvSpPr>
            <a:spLocks noChangeShapeType="1"/>
          </xdr:cNvSpPr>
        </xdr:nvSpPr>
        <xdr:spPr bwMode="auto">
          <a:xfrm>
            <a:off x="2083718" y="8838866"/>
            <a:ext cx="0" cy="144000"/>
          </a:xfrm>
          <a:prstGeom prst="line">
            <a:avLst/>
          </a:prstGeom>
          <a:noFill/>
          <a:ln w="9525">
            <a:solidFill>
              <a:srgbClr val="000000"/>
            </a:solidFill>
            <a:round/>
            <a:headEnd type="triangle" w="sm" len="sm"/>
            <a:tailEnd type="triangle" w="sm" len="sm"/>
          </a:ln>
        </xdr:spPr>
      </xdr:sp>
    </xdr:grpSp>
    <xdr:clientData/>
  </xdr:twoCellAnchor>
  <mc:AlternateContent xmlns:mc="http://schemas.openxmlformats.org/markup-compatibility/2006">
    <mc:Choice xmlns:a14="http://schemas.microsoft.com/office/drawing/2010/main" Requires="a14">
      <xdr:twoCellAnchor>
        <xdr:from>
          <xdr:col>3</xdr:col>
          <xdr:colOff>647700</xdr:colOff>
          <xdr:row>9</xdr:row>
          <xdr:rowOff>161925</xdr:rowOff>
        </xdr:from>
        <xdr:to>
          <xdr:col>4</xdr:col>
          <xdr:colOff>0</xdr:colOff>
          <xdr:row>11</xdr:row>
          <xdr:rowOff>9525</xdr:rowOff>
        </xdr:to>
        <xdr:sp macro="" textlink="">
          <xdr:nvSpPr>
            <xdr:cNvPr id="1424424" name="Spinner 1064" hidden="1">
              <a:extLst>
                <a:ext uri="{63B3BB69-23CF-44E3-9099-C40C66FF867C}">
                  <a14:compatExt spid="_x0000_s1424424"/>
                </a:ext>
                <a:ext uri="{FF2B5EF4-FFF2-40B4-BE49-F238E27FC236}">
                  <a16:creationId xmlns:a16="http://schemas.microsoft.com/office/drawing/2014/main" id="{00000000-0008-0000-0100-000028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43</xdr:row>
          <xdr:rowOff>9525</xdr:rowOff>
        </xdr:from>
        <xdr:to>
          <xdr:col>2</xdr:col>
          <xdr:colOff>0</xdr:colOff>
          <xdr:row>44</xdr:row>
          <xdr:rowOff>0</xdr:rowOff>
        </xdr:to>
        <xdr:sp macro="" textlink="">
          <xdr:nvSpPr>
            <xdr:cNvPr id="1424589" name="Spinner 1229" hidden="1">
              <a:extLst>
                <a:ext uri="{63B3BB69-23CF-44E3-9099-C40C66FF867C}">
                  <a14:compatExt spid="_x0000_s1424589"/>
                </a:ext>
                <a:ext uri="{FF2B5EF4-FFF2-40B4-BE49-F238E27FC236}">
                  <a16:creationId xmlns:a16="http://schemas.microsoft.com/office/drawing/2014/main" id="{00000000-0008-0000-0100-0000CD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45</xdr:row>
          <xdr:rowOff>9525</xdr:rowOff>
        </xdr:from>
        <xdr:to>
          <xdr:col>2</xdr:col>
          <xdr:colOff>0</xdr:colOff>
          <xdr:row>46</xdr:row>
          <xdr:rowOff>0</xdr:rowOff>
        </xdr:to>
        <xdr:sp macro="" textlink="">
          <xdr:nvSpPr>
            <xdr:cNvPr id="1424590" name="Spinner 1230" hidden="1">
              <a:extLst>
                <a:ext uri="{63B3BB69-23CF-44E3-9099-C40C66FF867C}">
                  <a14:compatExt spid="_x0000_s1424590"/>
                </a:ext>
                <a:ext uri="{FF2B5EF4-FFF2-40B4-BE49-F238E27FC236}">
                  <a16:creationId xmlns:a16="http://schemas.microsoft.com/office/drawing/2014/main" id="{00000000-0008-0000-0100-0000CE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51</xdr:row>
          <xdr:rowOff>9525</xdr:rowOff>
        </xdr:from>
        <xdr:to>
          <xdr:col>2</xdr:col>
          <xdr:colOff>0</xdr:colOff>
          <xdr:row>52</xdr:row>
          <xdr:rowOff>0</xdr:rowOff>
        </xdr:to>
        <xdr:sp macro="" textlink="">
          <xdr:nvSpPr>
            <xdr:cNvPr id="1424591" name="Spinner 1231" hidden="1">
              <a:extLst>
                <a:ext uri="{63B3BB69-23CF-44E3-9099-C40C66FF867C}">
                  <a14:compatExt spid="_x0000_s1424591"/>
                </a:ext>
                <a:ext uri="{FF2B5EF4-FFF2-40B4-BE49-F238E27FC236}">
                  <a16:creationId xmlns:a16="http://schemas.microsoft.com/office/drawing/2014/main" id="{00000000-0008-0000-0100-0000CF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94</xdr:row>
          <xdr:rowOff>76200</xdr:rowOff>
        </xdr:from>
        <xdr:to>
          <xdr:col>3</xdr:col>
          <xdr:colOff>762000</xdr:colOff>
          <xdr:row>100</xdr:row>
          <xdr:rowOff>95250</xdr:rowOff>
        </xdr:to>
        <xdr:sp macro="" textlink="">
          <xdr:nvSpPr>
            <xdr:cNvPr id="1425294" name="Object 1934" hidden="1">
              <a:extLst>
                <a:ext uri="{63B3BB69-23CF-44E3-9099-C40C66FF867C}">
                  <a14:compatExt spid="_x0000_s1425294"/>
                </a:ext>
                <a:ext uri="{FF2B5EF4-FFF2-40B4-BE49-F238E27FC236}">
                  <a16:creationId xmlns:a16="http://schemas.microsoft.com/office/drawing/2014/main" id="{00000000-0008-0000-0100-00008EBF15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53</xdr:row>
          <xdr:rowOff>9525</xdr:rowOff>
        </xdr:from>
        <xdr:to>
          <xdr:col>2</xdr:col>
          <xdr:colOff>0</xdr:colOff>
          <xdr:row>54</xdr:row>
          <xdr:rowOff>0</xdr:rowOff>
        </xdr:to>
        <xdr:sp macro="" textlink="">
          <xdr:nvSpPr>
            <xdr:cNvPr id="4779462" name="Spinner 4550" hidden="1">
              <a:extLst>
                <a:ext uri="{63B3BB69-23CF-44E3-9099-C40C66FF867C}">
                  <a14:compatExt spid="_x0000_s4779462"/>
                </a:ext>
                <a:ext uri="{FF2B5EF4-FFF2-40B4-BE49-F238E27FC236}">
                  <a16:creationId xmlns:a16="http://schemas.microsoft.com/office/drawing/2014/main" id="{00000000-0008-0000-0100-0000C6ED48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xdr:from>
      <xdr:col>2</xdr:col>
      <xdr:colOff>111065</xdr:colOff>
      <xdr:row>40</xdr:row>
      <xdr:rowOff>120650</xdr:rowOff>
    </xdr:from>
    <xdr:to>
      <xdr:col>3</xdr:col>
      <xdr:colOff>723899</xdr:colOff>
      <xdr:row>47</xdr:row>
      <xdr:rowOff>163763</xdr:rowOff>
    </xdr:to>
    <xdr:grpSp>
      <xdr:nvGrpSpPr>
        <xdr:cNvPr id="5" name="Groupe 4">
          <a:extLst>
            <a:ext uri="{FF2B5EF4-FFF2-40B4-BE49-F238E27FC236}">
              <a16:creationId xmlns:a16="http://schemas.microsoft.com/office/drawing/2014/main" id="{00000000-0008-0000-0100-000005000000}"/>
            </a:ext>
          </a:extLst>
        </xdr:cNvPr>
        <xdr:cNvGrpSpPr/>
      </xdr:nvGrpSpPr>
      <xdr:grpSpPr>
        <a:xfrm>
          <a:off x="1330265" y="6607175"/>
          <a:ext cx="1470084" cy="1176588"/>
          <a:chOff x="1206570" y="6604334"/>
          <a:chExt cx="1696381" cy="1189455"/>
        </a:xfrm>
      </xdr:grpSpPr>
      <xdr:grpSp>
        <xdr:nvGrpSpPr>
          <xdr:cNvPr id="4779986" name="Groupe 1">
            <a:extLst>
              <a:ext uri="{FF2B5EF4-FFF2-40B4-BE49-F238E27FC236}">
                <a16:creationId xmlns:a16="http://schemas.microsoft.com/office/drawing/2014/main" id="{00000000-0008-0000-0100-0000D2EF4800}"/>
              </a:ext>
            </a:extLst>
          </xdr:cNvPr>
          <xdr:cNvGrpSpPr>
            <a:grpSpLocks/>
          </xdr:cNvGrpSpPr>
        </xdr:nvGrpSpPr>
        <xdr:grpSpPr bwMode="auto">
          <a:xfrm>
            <a:off x="1423067" y="6604334"/>
            <a:ext cx="1479884" cy="1189455"/>
            <a:chOff x="1362074" y="6410325"/>
            <a:chExt cx="1319467" cy="1181100"/>
          </a:xfrm>
        </xdr:grpSpPr>
        <xdr:sp macro="" textlink="">
          <xdr:nvSpPr>
            <xdr:cNvPr id="4779991" name="Line 320">
              <a:extLst>
                <a:ext uri="{FF2B5EF4-FFF2-40B4-BE49-F238E27FC236}">
                  <a16:creationId xmlns:a16="http://schemas.microsoft.com/office/drawing/2014/main" id="{00000000-0008-0000-0100-0000D7EF4800}"/>
                </a:ext>
              </a:extLst>
            </xdr:cNvPr>
            <xdr:cNvSpPr>
              <a:spLocks noChangeShapeType="1"/>
            </xdr:cNvSpPr>
          </xdr:nvSpPr>
          <xdr:spPr bwMode="auto">
            <a:xfrm flipH="1">
              <a:off x="1481627" y="7305580"/>
              <a:ext cx="342769" cy="0"/>
            </a:xfrm>
            <a:prstGeom prst="line">
              <a:avLst/>
            </a:prstGeom>
            <a:noFill/>
            <a:ln w="9525">
              <a:solidFill>
                <a:srgbClr val="000000"/>
              </a:solidFill>
              <a:round/>
              <a:headEnd type="triangle" w="med" len="med"/>
              <a:tailEnd type="triangle" w="med" len="med"/>
            </a:ln>
          </xdr:spPr>
        </xdr:sp>
        <xdr:sp macro="" textlink="">
          <xdr:nvSpPr>
            <xdr:cNvPr id="4779992" name="Rectangle 314">
              <a:extLst>
                <a:ext uri="{FF2B5EF4-FFF2-40B4-BE49-F238E27FC236}">
                  <a16:creationId xmlns:a16="http://schemas.microsoft.com/office/drawing/2014/main" id="{00000000-0008-0000-0100-0000D8EF4800}"/>
                </a:ext>
              </a:extLst>
            </xdr:cNvPr>
            <xdr:cNvSpPr>
              <a:spLocks noChangeArrowheads="1"/>
            </xdr:cNvSpPr>
          </xdr:nvSpPr>
          <xdr:spPr bwMode="auto">
            <a:xfrm>
              <a:off x="1838688" y="6410325"/>
              <a:ext cx="481630" cy="1181100"/>
            </a:xfrm>
            <a:prstGeom prst="rect">
              <a:avLst/>
            </a:prstGeom>
            <a:solidFill>
              <a:srgbClr val="F2F2F2"/>
            </a:solidFill>
            <a:ln w="9525">
              <a:solidFill>
                <a:srgbClr val="000000"/>
              </a:solidFill>
              <a:miter lim="800000"/>
              <a:headEnd/>
              <a:tailEnd/>
            </a:ln>
          </xdr:spPr>
        </xdr:sp>
        <xdr:sp macro="" textlink="">
          <xdr:nvSpPr>
            <xdr:cNvPr id="4779993" name="Rectangle 315">
              <a:extLst>
                <a:ext uri="{FF2B5EF4-FFF2-40B4-BE49-F238E27FC236}">
                  <a16:creationId xmlns:a16="http://schemas.microsoft.com/office/drawing/2014/main" id="{00000000-0008-0000-0100-0000D9EF4800}"/>
                </a:ext>
              </a:extLst>
            </xdr:cNvPr>
            <xdr:cNvSpPr>
              <a:spLocks noChangeArrowheads="1"/>
            </xdr:cNvSpPr>
          </xdr:nvSpPr>
          <xdr:spPr bwMode="auto">
            <a:xfrm rot="16200000">
              <a:off x="1842199" y="6398837"/>
              <a:ext cx="474608" cy="1204076"/>
            </a:xfrm>
            <a:prstGeom prst="rect">
              <a:avLst/>
            </a:prstGeom>
            <a:solidFill>
              <a:srgbClr val="F2F2F2"/>
            </a:solidFill>
            <a:ln w="9525">
              <a:solidFill>
                <a:srgbClr val="000000"/>
              </a:solidFill>
              <a:miter lim="800000"/>
              <a:headEnd/>
              <a:tailEnd/>
            </a:ln>
          </xdr:spPr>
        </xdr:sp>
        <xdr:sp macro="" textlink="">
          <xdr:nvSpPr>
            <xdr:cNvPr id="4779994" name="Line 316">
              <a:extLst>
                <a:ext uri="{FF2B5EF4-FFF2-40B4-BE49-F238E27FC236}">
                  <a16:creationId xmlns:a16="http://schemas.microsoft.com/office/drawing/2014/main" id="{00000000-0008-0000-0100-0000DAEF4800}"/>
                </a:ext>
              </a:extLst>
            </xdr:cNvPr>
            <xdr:cNvSpPr>
              <a:spLocks noChangeShapeType="1"/>
            </xdr:cNvSpPr>
          </xdr:nvSpPr>
          <xdr:spPr bwMode="auto">
            <a:xfrm>
              <a:off x="1839552" y="6759733"/>
              <a:ext cx="0" cy="482283"/>
            </a:xfrm>
            <a:prstGeom prst="line">
              <a:avLst/>
            </a:prstGeom>
            <a:noFill/>
            <a:ln w="9525">
              <a:solidFill>
                <a:srgbClr val="000000"/>
              </a:solidFill>
              <a:round/>
              <a:headEnd/>
              <a:tailEnd/>
            </a:ln>
          </xdr:spPr>
        </xdr:sp>
        <xdr:sp macro="" textlink="">
          <xdr:nvSpPr>
            <xdr:cNvPr id="4779995" name="Line 317">
              <a:extLst>
                <a:ext uri="{FF2B5EF4-FFF2-40B4-BE49-F238E27FC236}">
                  <a16:creationId xmlns:a16="http://schemas.microsoft.com/office/drawing/2014/main" id="{00000000-0008-0000-0100-0000DBEF4800}"/>
                </a:ext>
              </a:extLst>
            </xdr:cNvPr>
            <xdr:cNvSpPr>
              <a:spLocks noChangeShapeType="1"/>
            </xdr:cNvSpPr>
          </xdr:nvSpPr>
          <xdr:spPr bwMode="auto">
            <a:xfrm>
              <a:off x="2320389" y="6759733"/>
              <a:ext cx="0" cy="482283"/>
            </a:xfrm>
            <a:prstGeom prst="line">
              <a:avLst/>
            </a:prstGeom>
            <a:noFill/>
            <a:ln w="9525">
              <a:solidFill>
                <a:srgbClr val="000000"/>
              </a:solidFill>
              <a:round/>
              <a:headEnd/>
              <a:tailEnd/>
            </a:ln>
          </xdr:spPr>
          <xdr:txBody>
            <a:bodyPr/>
            <a:lstStyle/>
            <a:p>
              <a:endParaRPr lang="fr-FR"/>
            </a:p>
          </xdr:txBody>
        </xdr:sp>
        <xdr:sp macro="" textlink="">
          <xdr:nvSpPr>
            <xdr:cNvPr id="4779996" name="Line 319">
              <a:extLst>
                <a:ext uri="{FF2B5EF4-FFF2-40B4-BE49-F238E27FC236}">
                  <a16:creationId xmlns:a16="http://schemas.microsoft.com/office/drawing/2014/main" id="{00000000-0008-0000-0100-0000DCEF4800}"/>
                </a:ext>
              </a:extLst>
            </xdr:cNvPr>
            <xdr:cNvSpPr>
              <a:spLocks noChangeShapeType="1"/>
            </xdr:cNvSpPr>
          </xdr:nvSpPr>
          <xdr:spPr bwMode="auto">
            <a:xfrm>
              <a:off x="1362074" y="6762863"/>
              <a:ext cx="0" cy="476023"/>
            </a:xfrm>
            <a:prstGeom prst="line">
              <a:avLst/>
            </a:prstGeom>
            <a:noFill/>
            <a:ln w="9525">
              <a:solidFill>
                <a:srgbClr val="000000"/>
              </a:solidFill>
              <a:round/>
              <a:headEnd type="triangle" w="med" len="med"/>
              <a:tailEnd type="triangle" w="med" len="med"/>
            </a:ln>
          </xdr:spPr>
        </xdr:sp>
      </xdr:grpSp>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1206570" y="7066782"/>
            <a:ext cx="2522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a</a:t>
            </a:r>
          </a:p>
        </xdr:txBody>
      </xdr:sp>
      <xdr:sp macro="" textlink="">
        <xdr:nvSpPr>
          <xdr:cNvPr id="3" name="ZoneTexte 2">
            <a:extLst>
              <a:ext uri="{FF2B5EF4-FFF2-40B4-BE49-F238E27FC236}">
                <a16:creationId xmlns:a16="http://schemas.microsoft.com/office/drawing/2014/main" id="{00000000-0008-0000-0100-000003000000}"/>
              </a:ext>
            </a:extLst>
          </xdr:cNvPr>
          <xdr:cNvSpPr txBox="1"/>
        </xdr:nvSpPr>
        <xdr:spPr>
          <a:xfrm>
            <a:off x="1607218" y="7462419"/>
            <a:ext cx="2603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b</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165100</xdr:colOff>
      <xdr:row>1</xdr:row>
      <xdr:rowOff>0</xdr:rowOff>
    </xdr:from>
    <xdr:to>
      <xdr:col>10</xdr:col>
      <xdr:colOff>622300</xdr:colOff>
      <xdr:row>19</xdr:row>
      <xdr:rowOff>0</xdr:rowOff>
    </xdr:to>
    <xdr:graphicFrame macro="">
      <xdr:nvGraphicFramePr>
        <xdr:cNvPr id="5105813" name="Graphique 1">
          <a:extLst>
            <a:ext uri="{FF2B5EF4-FFF2-40B4-BE49-F238E27FC236}">
              <a16:creationId xmlns:a16="http://schemas.microsoft.com/office/drawing/2014/main" id="{00000000-0008-0000-0200-000095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165100</xdr:colOff>
      <xdr:row>37</xdr:row>
      <xdr:rowOff>0</xdr:rowOff>
    </xdr:from>
    <xdr:to>
      <xdr:col>10</xdr:col>
      <xdr:colOff>622300</xdr:colOff>
      <xdr:row>55</xdr:row>
      <xdr:rowOff>0</xdr:rowOff>
    </xdr:to>
    <xdr:graphicFrame macro="">
      <xdr:nvGraphicFramePr>
        <xdr:cNvPr id="5105814" name="Graphique 2">
          <a:extLst>
            <a:ext uri="{FF2B5EF4-FFF2-40B4-BE49-F238E27FC236}">
              <a16:creationId xmlns:a16="http://schemas.microsoft.com/office/drawing/2014/main" id="{00000000-0008-0000-0200-000096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165100</xdr:colOff>
      <xdr:row>19</xdr:row>
      <xdr:rowOff>0</xdr:rowOff>
    </xdr:from>
    <xdr:to>
      <xdr:col>10</xdr:col>
      <xdr:colOff>622300</xdr:colOff>
      <xdr:row>37</xdr:row>
      <xdr:rowOff>0</xdr:rowOff>
    </xdr:to>
    <xdr:graphicFrame macro="">
      <xdr:nvGraphicFramePr>
        <xdr:cNvPr id="5105815" name="Graphique 3">
          <a:extLst>
            <a:ext uri="{FF2B5EF4-FFF2-40B4-BE49-F238E27FC236}">
              <a16:creationId xmlns:a16="http://schemas.microsoft.com/office/drawing/2014/main" id="{00000000-0008-0000-0200-000097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165100</xdr:colOff>
      <xdr:row>55</xdr:row>
      <xdr:rowOff>0</xdr:rowOff>
    </xdr:from>
    <xdr:to>
      <xdr:col>10</xdr:col>
      <xdr:colOff>622300</xdr:colOff>
      <xdr:row>73</xdr:row>
      <xdr:rowOff>0</xdr:rowOff>
    </xdr:to>
    <xdr:graphicFrame macro="">
      <xdr:nvGraphicFramePr>
        <xdr:cNvPr id="5105816" name="Graphique 4">
          <a:extLst>
            <a:ext uri="{FF2B5EF4-FFF2-40B4-BE49-F238E27FC236}">
              <a16:creationId xmlns:a16="http://schemas.microsoft.com/office/drawing/2014/main" id="{00000000-0008-0000-0200-000098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12700</xdr:colOff>
      <xdr:row>4</xdr:row>
      <xdr:rowOff>44450</xdr:rowOff>
    </xdr:from>
    <xdr:to>
      <xdr:col>7</xdr:col>
      <xdr:colOff>215900</xdr:colOff>
      <xdr:row>19</xdr:row>
      <xdr:rowOff>133350</xdr:rowOff>
    </xdr:to>
    <xdr:graphicFrame macro="">
      <xdr:nvGraphicFramePr>
        <xdr:cNvPr id="5110822" name="Graphique 1">
          <a:extLst>
            <a:ext uri="{FF2B5EF4-FFF2-40B4-BE49-F238E27FC236}">
              <a16:creationId xmlns:a16="http://schemas.microsoft.com/office/drawing/2014/main" id="{00000000-0008-0000-0300-000026FC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273050</xdr:colOff>
      <xdr:row>1008</xdr:row>
      <xdr:rowOff>146050</xdr:rowOff>
    </xdr:from>
    <xdr:to>
      <xdr:col>16</xdr:col>
      <xdr:colOff>152400</xdr:colOff>
      <xdr:row>1010</xdr:row>
      <xdr:rowOff>82550</xdr:rowOff>
    </xdr:to>
    <xdr:sp macro="" textlink="">
      <xdr:nvSpPr>
        <xdr:cNvPr id="3393" name="Line 60">
          <a:extLst>
            <a:ext uri="{FF2B5EF4-FFF2-40B4-BE49-F238E27FC236}">
              <a16:creationId xmlns:a16="http://schemas.microsoft.com/office/drawing/2014/main" id="{00000000-0008-0000-0400-0000410D0000}"/>
            </a:ext>
          </a:extLst>
        </xdr:cNvPr>
        <xdr:cNvSpPr>
          <a:spLocks noChangeShapeType="1"/>
        </xdr:cNvSpPr>
      </xdr:nvSpPr>
      <xdr:spPr bwMode="auto">
        <a:xfrm flipH="1">
          <a:off x="5759450" y="160172400"/>
          <a:ext cx="1098550" cy="254000"/>
        </a:xfrm>
        <a:prstGeom prst="line">
          <a:avLst/>
        </a:prstGeom>
        <a:noFill/>
        <a:ln w="9525">
          <a:solidFill>
            <a:srgbClr val="000000"/>
          </a:solidFill>
          <a:round/>
          <a:headEnd/>
          <a:tailEnd type="triangle" w="med" len="med"/>
        </a:ln>
      </xdr:spPr>
    </xdr:sp>
    <xdr:clientData/>
  </xdr:twoCellAnchor>
  <xdr:twoCellAnchor>
    <xdr:from>
      <xdr:col>12</xdr:col>
      <xdr:colOff>279400</xdr:colOff>
      <xdr:row>1011</xdr:row>
      <xdr:rowOff>95250</xdr:rowOff>
    </xdr:from>
    <xdr:to>
      <xdr:col>17</xdr:col>
      <xdr:colOff>349250</xdr:colOff>
      <xdr:row>1013</xdr:row>
      <xdr:rowOff>139700</xdr:rowOff>
    </xdr:to>
    <xdr:sp macro="" textlink="">
      <xdr:nvSpPr>
        <xdr:cNvPr id="3394" name="Line 71">
          <a:extLst>
            <a:ext uri="{FF2B5EF4-FFF2-40B4-BE49-F238E27FC236}">
              <a16:creationId xmlns:a16="http://schemas.microsoft.com/office/drawing/2014/main" id="{00000000-0008-0000-0400-0000420D0000}"/>
            </a:ext>
          </a:extLst>
        </xdr:cNvPr>
        <xdr:cNvSpPr>
          <a:spLocks noChangeShapeType="1"/>
        </xdr:cNvSpPr>
      </xdr:nvSpPr>
      <xdr:spPr bwMode="auto">
        <a:xfrm flipH="1" flipV="1">
          <a:off x="5765800" y="160597850"/>
          <a:ext cx="1892300" cy="361950"/>
        </a:xfrm>
        <a:prstGeom prst="line">
          <a:avLst/>
        </a:prstGeom>
        <a:noFill/>
        <a:ln w="9525">
          <a:solidFill>
            <a:srgbClr val="000000"/>
          </a:solidFill>
          <a:round/>
          <a:headEnd/>
          <a:tailEnd type="triangle" w="med" len="med"/>
        </a:ln>
      </xdr:spPr>
    </xdr:sp>
    <xdr:clientData/>
  </xdr:twoCellAnchor>
  <xdr:twoCellAnchor>
    <xdr:from>
      <xdr:col>12</xdr:col>
      <xdr:colOff>279400</xdr:colOff>
      <xdr:row>1012</xdr:row>
      <xdr:rowOff>139700</xdr:rowOff>
    </xdr:from>
    <xdr:to>
      <xdr:col>17</xdr:col>
      <xdr:colOff>349250</xdr:colOff>
      <xdr:row>1015</xdr:row>
      <xdr:rowOff>25400</xdr:rowOff>
    </xdr:to>
    <xdr:sp macro="" textlink="">
      <xdr:nvSpPr>
        <xdr:cNvPr id="3395" name="Line 71">
          <a:extLst>
            <a:ext uri="{FF2B5EF4-FFF2-40B4-BE49-F238E27FC236}">
              <a16:creationId xmlns:a16="http://schemas.microsoft.com/office/drawing/2014/main" id="{00000000-0008-0000-0400-0000430D0000}"/>
            </a:ext>
          </a:extLst>
        </xdr:cNvPr>
        <xdr:cNvSpPr>
          <a:spLocks noChangeShapeType="1"/>
        </xdr:cNvSpPr>
      </xdr:nvSpPr>
      <xdr:spPr bwMode="auto">
        <a:xfrm flipH="1" flipV="1">
          <a:off x="5765800" y="160801050"/>
          <a:ext cx="1892300" cy="361950"/>
        </a:xfrm>
        <a:prstGeom prst="line">
          <a:avLst/>
        </a:prstGeom>
        <a:noFill/>
        <a:ln w="9525">
          <a:solidFill>
            <a:srgbClr val="000000"/>
          </a:solidFill>
          <a:round/>
          <a:headEnd/>
          <a:tailEnd type="triangle" w="med" len="med"/>
        </a:ln>
      </xdr:spPr>
    </xdr:sp>
    <xdr:clientData/>
  </xdr:twoCellAnchor>
  <mc:AlternateContent xmlns:mc="http://schemas.openxmlformats.org/markup-compatibility/2006">
    <mc:Choice xmlns:a14="http://schemas.microsoft.com/office/drawing/2010/main" Requires="a14">
      <xdr:twoCellAnchor editAs="oneCell">
        <xdr:from>
          <xdr:col>18</xdr:col>
          <xdr:colOff>9525</xdr:colOff>
          <xdr:row>1010</xdr:row>
          <xdr:rowOff>104775</xdr:rowOff>
        </xdr:from>
        <xdr:to>
          <xdr:col>20</xdr:col>
          <xdr:colOff>295275</xdr:colOff>
          <xdr:row>1013</xdr:row>
          <xdr:rowOff>28575</xdr:rowOff>
        </xdr:to>
        <xdr:sp macro="" textlink="">
          <xdr:nvSpPr>
            <xdr:cNvPr id="3091" name="Object 19" hidden="1">
              <a:extLst>
                <a:ext uri="{63B3BB69-23CF-44E3-9099-C40C66FF867C}">
                  <a14:compatExt spid="_x0000_s3091"/>
                </a:ext>
                <a:ext uri="{FF2B5EF4-FFF2-40B4-BE49-F238E27FC236}">
                  <a16:creationId xmlns:a16="http://schemas.microsoft.com/office/drawing/2014/main" id="{00000000-0008-0000-0400-000013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1024</xdr:row>
          <xdr:rowOff>161925</xdr:rowOff>
        </xdr:from>
        <xdr:to>
          <xdr:col>25</xdr:col>
          <xdr:colOff>457200</xdr:colOff>
          <xdr:row>1026</xdr:row>
          <xdr:rowOff>76200</xdr:rowOff>
        </xdr:to>
        <xdr:sp macro="" textlink="">
          <xdr:nvSpPr>
            <xdr:cNvPr id="3092" name="Object 20" hidden="1">
              <a:extLst>
                <a:ext uri="{63B3BB69-23CF-44E3-9099-C40C66FF867C}">
                  <a14:compatExt spid="_x0000_s3092"/>
                </a:ext>
                <a:ext uri="{FF2B5EF4-FFF2-40B4-BE49-F238E27FC236}">
                  <a16:creationId xmlns:a16="http://schemas.microsoft.com/office/drawing/2014/main" id="{00000000-0008-0000-0400-00001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1006</xdr:row>
          <xdr:rowOff>28575</xdr:rowOff>
        </xdr:from>
        <xdr:to>
          <xdr:col>24</xdr:col>
          <xdr:colOff>152400</xdr:colOff>
          <xdr:row>1007</xdr:row>
          <xdr:rowOff>104775</xdr:rowOff>
        </xdr:to>
        <xdr:sp macro="" textlink="">
          <xdr:nvSpPr>
            <xdr:cNvPr id="3096" name="Object 24" hidden="1">
              <a:extLst>
                <a:ext uri="{63B3BB69-23CF-44E3-9099-C40C66FF867C}">
                  <a14:compatExt spid="_x0000_s3096"/>
                </a:ext>
                <a:ext uri="{FF2B5EF4-FFF2-40B4-BE49-F238E27FC236}">
                  <a16:creationId xmlns:a16="http://schemas.microsoft.com/office/drawing/2014/main" id="{00000000-0008-0000-0400-00001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1017</xdr:row>
          <xdr:rowOff>161925</xdr:rowOff>
        </xdr:from>
        <xdr:to>
          <xdr:col>10</xdr:col>
          <xdr:colOff>581025</xdr:colOff>
          <xdr:row>1019</xdr:row>
          <xdr:rowOff>142875</xdr:rowOff>
        </xdr:to>
        <xdr:sp macro="" textlink="">
          <xdr:nvSpPr>
            <xdr:cNvPr id="3112" name="Object 40" hidden="1">
              <a:extLst>
                <a:ext uri="{63B3BB69-23CF-44E3-9099-C40C66FF867C}">
                  <a14:compatExt spid="_x0000_s3112"/>
                </a:ext>
                <a:ext uri="{FF2B5EF4-FFF2-40B4-BE49-F238E27FC236}">
                  <a16:creationId xmlns:a16="http://schemas.microsoft.com/office/drawing/2014/main" id="{00000000-0008-0000-0400-00002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1014</xdr:row>
          <xdr:rowOff>180975</xdr:rowOff>
        </xdr:from>
        <xdr:to>
          <xdr:col>11</xdr:col>
          <xdr:colOff>266700</xdr:colOff>
          <xdr:row>1016</xdr:row>
          <xdr:rowOff>66675</xdr:rowOff>
        </xdr:to>
        <xdr:sp macro="" textlink="">
          <xdr:nvSpPr>
            <xdr:cNvPr id="3114" name="Object 42" hidden="1">
              <a:extLst>
                <a:ext uri="{63B3BB69-23CF-44E3-9099-C40C66FF867C}">
                  <a14:compatExt spid="_x0000_s3114"/>
                </a:ext>
                <a:ext uri="{FF2B5EF4-FFF2-40B4-BE49-F238E27FC236}">
                  <a16:creationId xmlns:a16="http://schemas.microsoft.com/office/drawing/2014/main" id="{00000000-0008-0000-0400-00002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1016</xdr:row>
          <xdr:rowOff>76200</xdr:rowOff>
        </xdr:from>
        <xdr:to>
          <xdr:col>11</xdr:col>
          <xdr:colOff>238125</xdr:colOff>
          <xdr:row>1017</xdr:row>
          <xdr:rowOff>161925</xdr:rowOff>
        </xdr:to>
        <xdr:sp macro="" textlink="">
          <xdr:nvSpPr>
            <xdr:cNvPr id="3115" name="Object 43" hidden="1">
              <a:extLst>
                <a:ext uri="{63B3BB69-23CF-44E3-9099-C40C66FF867C}">
                  <a14:compatExt spid="_x0000_s3115"/>
                </a:ext>
                <a:ext uri="{FF2B5EF4-FFF2-40B4-BE49-F238E27FC236}">
                  <a16:creationId xmlns:a16="http://schemas.microsoft.com/office/drawing/2014/main" id="{00000000-0008-0000-0400-00002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1022</xdr:row>
          <xdr:rowOff>66675</xdr:rowOff>
        </xdr:from>
        <xdr:to>
          <xdr:col>17</xdr:col>
          <xdr:colOff>276225</xdr:colOff>
          <xdr:row>1024</xdr:row>
          <xdr:rowOff>161925</xdr:rowOff>
        </xdr:to>
        <xdr:sp macro="" textlink="">
          <xdr:nvSpPr>
            <xdr:cNvPr id="3119" name="Object 47" hidden="1">
              <a:extLst>
                <a:ext uri="{63B3BB69-23CF-44E3-9099-C40C66FF867C}">
                  <a14:compatExt spid="_x0000_s3119"/>
                </a:ext>
                <a:ext uri="{FF2B5EF4-FFF2-40B4-BE49-F238E27FC236}">
                  <a16:creationId xmlns:a16="http://schemas.microsoft.com/office/drawing/2014/main" id="{00000000-0008-0000-0400-00002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1008</xdr:row>
          <xdr:rowOff>0</xdr:rowOff>
        </xdr:from>
        <xdr:to>
          <xdr:col>11</xdr:col>
          <xdr:colOff>238125</xdr:colOff>
          <xdr:row>1010</xdr:row>
          <xdr:rowOff>85725</xdr:rowOff>
        </xdr:to>
        <xdr:sp macro="" textlink="">
          <xdr:nvSpPr>
            <xdr:cNvPr id="3120" name="Object 48" hidden="1">
              <a:extLst>
                <a:ext uri="{63B3BB69-23CF-44E3-9099-C40C66FF867C}">
                  <a14:compatExt spid="_x0000_s3120"/>
                </a:ext>
                <a:ext uri="{FF2B5EF4-FFF2-40B4-BE49-F238E27FC236}">
                  <a16:creationId xmlns:a16="http://schemas.microsoft.com/office/drawing/2014/main" id="{00000000-0008-0000-0400-00003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1010</xdr:row>
          <xdr:rowOff>104775</xdr:rowOff>
        </xdr:from>
        <xdr:to>
          <xdr:col>12</xdr:col>
          <xdr:colOff>238125</xdr:colOff>
          <xdr:row>1013</xdr:row>
          <xdr:rowOff>0</xdr:rowOff>
        </xdr:to>
        <xdr:sp macro="" textlink="">
          <xdr:nvSpPr>
            <xdr:cNvPr id="3121" name="Object 49" hidden="1">
              <a:extLst>
                <a:ext uri="{63B3BB69-23CF-44E3-9099-C40C66FF867C}">
                  <a14:compatExt spid="_x0000_s3121"/>
                </a:ext>
                <a:ext uri="{FF2B5EF4-FFF2-40B4-BE49-F238E27FC236}">
                  <a16:creationId xmlns:a16="http://schemas.microsoft.com/office/drawing/2014/main" id="{00000000-0008-0000-0400-00003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1006</xdr:row>
          <xdr:rowOff>104775</xdr:rowOff>
        </xdr:from>
        <xdr:to>
          <xdr:col>3</xdr:col>
          <xdr:colOff>542925</xdr:colOff>
          <xdr:row>1007</xdr:row>
          <xdr:rowOff>180975</xdr:rowOff>
        </xdr:to>
        <xdr:sp macro="" textlink="">
          <xdr:nvSpPr>
            <xdr:cNvPr id="3122" name="Object 50" hidden="1">
              <a:extLst>
                <a:ext uri="{63B3BB69-23CF-44E3-9099-C40C66FF867C}">
                  <a14:compatExt spid="_x0000_s3122"/>
                </a:ext>
                <a:ext uri="{FF2B5EF4-FFF2-40B4-BE49-F238E27FC236}">
                  <a16:creationId xmlns:a16="http://schemas.microsoft.com/office/drawing/2014/main" id="{00000000-0008-0000-0400-000032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1024</xdr:row>
          <xdr:rowOff>180975</xdr:rowOff>
        </xdr:from>
        <xdr:to>
          <xdr:col>16</xdr:col>
          <xdr:colOff>0</xdr:colOff>
          <xdr:row>1026</xdr:row>
          <xdr:rowOff>142875</xdr:rowOff>
        </xdr:to>
        <xdr:sp macro="" textlink="">
          <xdr:nvSpPr>
            <xdr:cNvPr id="3124" name="Object 52" hidden="1">
              <a:extLst>
                <a:ext uri="{63B3BB69-23CF-44E3-9099-C40C66FF867C}">
                  <a14:compatExt spid="_x0000_s3124"/>
                </a:ext>
                <a:ext uri="{FF2B5EF4-FFF2-40B4-BE49-F238E27FC236}">
                  <a16:creationId xmlns:a16="http://schemas.microsoft.com/office/drawing/2014/main" id="{00000000-0008-0000-0400-00003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1013</xdr:row>
          <xdr:rowOff>28575</xdr:rowOff>
        </xdr:from>
        <xdr:to>
          <xdr:col>21</xdr:col>
          <xdr:colOff>28575</xdr:colOff>
          <xdr:row>1014</xdr:row>
          <xdr:rowOff>114300</xdr:rowOff>
        </xdr:to>
        <xdr:sp macro="" textlink="">
          <xdr:nvSpPr>
            <xdr:cNvPr id="3125" name="Object 53" hidden="1">
              <a:extLst>
                <a:ext uri="{63B3BB69-23CF-44E3-9099-C40C66FF867C}">
                  <a14:compatExt spid="_x0000_s3125"/>
                </a:ext>
                <a:ext uri="{FF2B5EF4-FFF2-40B4-BE49-F238E27FC236}">
                  <a16:creationId xmlns:a16="http://schemas.microsoft.com/office/drawing/2014/main" id="{00000000-0008-0000-0400-00003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1005</xdr:row>
          <xdr:rowOff>9525</xdr:rowOff>
        </xdr:from>
        <xdr:to>
          <xdr:col>10</xdr:col>
          <xdr:colOff>409575</xdr:colOff>
          <xdr:row>1006</xdr:row>
          <xdr:rowOff>85725</xdr:rowOff>
        </xdr:to>
        <xdr:sp macro="" textlink="">
          <xdr:nvSpPr>
            <xdr:cNvPr id="3127" name="Object 55" hidden="1">
              <a:extLst>
                <a:ext uri="{63B3BB69-23CF-44E3-9099-C40C66FF867C}">
                  <a14:compatExt spid="_x0000_s3127"/>
                </a:ext>
                <a:ext uri="{FF2B5EF4-FFF2-40B4-BE49-F238E27FC236}">
                  <a16:creationId xmlns:a16="http://schemas.microsoft.com/office/drawing/2014/main" id="{00000000-0008-0000-0400-00003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1013</xdr:row>
          <xdr:rowOff>9525</xdr:rowOff>
        </xdr:from>
        <xdr:to>
          <xdr:col>8</xdr:col>
          <xdr:colOff>190500</xdr:colOff>
          <xdr:row>1014</xdr:row>
          <xdr:rowOff>161925</xdr:rowOff>
        </xdr:to>
        <xdr:sp macro="" textlink="">
          <xdr:nvSpPr>
            <xdr:cNvPr id="3129" name="Object 57" hidden="1">
              <a:extLst>
                <a:ext uri="{63B3BB69-23CF-44E3-9099-C40C66FF867C}">
                  <a14:compatExt spid="_x0000_s3129"/>
                </a:ext>
                <a:ext uri="{FF2B5EF4-FFF2-40B4-BE49-F238E27FC236}">
                  <a16:creationId xmlns:a16="http://schemas.microsoft.com/office/drawing/2014/main" id="{00000000-0008-0000-0400-00003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9525</xdr:colOff>
          <xdr:row>1018</xdr:row>
          <xdr:rowOff>47625</xdr:rowOff>
        </xdr:from>
        <xdr:to>
          <xdr:col>24</xdr:col>
          <xdr:colOff>1076325</xdr:colOff>
          <xdr:row>1019</xdr:row>
          <xdr:rowOff>142875</xdr:rowOff>
        </xdr:to>
        <xdr:sp macro="" textlink="">
          <xdr:nvSpPr>
            <xdr:cNvPr id="3131" name="Object 59" hidden="1">
              <a:extLst>
                <a:ext uri="{63B3BB69-23CF-44E3-9099-C40C66FF867C}">
                  <a14:compatExt spid="_x0000_s3131"/>
                </a:ext>
                <a:ext uri="{FF2B5EF4-FFF2-40B4-BE49-F238E27FC236}">
                  <a16:creationId xmlns:a16="http://schemas.microsoft.com/office/drawing/2014/main" id="{00000000-0008-0000-0400-00003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1019</xdr:row>
          <xdr:rowOff>142875</xdr:rowOff>
        </xdr:from>
        <xdr:to>
          <xdr:col>20</xdr:col>
          <xdr:colOff>581025</xdr:colOff>
          <xdr:row>1022</xdr:row>
          <xdr:rowOff>47625</xdr:rowOff>
        </xdr:to>
        <xdr:sp macro="" textlink="">
          <xdr:nvSpPr>
            <xdr:cNvPr id="3134" name="Object 62" hidden="1">
              <a:extLst>
                <a:ext uri="{63B3BB69-23CF-44E3-9099-C40C66FF867C}">
                  <a14:compatExt spid="_x0000_s3134"/>
                </a:ext>
                <a:ext uri="{FF2B5EF4-FFF2-40B4-BE49-F238E27FC236}">
                  <a16:creationId xmlns:a16="http://schemas.microsoft.com/office/drawing/2014/main" id="{00000000-0008-0000-0400-00003E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1018</xdr:row>
          <xdr:rowOff>47625</xdr:rowOff>
        </xdr:from>
        <xdr:to>
          <xdr:col>19</xdr:col>
          <xdr:colOff>180975</xdr:colOff>
          <xdr:row>1019</xdr:row>
          <xdr:rowOff>142875</xdr:rowOff>
        </xdr:to>
        <xdr:sp macro="" textlink="">
          <xdr:nvSpPr>
            <xdr:cNvPr id="3135" name="Object 63" hidden="1">
              <a:extLst>
                <a:ext uri="{63B3BB69-23CF-44E3-9099-C40C66FF867C}">
                  <a14:compatExt spid="_x0000_s3135"/>
                </a:ext>
                <a:ext uri="{FF2B5EF4-FFF2-40B4-BE49-F238E27FC236}">
                  <a16:creationId xmlns:a16="http://schemas.microsoft.com/office/drawing/2014/main" id="{00000000-0008-0000-0400-00003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1007</xdr:row>
          <xdr:rowOff>123825</xdr:rowOff>
        </xdr:from>
        <xdr:to>
          <xdr:col>37</xdr:col>
          <xdr:colOff>276225</xdr:colOff>
          <xdr:row>1010</xdr:row>
          <xdr:rowOff>76200</xdr:rowOff>
        </xdr:to>
        <xdr:sp macro="" textlink="">
          <xdr:nvSpPr>
            <xdr:cNvPr id="3141" name="Object 69" hidden="1">
              <a:extLst>
                <a:ext uri="{63B3BB69-23CF-44E3-9099-C40C66FF867C}">
                  <a14:compatExt spid="_x0000_s3141"/>
                </a:ext>
                <a:ext uri="{FF2B5EF4-FFF2-40B4-BE49-F238E27FC236}">
                  <a16:creationId xmlns:a16="http://schemas.microsoft.com/office/drawing/2014/main" id="{00000000-0008-0000-0400-00004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1010</xdr:row>
          <xdr:rowOff>85725</xdr:rowOff>
        </xdr:from>
        <xdr:to>
          <xdr:col>35</xdr:col>
          <xdr:colOff>723900</xdr:colOff>
          <xdr:row>1013</xdr:row>
          <xdr:rowOff>47625</xdr:rowOff>
        </xdr:to>
        <xdr:sp macro="" textlink="">
          <xdr:nvSpPr>
            <xdr:cNvPr id="3142" name="Object 70" hidden="1">
              <a:extLst>
                <a:ext uri="{63B3BB69-23CF-44E3-9099-C40C66FF867C}">
                  <a14:compatExt spid="_x0000_s3142"/>
                </a:ext>
                <a:ext uri="{FF2B5EF4-FFF2-40B4-BE49-F238E27FC236}">
                  <a16:creationId xmlns:a16="http://schemas.microsoft.com/office/drawing/2014/main" id="{00000000-0008-0000-0400-00004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1035</xdr:row>
          <xdr:rowOff>28575</xdr:rowOff>
        </xdr:from>
        <xdr:to>
          <xdr:col>11</xdr:col>
          <xdr:colOff>561975</xdr:colOff>
          <xdr:row>1038</xdr:row>
          <xdr:rowOff>28575</xdr:rowOff>
        </xdr:to>
        <xdr:sp macro="" textlink="">
          <xdr:nvSpPr>
            <xdr:cNvPr id="3157" name="Object 85" hidden="1">
              <a:extLst>
                <a:ext uri="{63B3BB69-23CF-44E3-9099-C40C66FF867C}">
                  <a14:compatExt spid="_x0000_s3157"/>
                </a:ext>
                <a:ext uri="{FF2B5EF4-FFF2-40B4-BE49-F238E27FC236}">
                  <a16:creationId xmlns:a16="http://schemas.microsoft.com/office/drawing/2014/main" id="{00000000-0008-0000-0400-00005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1040</xdr:row>
          <xdr:rowOff>28575</xdr:rowOff>
        </xdr:from>
        <xdr:to>
          <xdr:col>12</xdr:col>
          <xdr:colOff>28575</xdr:colOff>
          <xdr:row>1043</xdr:row>
          <xdr:rowOff>28575</xdr:rowOff>
        </xdr:to>
        <xdr:sp macro="" textlink="">
          <xdr:nvSpPr>
            <xdr:cNvPr id="3158" name="Object 86" hidden="1">
              <a:extLst>
                <a:ext uri="{63B3BB69-23CF-44E3-9099-C40C66FF867C}">
                  <a14:compatExt spid="_x0000_s3158"/>
                </a:ext>
                <a:ext uri="{FF2B5EF4-FFF2-40B4-BE49-F238E27FC236}">
                  <a16:creationId xmlns:a16="http://schemas.microsoft.com/office/drawing/2014/main" id="{00000000-0008-0000-0400-00005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1014</xdr:row>
          <xdr:rowOff>123825</xdr:rowOff>
        </xdr:from>
        <xdr:to>
          <xdr:col>20</xdr:col>
          <xdr:colOff>333375</xdr:colOff>
          <xdr:row>1016</xdr:row>
          <xdr:rowOff>9525</xdr:rowOff>
        </xdr:to>
        <xdr:sp macro="" textlink="">
          <xdr:nvSpPr>
            <xdr:cNvPr id="3161" name="Object 89" hidden="1">
              <a:extLst>
                <a:ext uri="{63B3BB69-23CF-44E3-9099-C40C66FF867C}">
                  <a14:compatExt spid="_x0000_s3161"/>
                </a:ext>
                <a:ext uri="{FF2B5EF4-FFF2-40B4-BE49-F238E27FC236}">
                  <a16:creationId xmlns:a16="http://schemas.microsoft.com/office/drawing/2014/main" id="{00000000-0008-0000-0400-00005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1007</xdr:row>
          <xdr:rowOff>114300</xdr:rowOff>
        </xdr:from>
        <xdr:to>
          <xdr:col>32</xdr:col>
          <xdr:colOff>161925</xdr:colOff>
          <xdr:row>1010</xdr:row>
          <xdr:rowOff>85725</xdr:rowOff>
        </xdr:to>
        <xdr:sp macro="" textlink="">
          <xdr:nvSpPr>
            <xdr:cNvPr id="3162" name="Object 90" hidden="1">
              <a:extLst>
                <a:ext uri="{63B3BB69-23CF-44E3-9099-C40C66FF867C}">
                  <a14:compatExt spid="_x0000_s3162"/>
                </a:ext>
                <a:ext uri="{FF2B5EF4-FFF2-40B4-BE49-F238E27FC236}">
                  <a16:creationId xmlns:a16="http://schemas.microsoft.com/office/drawing/2014/main" id="{00000000-0008-0000-0400-00005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1055</xdr:row>
          <xdr:rowOff>28575</xdr:rowOff>
        </xdr:from>
        <xdr:to>
          <xdr:col>12</xdr:col>
          <xdr:colOff>333375</xdr:colOff>
          <xdr:row>1058</xdr:row>
          <xdr:rowOff>47625</xdr:rowOff>
        </xdr:to>
        <xdr:sp macro="" textlink="">
          <xdr:nvSpPr>
            <xdr:cNvPr id="3167" name="Object 95" hidden="1">
              <a:extLst>
                <a:ext uri="{63B3BB69-23CF-44E3-9099-C40C66FF867C}">
                  <a14:compatExt spid="_x0000_s3167"/>
                </a:ext>
                <a:ext uri="{FF2B5EF4-FFF2-40B4-BE49-F238E27FC236}">
                  <a16:creationId xmlns:a16="http://schemas.microsoft.com/office/drawing/2014/main" id="{00000000-0008-0000-0400-00005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1060</xdr:row>
          <xdr:rowOff>28575</xdr:rowOff>
        </xdr:from>
        <xdr:to>
          <xdr:col>15</xdr:col>
          <xdr:colOff>47625</xdr:colOff>
          <xdr:row>1063</xdr:row>
          <xdr:rowOff>47625</xdr:rowOff>
        </xdr:to>
        <xdr:sp macro="" textlink="">
          <xdr:nvSpPr>
            <xdr:cNvPr id="3168" name="Object 96" hidden="1">
              <a:extLst>
                <a:ext uri="{63B3BB69-23CF-44E3-9099-C40C66FF867C}">
                  <a14:compatExt spid="_x0000_s3168"/>
                </a:ext>
                <a:ext uri="{FF2B5EF4-FFF2-40B4-BE49-F238E27FC236}">
                  <a16:creationId xmlns:a16="http://schemas.microsoft.com/office/drawing/2014/main" id="{00000000-0008-0000-0400-00006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1065</xdr:row>
          <xdr:rowOff>28575</xdr:rowOff>
        </xdr:from>
        <xdr:to>
          <xdr:col>16</xdr:col>
          <xdr:colOff>676275</xdr:colOff>
          <xdr:row>1068</xdr:row>
          <xdr:rowOff>47625</xdr:rowOff>
        </xdr:to>
        <xdr:sp macro="" textlink="">
          <xdr:nvSpPr>
            <xdr:cNvPr id="3169" name="Object 97" hidden="1">
              <a:extLst>
                <a:ext uri="{63B3BB69-23CF-44E3-9099-C40C66FF867C}">
                  <a14:compatExt spid="_x0000_s3169"/>
                </a:ext>
                <a:ext uri="{FF2B5EF4-FFF2-40B4-BE49-F238E27FC236}">
                  <a16:creationId xmlns:a16="http://schemas.microsoft.com/office/drawing/2014/main" id="{00000000-0008-0000-0400-00006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1045</xdr:row>
          <xdr:rowOff>28575</xdr:rowOff>
        </xdr:from>
        <xdr:to>
          <xdr:col>16</xdr:col>
          <xdr:colOff>104775</xdr:colOff>
          <xdr:row>1048</xdr:row>
          <xdr:rowOff>28575</xdr:rowOff>
        </xdr:to>
        <xdr:sp macro="" textlink="">
          <xdr:nvSpPr>
            <xdr:cNvPr id="3173" name="Object 101" hidden="1">
              <a:extLst>
                <a:ext uri="{63B3BB69-23CF-44E3-9099-C40C66FF867C}">
                  <a14:compatExt spid="_x0000_s3173"/>
                </a:ext>
                <a:ext uri="{FF2B5EF4-FFF2-40B4-BE49-F238E27FC236}">
                  <a16:creationId xmlns:a16="http://schemas.microsoft.com/office/drawing/2014/main" id="{00000000-0008-0000-0400-00006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1050</xdr:row>
          <xdr:rowOff>28575</xdr:rowOff>
        </xdr:from>
        <xdr:to>
          <xdr:col>16</xdr:col>
          <xdr:colOff>390525</xdr:colOff>
          <xdr:row>1053</xdr:row>
          <xdr:rowOff>47625</xdr:rowOff>
        </xdr:to>
        <xdr:sp macro="" textlink="">
          <xdr:nvSpPr>
            <xdr:cNvPr id="3174" name="Object 102" hidden="1">
              <a:extLst>
                <a:ext uri="{63B3BB69-23CF-44E3-9099-C40C66FF867C}">
                  <a14:compatExt spid="_x0000_s3174"/>
                </a:ext>
                <a:ext uri="{FF2B5EF4-FFF2-40B4-BE49-F238E27FC236}">
                  <a16:creationId xmlns:a16="http://schemas.microsoft.com/office/drawing/2014/main" id="{00000000-0008-0000-0400-00006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1070</xdr:row>
          <xdr:rowOff>28575</xdr:rowOff>
        </xdr:from>
        <xdr:to>
          <xdr:col>12</xdr:col>
          <xdr:colOff>409575</xdr:colOff>
          <xdr:row>1073</xdr:row>
          <xdr:rowOff>47625</xdr:rowOff>
        </xdr:to>
        <xdr:sp macro="" textlink="">
          <xdr:nvSpPr>
            <xdr:cNvPr id="3178" name="Object 106" hidden="1">
              <a:extLst>
                <a:ext uri="{63B3BB69-23CF-44E3-9099-C40C66FF867C}">
                  <a14:compatExt spid="_x0000_s3178"/>
                </a:ext>
                <a:ext uri="{FF2B5EF4-FFF2-40B4-BE49-F238E27FC236}">
                  <a16:creationId xmlns:a16="http://schemas.microsoft.com/office/drawing/2014/main" id="{00000000-0008-0000-0400-00006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1053</xdr:row>
          <xdr:rowOff>28575</xdr:rowOff>
        </xdr:from>
        <xdr:to>
          <xdr:col>32</xdr:col>
          <xdr:colOff>419100</xdr:colOff>
          <xdr:row>1056</xdr:row>
          <xdr:rowOff>28575</xdr:rowOff>
        </xdr:to>
        <xdr:sp macro="" textlink="">
          <xdr:nvSpPr>
            <xdr:cNvPr id="3188" name="Object 116" hidden="1">
              <a:extLst>
                <a:ext uri="{63B3BB69-23CF-44E3-9099-C40C66FF867C}">
                  <a14:compatExt spid="_x0000_s3188"/>
                </a:ext>
                <a:ext uri="{FF2B5EF4-FFF2-40B4-BE49-F238E27FC236}">
                  <a16:creationId xmlns:a16="http://schemas.microsoft.com/office/drawing/2014/main" id="{00000000-0008-0000-0400-00007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1022</xdr:row>
          <xdr:rowOff>47625</xdr:rowOff>
        </xdr:from>
        <xdr:to>
          <xdr:col>32</xdr:col>
          <xdr:colOff>266700</xdr:colOff>
          <xdr:row>1024</xdr:row>
          <xdr:rowOff>142875</xdr:rowOff>
        </xdr:to>
        <xdr:sp macro="" textlink="">
          <xdr:nvSpPr>
            <xdr:cNvPr id="3192" name="Object 120" hidden="1">
              <a:extLst>
                <a:ext uri="{63B3BB69-23CF-44E3-9099-C40C66FF867C}">
                  <a14:compatExt spid="_x0000_s3192"/>
                </a:ext>
                <a:ext uri="{FF2B5EF4-FFF2-40B4-BE49-F238E27FC236}">
                  <a16:creationId xmlns:a16="http://schemas.microsoft.com/office/drawing/2014/main" id="{00000000-0008-0000-0400-00007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1017</xdr:row>
          <xdr:rowOff>28575</xdr:rowOff>
        </xdr:from>
        <xdr:to>
          <xdr:col>36</xdr:col>
          <xdr:colOff>161925</xdr:colOff>
          <xdr:row>1020</xdr:row>
          <xdr:rowOff>28575</xdr:rowOff>
        </xdr:to>
        <xdr:sp macro="" textlink="">
          <xdr:nvSpPr>
            <xdr:cNvPr id="3220" name="Object 148" hidden="1">
              <a:extLst>
                <a:ext uri="{63B3BB69-23CF-44E3-9099-C40C66FF867C}">
                  <a14:compatExt spid="_x0000_s3220"/>
                </a:ext>
                <a:ext uri="{FF2B5EF4-FFF2-40B4-BE49-F238E27FC236}">
                  <a16:creationId xmlns:a16="http://schemas.microsoft.com/office/drawing/2014/main" id="{00000000-0008-0000-0400-00009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1014</xdr:row>
          <xdr:rowOff>0</xdr:rowOff>
        </xdr:from>
        <xdr:to>
          <xdr:col>36</xdr:col>
          <xdr:colOff>695325</xdr:colOff>
          <xdr:row>1017</xdr:row>
          <xdr:rowOff>0</xdr:rowOff>
        </xdr:to>
        <xdr:sp macro="" textlink="">
          <xdr:nvSpPr>
            <xdr:cNvPr id="3222" name="Object 150" hidden="1">
              <a:extLst>
                <a:ext uri="{63B3BB69-23CF-44E3-9099-C40C66FF867C}">
                  <a14:compatExt spid="_x0000_s3222"/>
                </a:ext>
                <a:ext uri="{FF2B5EF4-FFF2-40B4-BE49-F238E27FC236}">
                  <a16:creationId xmlns:a16="http://schemas.microsoft.com/office/drawing/2014/main" id="{00000000-0008-0000-0400-00009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1020</xdr:row>
          <xdr:rowOff>47625</xdr:rowOff>
        </xdr:from>
        <xdr:to>
          <xdr:col>35</xdr:col>
          <xdr:colOff>142875</xdr:colOff>
          <xdr:row>1023</xdr:row>
          <xdr:rowOff>47625</xdr:rowOff>
        </xdr:to>
        <xdr:sp macro="" textlink="">
          <xdr:nvSpPr>
            <xdr:cNvPr id="3223" name="Object 151" hidden="1">
              <a:extLst>
                <a:ext uri="{63B3BB69-23CF-44E3-9099-C40C66FF867C}">
                  <a14:compatExt spid="_x0000_s3223"/>
                </a:ext>
                <a:ext uri="{FF2B5EF4-FFF2-40B4-BE49-F238E27FC236}">
                  <a16:creationId xmlns:a16="http://schemas.microsoft.com/office/drawing/2014/main" id="{00000000-0008-0000-0400-00009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1023</xdr:row>
          <xdr:rowOff>66675</xdr:rowOff>
        </xdr:from>
        <xdr:to>
          <xdr:col>36</xdr:col>
          <xdr:colOff>47625</xdr:colOff>
          <xdr:row>1026</xdr:row>
          <xdr:rowOff>66675</xdr:rowOff>
        </xdr:to>
        <xdr:sp macro="" textlink="">
          <xdr:nvSpPr>
            <xdr:cNvPr id="3225" name="Object 153" hidden="1">
              <a:extLst>
                <a:ext uri="{63B3BB69-23CF-44E3-9099-C40C66FF867C}">
                  <a14:compatExt spid="_x0000_s3225"/>
                </a:ext>
                <a:ext uri="{FF2B5EF4-FFF2-40B4-BE49-F238E27FC236}">
                  <a16:creationId xmlns:a16="http://schemas.microsoft.com/office/drawing/2014/main" id="{00000000-0008-0000-0400-00009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1048</xdr:row>
          <xdr:rowOff>28575</xdr:rowOff>
        </xdr:from>
        <xdr:to>
          <xdr:col>34</xdr:col>
          <xdr:colOff>352425</xdr:colOff>
          <xdr:row>1051</xdr:row>
          <xdr:rowOff>85725</xdr:rowOff>
        </xdr:to>
        <xdr:sp macro="" textlink="">
          <xdr:nvSpPr>
            <xdr:cNvPr id="3281" name="Object 209" hidden="1">
              <a:extLst>
                <a:ext uri="{63B3BB69-23CF-44E3-9099-C40C66FF867C}">
                  <a14:compatExt spid="_x0000_s3281"/>
                </a:ext>
                <a:ext uri="{FF2B5EF4-FFF2-40B4-BE49-F238E27FC236}">
                  <a16:creationId xmlns:a16="http://schemas.microsoft.com/office/drawing/2014/main" id="{00000000-0008-0000-0400-0000D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984250</xdr:colOff>
      <xdr:row>4</xdr:row>
      <xdr:rowOff>152400</xdr:rowOff>
    </xdr:to>
    <xdr:pic>
      <xdr:nvPicPr>
        <xdr:cNvPr id="2604352" name="Picture 8" descr="logoplasci">
          <a:extLst>
            <a:ext uri="{FF2B5EF4-FFF2-40B4-BE49-F238E27FC236}">
              <a16:creationId xmlns:a16="http://schemas.microsoft.com/office/drawing/2014/main" id="{00000000-0008-0000-0500-000040BD27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2400" y="165100"/>
          <a:ext cx="984250" cy="635000"/>
        </a:xfrm>
        <a:prstGeom prst="rect">
          <a:avLst/>
        </a:prstGeom>
        <a:noFill/>
        <a:ln w="9525">
          <a:noFill/>
          <a:miter lim="800000"/>
          <a:headEnd/>
          <a:tailEnd/>
        </a:ln>
      </xdr:spPr>
    </xdr:pic>
    <xdr:clientData/>
  </xdr:twoCellAnchor>
  <xdr:twoCellAnchor>
    <xdr:from>
      <xdr:col>6</xdr:col>
      <xdr:colOff>450850</xdr:colOff>
      <xdr:row>0</xdr:row>
      <xdr:rowOff>120650</xdr:rowOff>
    </xdr:from>
    <xdr:to>
      <xdr:col>12</xdr:col>
      <xdr:colOff>450850</xdr:colOff>
      <xdr:row>18</xdr:row>
      <xdr:rowOff>25400</xdr:rowOff>
    </xdr:to>
    <xdr:graphicFrame macro="">
      <xdr:nvGraphicFramePr>
        <xdr:cNvPr id="2604353" name="Graphique 2">
          <a:extLst>
            <a:ext uri="{FF2B5EF4-FFF2-40B4-BE49-F238E27FC236}">
              <a16:creationId xmlns:a16="http://schemas.microsoft.com/office/drawing/2014/main" id="{00000000-0008-0000-0500-000041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450850</xdr:colOff>
      <xdr:row>18</xdr:row>
      <xdr:rowOff>25400</xdr:rowOff>
    </xdr:from>
    <xdr:to>
      <xdr:col>12</xdr:col>
      <xdr:colOff>450850</xdr:colOff>
      <xdr:row>36</xdr:row>
      <xdr:rowOff>19050</xdr:rowOff>
    </xdr:to>
    <xdr:graphicFrame macro="">
      <xdr:nvGraphicFramePr>
        <xdr:cNvPr id="2604354" name="Graphique 2">
          <a:extLst>
            <a:ext uri="{FF2B5EF4-FFF2-40B4-BE49-F238E27FC236}">
              <a16:creationId xmlns:a16="http://schemas.microsoft.com/office/drawing/2014/main" id="{00000000-0008-0000-0500-000042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12700</xdr:colOff>
      <xdr:row>18</xdr:row>
      <xdr:rowOff>25400</xdr:rowOff>
    </xdr:from>
    <xdr:to>
      <xdr:col>6</xdr:col>
      <xdr:colOff>450850</xdr:colOff>
      <xdr:row>36</xdr:row>
      <xdr:rowOff>19050</xdr:rowOff>
    </xdr:to>
    <xdr:graphicFrame macro="">
      <xdr:nvGraphicFramePr>
        <xdr:cNvPr id="2604355" name="Graphique 2">
          <a:extLst>
            <a:ext uri="{FF2B5EF4-FFF2-40B4-BE49-F238E27FC236}">
              <a16:creationId xmlns:a16="http://schemas.microsoft.com/office/drawing/2014/main" id="{00000000-0008-0000-0500-000043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xdr:from>
          <xdr:col>3</xdr:col>
          <xdr:colOff>657225</xdr:colOff>
          <xdr:row>9</xdr:row>
          <xdr:rowOff>200025</xdr:rowOff>
        </xdr:from>
        <xdr:to>
          <xdr:col>4</xdr:col>
          <xdr:colOff>0</xdr:colOff>
          <xdr:row>11</xdr:row>
          <xdr:rowOff>0</xdr:rowOff>
        </xdr:to>
        <xdr:sp macro="" textlink="">
          <xdr:nvSpPr>
            <xdr:cNvPr id="2604063" name="Spinner 31" hidden="1">
              <a:extLst>
                <a:ext uri="{63B3BB69-23CF-44E3-9099-C40C66FF867C}">
                  <a14:compatExt spid="_x0000_s2604063"/>
                </a:ext>
                <a:ext uri="{FF2B5EF4-FFF2-40B4-BE49-F238E27FC236}">
                  <a16:creationId xmlns:a16="http://schemas.microsoft.com/office/drawing/2014/main" id="{00000000-0008-0000-0500-00001F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390525</xdr:colOff>
          <xdr:row>70</xdr:row>
          <xdr:rowOff>28575</xdr:rowOff>
        </xdr:from>
        <xdr:to>
          <xdr:col>12</xdr:col>
          <xdr:colOff>904875</xdr:colOff>
          <xdr:row>87</xdr:row>
          <xdr:rowOff>9525</xdr:rowOff>
        </xdr:to>
        <xdr:sp macro="" textlink="">
          <xdr:nvSpPr>
            <xdr:cNvPr id="2604101" name="Object 69" hidden="1">
              <a:extLst>
                <a:ext uri="{63B3BB69-23CF-44E3-9099-C40C66FF867C}">
                  <a14:compatExt spid="_x0000_s2604101"/>
                </a:ext>
                <a:ext uri="{FF2B5EF4-FFF2-40B4-BE49-F238E27FC236}">
                  <a16:creationId xmlns:a16="http://schemas.microsoft.com/office/drawing/2014/main" id="{00000000-0008-0000-0500-000045BC27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657225</xdr:colOff>
          <xdr:row>11</xdr:row>
          <xdr:rowOff>0</xdr:rowOff>
        </xdr:from>
        <xdr:to>
          <xdr:col>4</xdr:col>
          <xdr:colOff>0</xdr:colOff>
          <xdr:row>12</xdr:row>
          <xdr:rowOff>0</xdr:rowOff>
        </xdr:to>
        <xdr:sp macro="" textlink="">
          <xdr:nvSpPr>
            <xdr:cNvPr id="2604202" name="Spinner 170" hidden="1">
              <a:extLst>
                <a:ext uri="{63B3BB69-23CF-44E3-9099-C40C66FF867C}">
                  <a14:compatExt spid="_x0000_s2604202"/>
                </a:ext>
                <a:ext uri="{FF2B5EF4-FFF2-40B4-BE49-F238E27FC236}">
                  <a16:creationId xmlns:a16="http://schemas.microsoft.com/office/drawing/2014/main" id="{00000000-0008-0000-0500-0000AA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69850</xdr:colOff>
      <xdr:row>33</xdr:row>
      <xdr:rowOff>25400</xdr:rowOff>
    </xdr:from>
    <xdr:to>
      <xdr:col>2</xdr:col>
      <xdr:colOff>20320</xdr:colOff>
      <xdr:row>44</xdr:row>
      <xdr:rowOff>19050</xdr:rowOff>
    </xdr:to>
    <xdr:pic>
      <xdr:nvPicPr>
        <xdr:cNvPr id="5938" name="Image 1">
          <a:extLst>
            <a:ext uri="{FF2B5EF4-FFF2-40B4-BE49-F238E27FC236}">
              <a16:creationId xmlns:a16="http://schemas.microsoft.com/office/drawing/2014/main" id="{00000000-0008-0000-0600-000032170000}"/>
            </a:ext>
          </a:extLst>
        </xdr:cNvPr>
        <xdr:cNvPicPr>
          <a:picLocks noChangeAspect="1"/>
        </xdr:cNvPicPr>
      </xdr:nvPicPr>
      <xdr:blipFill>
        <a:blip xmlns:r="http://schemas.openxmlformats.org/officeDocument/2006/relationships" r:embed="rId1" cstate="print"/>
        <a:srcRect/>
        <a:stretch>
          <a:fillRect/>
        </a:stretch>
      </xdr:blipFill>
      <xdr:spPr bwMode="auto">
        <a:xfrm>
          <a:off x="69850" y="5295900"/>
          <a:ext cx="1231900" cy="1739900"/>
        </a:xfrm>
        <a:prstGeom prst="rect">
          <a:avLst/>
        </a:prstGeom>
        <a:noFill/>
        <a:ln w="9525">
          <a:noFill/>
          <a:miter lim="800000"/>
          <a:headEnd/>
          <a:tailEnd/>
        </a:ln>
      </xdr:spPr>
    </xdr:pic>
    <xdr:clientData/>
  </xdr:twoCellAnchor>
  <xdr:twoCellAnchor editAs="oneCell">
    <xdr:from>
      <xdr:col>1</xdr:col>
      <xdr:colOff>1123950</xdr:colOff>
      <xdr:row>55</xdr:row>
      <xdr:rowOff>44450</xdr:rowOff>
    </xdr:from>
    <xdr:to>
      <xdr:col>10</xdr:col>
      <xdr:colOff>609600</xdr:colOff>
      <xdr:row>83</xdr:row>
      <xdr:rowOff>17780</xdr:rowOff>
    </xdr:to>
    <xdr:pic>
      <xdr:nvPicPr>
        <xdr:cNvPr id="5939" name="Image 2">
          <a:extLst>
            <a:ext uri="{FF2B5EF4-FFF2-40B4-BE49-F238E27FC236}">
              <a16:creationId xmlns:a16="http://schemas.microsoft.com/office/drawing/2014/main" id="{00000000-0008-0000-0600-000033170000}"/>
            </a:ext>
          </a:extLst>
        </xdr:cNvPr>
        <xdr:cNvPicPr>
          <a:picLocks noChangeAspect="1"/>
        </xdr:cNvPicPr>
      </xdr:nvPicPr>
      <xdr:blipFill>
        <a:blip xmlns:r="http://schemas.openxmlformats.org/officeDocument/2006/relationships" r:embed="rId2" cstate="print"/>
        <a:srcRect/>
        <a:stretch>
          <a:fillRect/>
        </a:stretch>
      </xdr:blipFill>
      <xdr:spPr bwMode="auto">
        <a:xfrm>
          <a:off x="1276350" y="8331200"/>
          <a:ext cx="7099300" cy="4425950"/>
        </a:xfrm>
        <a:prstGeom prst="rect">
          <a:avLst/>
        </a:prstGeom>
        <a:noFill/>
        <a:ln w="9525">
          <a:noFill/>
          <a:miter lim="800000"/>
          <a:headEnd/>
          <a:tailEnd/>
        </a:ln>
      </xdr:spPr>
    </xdr:pic>
    <xdr:clientData/>
  </xdr:twoCellAnchor>
  <xdr:twoCellAnchor editAs="oneCell">
    <xdr:from>
      <xdr:col>1</xdr:col>
      <xdr:colOff>0</xdr:colOff>
      <xdr:row>1</xdr:row>
      <xdr:rowOff>0</xdr:rowOff>
    </xdr:from>
    <xdr:to>
      <xdr:col>1</xdr:col>
      <xdr:colOff>980440</xdr:colOff>
      <xdr:row>4</xdr:row>
      <xdr:rowOff>152400</xdr:rowOff>
    </xdr:to>
    <xdr:pic>
      <xdr:nvPicPr>
        <xdr:cNvPr id="5940" name="Picture 8" descr="logoplasci">
          <a:extLst>
            <a:ext uri="{FF2B5EF4-FFF2-40B4-BE49-F238E27FC236}">
              <a16:creationId xmlns:a16="http://schemas.microsoft.com/office/drawing/2014/main" id="{00000000-0008-0000-0600-00003417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69850</xdr:colOff>
      <xdr:row>80</xdr:row>
      <xdr:rowOff>12700</xdr:rowOff>
    </xdr:from>
    <xdr:to>
      <xdr:col>8</xdr:col>
      <xdr:colOff>0</xdr:colOff>
      <xdr:row>102</xdr:row>
      <xdr:rowOff>107950</xdr:rowOff>
    </xdr:to>
    <xdr:grpSp>
      <xdr:nvGrpSpPr>
        <xdr:cNvPr id="5501606" name="Group 232">
          <a:extLst>
            <a:ext uri="{FF2B5EF4-FFF2-40B4-BE49-F238E27FC236}">
              <a16:creationId xmlns:a16="http://schemas.microsoft.com/office/drawing/2014/main" id="{00000000-0008-0000-0700-0000A6F25300}"/>
            </a:ext>
          </a:extLst>
        </xdr:cNvPr>
        <xdr:cNvGrpSpPr>
          <a:grpSpLocks/>
        </xdr:cNvGrpSpPr>
      </xdr:nvGrpSpPr>
      <xdr:grpSpPr bwMode="auto">
        <a:xfrm>
          <a:off x="4137025" y="13214350"/>
          <a:ext cx="2159000" cy="3752850"/>
          <a:chOff x="3421" y="5379"/>
          <a:chExt cx="2289" cy="5759"/>
        </a:xfrm>
      </xdr:grpSpPr>
      <xdr:grpSp>
        <xdr:nvGrpSpPr>
          <xdr:cNvPr id="5501710" name="Group 233">
            <a:extLst>
              <a:ext uri="{FF2B5EF4-FFF2-40B4-BE49-F238E27FC236}">
                <a16:creationId xmlns:a16="http://schemas.microsoft.com/office/drawing/2014/main" id="{00000000-0008-0000-0700-00000EF35300}"/>
              </a:ext>
            </a:extLst>
          </xdr:cNvPr>
          <xdr:cNvGrpSpPr>
            <a:grpSpLocks/>
          </xdr:cNvGrpSpPr>
        </xdr:nvGrpSpPr>
        <xdr:grpSpPr bwMode="auto">
          <a:xfrm>
            <a:off x="4047" y="5379"/>
            <a:ext cx="515" cy="4096"/>
            <a:chOff x="4047" y="5379"/>
            <a:chExt cx="515" cy="4096"/>
          </a:xfrm>
        </xdr:grpSpPr>
        <xdr:sp macro="" textlink="">
          <xdr:nvSpPr>
            <xdr:cNvPr id="5501728" name="Arc 234">
              <a:extLst>
                <a:ext uri="{FF2B5EF4-FFF2-40B4-BE49-F238E27FC236}">
                  <a16:creationId xmlns:a16="http://schemas.microsoft.com/office/drawing/2014/main" id="{00000000-0008-0000-0700-00002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9" name="Group 235">
              <a:extLst>
                <a:ext uri="{FF2B5EF4-FFF2-40B4-BE49-F238E27FC236}">
                  <a16:creationId xmlns:a16="http://schemas.microsoft.com/office/drawing/2014/main" id="{00000000-0008-0000-0700-000021F35300}"/>
                </a:ext>
              </a:extLst>
            </xdr:cNvPr>
            <xdr:cNvGrpSpPr>
              <a:grpSpLocks/>
            </xdr:cNvGrpSpPr>
          </xdr:nvGrpSpPr>
          <xdr:grpSpPr bwMode="auto">
            <a:xfrm>
              <a:off x="4047" y="6306"/>
              <a:ext cx="285" cy="3169"/>
              <a:chOff x="4050" y="6306"/>
              <a:chExt cx="285" cy="3169"/>
            </a:xfrm>
          </xdr:grpSpPr>
          <xdr:sp macro="" textlink="">
            <xdr:nvSpPr>
              <xdr:cNvPr id="5501730" name="Line 236">
                <a:extLst>
                  <a:ext uri="{FF2B5EF4-FFF2-40B4-BE49-F238E27FC236}">
                    <a16:creationId xmlns:a16="http://schemas.microsoft.com/office/drawing/2014/main" id="{00000000-0008-0000-0700-00002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31" name="Line 237">
                <a:extLst>
                  <a:ext uri="{FF2B5EF4-FFF2-40B4-BE49-F238E27FC236}">
                    <a16:creationId xmlns:a16="http://schemas.microsoft.com/office/drawing/2014/main" id="{00000000-0008-0000-0700-00002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32" name="Line 238">
                <a:extLst>
                  <a:ext uri="{FF2B5EF4-FFF2-40B4-BE49-F238E27FC236}">
                    <a16:creationId xmlns:a16="http://schemas.microsoft.com/office/drawing/2014/main" id="{00000000-0008-0000-0700-00002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33" name="Line 239">
                <a:extLst>
                  <a:ext uri="{FF2B5EF4-FFF2-40B4-BE49-F238E27FC236}">
                    <a16:creationId xmlns:a16="http://schemas.microsoft.com/office/drawing/2014/main" id="{00000000-0008-0000-0700-00002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34" name="Line 240">
                <a:extLst>
                  <a:ext uri="{FF2B5EF4-FFF2-40B4-BE49-F238E27FC236}">
                    <a16:creationId xmlns:a16="http://schemas.microsoft.com/office/drawing/2014/main" id="{00000000-0008-0000-0700-00002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711" name="Group 241">
            <a:extLst>
              <a:ext uri="{FF2B5EF4-FFF2-40B4-BE49-F238E27FC236}">
                <a16:creationId xmlns:a16="http://schemas.microsoft.com/office/drawing/2014/main" id="{00000000-0008-0000-0700-00000FF35300}"/>
              </a:ext>
            </a:extLst>
          </xdr:cNvPr>
          <xdr:cNvGrpSpPr>
            <a:grpSpLocks/>
          </xdr:cNvGrpSpPr>
        </xdr:nvGrpSpPr>
        <xdr:grpSpPr bwMode="auto">
          <a:xfrm flipH="1">
            <a:off x="4560" y="5379"/>
            <a:ext cx="515" cy="4096"/>
            <a:chOff x="4047" y="5379"/>
            <a:chExt cx="515" cy="4096"/>
          </a:xfrm>
        </xdr:grpSpPr>
        <xdr:sp macro="" textlink="">
          <xdr:nvSpPr>
            <xdr:cNvPr id="5501721" name="Arc 242">
              <a:extLst>
                <a:ext uri="{FF2B5EF4-FFF2-40B4-BE49-F238E27FC236}">
                  <a16:creationId xmlns:a16="http://schemas.microsoft.com/office/drawing/2014/main" id="{00000000-0008-0000-0700-000019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2" name="Group 243">
              <a:extLst>
                <a:ext uri="{FF2B5EF4-FFF2-40B4-BE49-F238E27FC236}">
                  <a16:creationId xmlns:a16="http://schemas.microsoft.com/office/drawing/2014/main" id="{00000000-0008-0000-0700-00001AF35300}"/>
                </a:ext>
              </a:extLst>
            </xdr:cNvPr>
            <xdr:cNvGrpSpPr>
              <a:grpSpLocks/>
            </xdr:cNvGrpSpPr>
          </xdr:nvGrpSpPr>
          <xdr:grpSpPr bwMode="auto">
            <a:xfrm>
              <a:off x="4047" y="6306"/>
              <a:ext cx="285" cy="3169"/>
              <a:chOff x="4050" y="6306"/>
              <a:chExt cx="285" cy="3169"/>
            </a:xfrm>
          </xdr:grpSpPr>
          <xdr:sp macro="" textlink="">
            <xdr:nvSpPr>
              <xdr:cNvPr id="5501723" name="Line 244">
                <a:extLst>
                  <a:ext uri="{FF2B5EF4-FFF2-40B4-BE49-F238E27FC236}">
                    <a16:creationId xmlns:a16="http://schemas.microsoft.com/office/drawing/2014/main" id="{00000000-0008-0000-0700-00001B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24" name="Line 245">
                <a:extLst>
                  <a:ext uri="{FF2B5EF4-FFF2-40B4-BE49-F238E27FC236}">
                    <a16:creationId xmlns:a16="http://schemas.microsoft.com/office/drawing/2014/main" id="{00000000-0008-0000-0700-00001C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25" name="Line 246">
                <a:extLst>
                  <a:ext uri="{FF2B5EF4-FFF2-40B4-BE49-F238E27FC236}">
                    <a16:creationId xmlns:a16="http://schemas.microsoft.com/office/drawing/2014/main" id="{00000000-0008-0000-0700-00001D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26" name="Line 247">
                <a:extLst>
                  <a:ext uri="{FF2B5EF4-FFF2-40B4-BE49-F238E27FC236}">
                    <a16:creationId xmlns:a16="http://schemas.microsoft.com/office/drawing/2014/main" id="{00000000-0008-0000-0700-00001E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27" name="Line 248">
                <a:extLst>
                  <a:ext uri="{FF2B5EF4-FFF2-40B4-BE49-F238E27FC236}">
                    <a16:creationId xmlns:a16="http://schemas.microsoft.com/office/drawing/2014/main" id="{00000000-0008-0000-0700-00001F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712" name="Line 249">
            <a:extLst>
              <a:ext uri="{FF2B5EF4-FFF2-40B4-BE49-F238E27FC236}">
                <a16:creationId xmlns:a16="http://schemas.microsoft.com/office/drawing/2014/main" id="{00000000-0008-0000-0700-000010F3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713" name="Line 250">
            <a:extLst>
              <a:ext uri="{FF2B5EF4-FFF2-40B4-BE49-F238E27FC236}">
                <a16:creationId xmlns:a16="http://schemas.microsoft.com/office/drawing/2014/main" id="{00000000-0008-0000-0700-000011F3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714" name="Line 251">
            <a:extLst>
              <a:ext uri="{FF2B5EF4-FFF2-40B4-BE49-F238E27FC236}">
                <a16:creationId xmlns:a16="http://schemas.microsoft.com/office/drawing/2014/main" id="{00000000-0008-0000-0700-000012F3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715" name="Line 252">
            <a:extLst>
              <a:ext uri="{FF2B5EF4-FFF2-40B4-BE49-F238E27FC236}">
                <a16:creationId xmlns:a16="http://schemas.microsoft.com/office/drawing/2014/main" id="{00000000-0008-0000-0700-000013F3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716" name="Line 253">
            <a:extLst>
              <a:ext uri="{FF2B5EF4-FFF2-40B4-BE49-F238E27FC236}">
                <a16:creationId xmlns:a16="http://schemas.microsoft.com/office/drawing/2014/main" id="{00000000-0008-0000-0700-000014F3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717" name="Line 254">
            <a:extLst>
              <a:ext uri="{FF2B5EF4-FFF2-40B4-BE49-F238E27FC236}">
                <a16:creationId xmlns:a16="http://schemas.microsoft.com/office/drawing/2014/main" id="{00000000-0008-0000-0700-000015F3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718" name="Line 255">
            <a:extLst>
              <a:ext uri="{FF2B5EF4-FFF2-40B4-BE49-F238E27FC236}">
                <a16:creationId xmlns:a16="http://schemas.microsoft.com/office/drawing/2014/main" id="{00000000-0008-0000-0700-000016F3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719" name="Line 256">
            <a:extLst>
              <a:ext uri="{FF2B5EF4-FFF2-40B4-BE49-F238E27FC236}">
                <a16:creationId xmlns:a16="http://schemas.microsoft.com/office/drawing/2014/main" id="{00000000-0008-0000-0700-000017F3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720" name="Line 257">
            <a:extLst>
              <a:ext uri="{FF2B5EF4-FFF2-40B4-BE49-F238E27FC236}">
                <a16:creationId xmlns:a16="http://schemas.microsoft.com/office/drawing/2014/main" id="{00000000-0008-0000-0700-000018F3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6</xdr:col>
      <xdr:colOff>825500</xdr:colOff>
      <xdr:row>84</xdr:row>
      <xdr:rowOff>101600</xdr:rowOff>
    </xdr:from>
    <xdr:to>
      <xdr:col>6</xdr:col>
      <xdr:colOff>1543050</xdr:colOff>
      <xdr:row>84</xdr:row>
      <xdr:rowOff>101600</xdr:rowOff>
    </xdr:to>
    <xdr:sp macro="" textlink="">
      <xdr:nvSpPr>
        <xdr:cNvPr id="5501607" name="Line 268">
          <a:extLst>
            <a:ext uri="{FF2B5EF4-FFF2-40B4-BE49-F238E27FC236}">
              <a16:creationId xmlns:a16="http://schemas.microsoft.com/office/drawing/2014/main" id="{00000000-0008-0000-0700-0000A7F25300}"/>
            </a:ext>
          </a:extLst>
        </xdr:cNvPr>
        <xdr:cNvSpPr>
          <a:spLocks noChangeShapeType="1"/>
        </xdr:cNvSpPr>
      </xdr:nvSpPr>
      <xdr:spPr bwMode="auto">
        <a:xfrm flipV="1">
          <a:off x="5105400" y="14128750"/>
          <a:ext cx="717550" cy="0"/>
        </a:xfrm>
        <a:prstGeom prst="line">
          <a:avLst/>
        </a:prstGeom>
        <a:noFill/>
        <a:ln w="6350">
          <a:solidFill>
            <a:srgbClr val="000000"/>
          </a:solidFill>
          <a:round/>
          <a:headEnd type="triangle" w="sm" len="lg"/>
          <a:tailEnd type="triangle" w="sm" len="lg"/>
        </a:ln>
      </xdr:spPr>
    </xdr:sp>
    <xdr:clientData/>
  </xdr:twoCellAnchor>
  <xdr:twoCellAnchor>
    <xdr:from>
      <xdr:col>6</xdr:col>
      <xdr:colOff>152400</xdr:colOff>
      <xdr:row>80</xdr:row>
      <xdr:rowOff>0</xdr:rowOff>
    </xdr:from>
    <xdr:to>
      <xdr:col>8</xdr:col>
      <xdr:colOff>654050</xdr:colOff>
      <xdr:row>80</xdr:row>
      <xdr:rowOff>0</xdr:rowOff>
    </xdr:to>
    <xdr:sp macro="" textlink="">
      <xdr:nvSpPr>
        <xdr:cNvPr id="5501608" name="Line 269">
          <a:extLst>
            <a:ext uri="{FF2B5EF4-FFF2-40B4-BE49-F238E27FC236}">
              <a16:creationId xmlns:a16="http://schemas.microsoft.com/office/drawing/2014/main" id="{00000000-0008-0000-0700-0000A8F25300}"/>
            </a:ext>
          </a:extLst>
        </xdr:cNvPr>
        <xdr:cNvSpPr>
          <a:spLocks noChangeShapeType="1"/>
        </xdr:cNvSpPr>
      </xdr:nvSpPr>
      <xdr:spPr bwMode="auto">
        <a:xfrm flipV="1">
          <a:off x="4432300" y="13354050"/>
          <a:ext cx="2647950" cy="0"/>
        </a:xfrm>
        <a:prstGeom prst="line">
          <a:avLst/>
        </a:prstGeom>
        <a:noFill/>
        <a:ln w="6350">
          <a:solidFill>
            <a:srgbClr val="000000"/>
          </a:solidFill>
          <a:round/>
          <a:headEnd/>
          <a:tailEnd/>
        </a:ln>
      </xdr:spPr>
    </xdr:sp>
    <xdr:clientData/>
  </xdr:twoCellAnchor>
  <xdr:twoCellAnchor>
    <xdr:from>
      <xdr:col>8</xdr:col>
      <xdr:colOff>228600</xdr:colOff>
      <xdr:row>80</xdr:row>
      <xdr:rowOff>12700</xdr:rowOff>
    </xdr:from>
    <xdr:to>
      <xdr:col>8</xdr:col>
      <xdr:colOff>228600</xdr:colOff>
      <xdr:row>93</xdr:row>
      <xdr:rowOff>82550</xdr:rowOff>
    </xdr:to>
    <xdr:sp macro="" textlink="">
      <xdr:nvSpPr>
        <xdr:cNvPr id="5501609" name="Line 270">
          <a:extLst>
            <a:ext uri="{FF2B5EF4-FFF2-40B4-BE49-F238E27FC236}">
              <a16:creationId xmlns:a16="http://schemas.microsoft.com/office/drawing/2014/main" id="{00000000-0008-0000-0700-0000A9F25300}"/>
            </a:ext>
          </a:extLst>
        </xdr:cNvPr>
        <xdr:cNvSpPr>
          <a:spLocks noChangeShapeType="1"/>
        </xdr:cNvSpPr>
      </xdr:nvSpPr>
      <xdr:spPr bwMode="auto">
        <a:xfrm>
          <a:off x="6838950" y="13366750"/>
          <a:ext cx="0" cy="2209800"/>
        </a:xfrm>
        <a:prstGeom prst="line">
          <a:avLst/>
        </a:prstGeom>
        <a:noFill/>
        <a:ln w="6350">
          <a:solidFill>
            <a:srgbClr val="000000"/>
          </a:solidFill>
          <a:round/>
          <a:headEnd type="triangle" w="sm" len="lg"/>
          <a:tailEnd type="triangle" w="sm" len="lg"/>
        </a:ln>
      </xdr:spPr>
    </xdr:sp>
    <xdr:clientData/>
  </xdr:twoCellAnchor>
  <xdr:twoCellAnchor>
    <xdr:from>
      <xdr:col>6</xdr:col>
      <xdr:colOff>139700</xdr:colOff>
      <xdr:row>83</xdr:row>
      <xdr:rowOff>50800</xdr:rowOff>
    </xdr:from>
    <xdr:to>
      <xdr:col>6</xdr:col>
      <xdr:colOff>838200</xdr:colOff>
      <xdr:row>83</xdr:row>
      <xdr:rowOff>50800</xdr:rowOff>
    </xdr:to>
    <xdr:sp macro="" textlink="">
      <xdr:nvSpPr>
        <xdr:cNvPr id="5501610" name="Line 271">
          <a:extLst>
            <a:ext uri="{FF2B5EF4-FFF2-40B4-BE49-F238E27FC236}">
              <a16:creationId xmlns:a16="http://schemas.microsoft.com/office/drawing/2014/main" id="{00000000-0008-0000-0700-0000AAF25300}"/>
            </a:ext>
          </a:extLst>
        </xdr:cNvPr>
        <xdr:cNvSpPr>
          <a:spLocks noChangeShapeType="1"/>
        </xdr:cNvSpPr>
      </xdr:nvSpPr>
      <xdr:spPr bwMode="auto">
        <a:xfrm>
          <a:off x="4419600" y="13912850"/>
          <a:ext cx="698500" cy="0"/>
        </a:xfrm>
        <a:prstGeom prst="line">
          <a:avLst/>
        </a:prstGeom>
        <a:noFill/>
        <a:ln w="6350">
          <a:solidFill>
            <a:srgbClr val="000000"/>
          </a:solidFill>
          <a:round/>
          <a:headEnd/>
          <a:tailEnd/>
        </a:ln>
      </xdr:spPr>
    </xdr:sp>
    <xdr:clientData/>
  </xdr:twoCellAnchor>
  <xdr:twoCellAnchor>
    <xdr:from>
      <xdr:col>6</xdr:col>
      <xdr:colOff>152400</xdr:colOff>
      <xdr:row>80</xdr:row>
      <xdr:rowOff>0</xdr:rowOff>
    </xdr:from>
    <xdr:to>
      <xdr:col>6</xdr:col>
      <xdr:colOff>152400</xdr:colOff>
      <xdr:row>83</xdr:row>
      <xdr:rowOff>50800</xdr:rowOff>
    </xdr:to>
    <xdr:sp macro="" textlink="">
      <xdr:nvSpPr>
        <xdr:cNvPr id="5501611" name="Line 272">
          <a:extLst>
            <a:ext uri="{FF2B5EF4-FFF2-40B4-BE49-F238E27FC236}">
              <a16:creationId xmlns:a16="http://schemas.microsoft.com/office/drawing/2014/main" id="{00000000-0008-0000-0700-0000ABF25300}"/>
            </a:ext>
          </a:extLst>
        </xdr:cNvPr>
        <xdr:cNvSpPr>
          <a:spLocks noChangeShapeType="1"/>
        </xdr:cNvSpPr>
      </xdr:nvSpPr>
      <xdr:spPr bwMode="auto">
        <a:xfrm>
          <a:off x="4432300" y="13354050"/>
          <a:ext cx="0" cy="558800"/>
        </a:xfrm>
        <a:prstGeom prst="line">
          <a:avLst/>
        </a:prstGeom>
        <a:noFill/>
        <a:ln w="6350">
          <a:solidFill>
            <a:srgbClr val="000000"/>
          </a:solidFill>
          <a:round/>
          <a:headEnd type="triangle" w="sm" len="lg"/>
          <a:tailEnd type="triangle" w="sm" len="lg"/>
        </a:ln>
      </xdr:spPr>
    </xdr:sp>
    <xdr:clientData/>
  </xdr:twoCellAnchor>
  <xdr:twoCellAnchor>
    <xdr:from>
      <xdr:col>7</xdr:col>
      <xdr:colOff>787400</xdr:colOff>
      <xdr:row>102</xdr:row>
      <xdr:rowOff>95250</xdr:rowOff>
    </xdr:from>
    <xdr:to>
      <xdr:col>8</xdr:col>
      <xdr:colOff>552450</xdr:colOff>
      <xdr:row>102</xdr:row>
      <xdr:rowOff>95250</xdr:rowOff>
    </xdr:to>
    <xdr:sp macro="" textlink="">
      <xdr:nvSpPr>
        <xdr:cNvPr id="5501612" name="Line 277">
          <a:extLst>
            <a:ext uri="{FF2B5EF4-FFF2-40B4-BE49-F238E27FC236}">
              <a16:creationId xmlns:a16="http://schemas.microsoft.com/office/drawing/2014/main" id="{00000000-0008-0000-0700-0000ACF25300}"/>
            </a:ext>
          </a:extLst>
        </xdr:cNvPr>
        <xdr:cNvSpPr>
          <a:spLocks noChangeShapeType="1"/>
        </xdr:cNvSpPr>
      </xdr:nvSpPr>
      <xdr:spPr bwMode="auto">
        <a:xfrm>
          <a:off x="6610350" y="17068800"/>
          <a:ext cx="469900" cy="0"/>
        </a:xfrm>
        <a:prstGeom prst="line">
          <a:avLst/>
        </a:prstGeom>
        <a:noFill/>
        <a:ln w="6350">
          <a:solidFill>
            <a:srgbClr val="000000"/>
          </a:solidFill>
          <a:round/>
          <a:headEnd/>
          <a:tailEnd/>
        </a:ln>
      </xdr:spPr>
    </xdr:sp>
    <xdr:clientData/>
  </xdr:twoCellAnchor>
  <xdr:twoCellAnchor>
    <xdr:from>
      <xdr:col>8</xdr:col>
      <xdr:colOff>12700</xdr:colOff>
      <xdr:row>98</xdr:row>
      <xdr:rowOff>133350</xdr:rowOff>
    </xdr:from>
    <xdr:to>
      <xdr:col>8</xdr:col>
      <xdr:colOff>469900</xdr:colOff>
      <xdr:row>98</xdr:row>
      <xdr:rowOff>133350</xdr:rowOff>
    </xdr:to>
    <xdr:sp macro="" textlink="">
      <xdr:nvSpPr>
        <xdr:cNvPr id="5501613" name="Line 278">
          <a:extLst>
            <a:ext uri="{FF2B5EF4-FFF2-40B4-BE49-F238E27FC236}">
              <a16:creationId xmlns:a16="http://schemas.microsoft.com/office/drawing/2014/main" id="{00000000-0008-0000-0700-0000ADF25300}"/>
            </a:ext>
          </a:extLst>
        </xdr:cNvPr>
        <xdr:cNvSpPr>
          <a:spLocks noChangeShapeType="1"/>
        </xdr:cNvSpPr>
      </xdr:nvSpPr>
      <xdr:spPr bwMode="auto">
        <a:xfrm>
          <a:off x="6623050" y="16440150"/>
          <a:ext cx="4572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8</xdr:col>
      <xdr:colOff>552450</xdr:colOff>
      <xdr:row>93</xdr:row>
      <xdr:rowOff>76200</xdr:rowOff>
    </xdr:to>
    <xdr:sp macro="" textlink="">
      <xdr:nvSpPr>
        <xdr:cNvPr id="5501614" name="Line 279">
          <a:extLst>
            <a:ext uri="{FF2B5EF4-FFF2-40B4-BE49-F238E27FC236}">
              <a16:creationId xmlns:a16="http://schemas.microsoft.com/office/drawing/2014/main" id="{00000000-0008-0000-0700-0000AEF25300}"/>
            </a:ext>
          </a:extLst>
        </xdr:cNvPr>
        <xdr:cNvSpPr>
          <a:spLocks noChangeShapeType="1"/>
        </xdr:cNvSpPr>
      </xdr:nvSpPr>
      <xdr:spPr bwMode="auto">
        <a:xfrm flipV="1">
          <a:off x="4756150" y="15570200"/>
          <a:ext cx="2324100" cy="0"/>
        </a:xfrm>
        <a:prstGeom prst="line">
          <a:avLst/>
        </a:prstGeom>
        <a:noFill/>
        <a:ln w="6350">
          <a:solidFill>
            <a:srgbClr val="000000"/>
          </a:solidFill>
          <a:round/>
          <a:headEnd/>
          <a:tailEnd/>
        </a:ln>
      </xdr:spPr>
    </xdr:sp>
    <xdr:clientData/>
  </xdr:twoCellAnchor>
  <xdr:twoCellAnchor>
    <xdr:from>
      <xdr:col>6</xdr:col>
      <xdr:colOff>476250</xdr:colOff>
      <xdr:row>99</xdr:row>
      <xdr:rowOff>152400</xdr:rowOff>
    </xdr:from>
    <xdr:to>
      <xdr:col>6</xdr:col>
      <xdr:colOff>1428750</xdr:colOff>
      <xdr:row>99</xdr:row>
      <xdr:rowOff>152400</xdr:rowOff>
    </xdr:to>
    <xdr:sp macro="" textlink="">
      <xdr:nvSpPr>
        <xdr:cNvPr id="5501615" name="Line 280">
          <a:extLst>
            <a:ext uri="{FF2B5EF4-FFF2-40B4-BE49-F238E27FC236}">
              <a16:creationId xmlns:a16="http://schemas.microsoft.com/office/drawing/2014/main" id="{00000000-0008-0000-0700-0000AFF25300}"/>
            </a:ext>
          </a:extLst>
        </xdr:cNvPr>
        <xdr:cNvSpPr>
          <a:spLocks noChangeShapeType="1"/>
        </xdr:cNvSpPr>
      </xdr:nvSpPr>
      <xdr:spPr bwMode="auto">
        <a:xfrm flipV="1">
          <a:off x="4756150" y="16617950"/>
          <a:ext cx="9525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6</xdr:col>
      <xdr:colOff>476250</xdr:colOff>
      <xdr:row>100</xdr:row>
      <xdr:rowOff>0</xdr:rowOff>
    </xdr:to>
    <xdr:sp macro="" textlink="">
      <xdr:nvSpPr>
        <xdr:cNvPr id="5501616" name="Line 281">
          <a:extLst>
            <a:ext uri="{FF2B5EF4-FFF2-40B4-BE49-F238E27FC236}">
              <a16:creationId xmlns:a16="http://schemas.microsoft.com/office/drawing/2014/main" id="{00000000-0008-0000-0700-0000B0F25300}"/>
            </a:ext>
          </a:extLst>
        </xdr:cNvPr>
        <xdr:cNvSpPr>
          <a:spLocks noChangeShapeType="1"/>
        </xdr:cNvSpPr>
      </xdr:nvSpPr>
      <xdr:spPr bwMode="auto">
        <a:xfrm>
          <a:off x="4756150" y="15570200"/>
          <a:ext cx="0" cy="106680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98</xdr:row>
      <xdr:rowOff>133350</xdr:rowOff>
    </xdr:from>
    <xdr:to>
      <xdr:col>8</xdr:col>
      <xdr:colOff>488950</xdr:colOff>
      <xdr:row>102</xdr:row>
      <xdr:rowOff>95250</xdr:rowOff>
    </xdr:to>
    <xdr:sp macro="" textlink="">
      <xdr:nvSpPr>
        <xdr:cNvPr id="5501617" name="Line 282">
          <a:extLst>
            <a:ext uri="{FF2B5EF4-FFF2-40B4-BE49-F238E27FC236}">
              <a16:creationId xmlns:a16="http://schemas.microsoft.com/office/drawing/2014/main" id="{00000000-0008-0000-0700-0000B1F25300}"/>
            </a:ext>
          </a:extLst>
        </xdr:cNvPr>
        <xdr:cNvSpPr>
          <a:spLocks noChangeShapeType="1"/>
        </xdr:cNvSpPr>
      </xdr:nvSpPr>
      <xdr:spPr bwMode="auto">
        <a:xfrm>
          <a:off x="7080250" y="16440150"/>
          <a:ext cx="0" cy="62865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93</xdr:row>
      <xdr:rowOff>63500</xdr:rowOff>
    </xdr:from>
    <xdr:to>
      <xdr:col>8</xdr:col>
      <xdr:colOff>488950</xdr:colOff>
      <xdr:row>98</xdr:row>
      <xdr:rowOff>133350</xdr:rowOff>
    </xdr:to>
    <xdr:sp macro="" textlink="">
      <xdr:nvSpPr>
        <xdr:cNvPr id="5501618" name="Line 283">
          <a:extLst>
            <a:ext uri="{FF2B5EF4-FFF2-40B4-BE49-F238E27FC236}">
              <a16:creationId xmlns:a16="http://schemas.microsoft.com/office/drawing/2014/main" id="{00000000-0008-0000-0700-0000B2F25300}"/>
            </a:ext>
          </a:extLst>
        </xdr:cNvPr>
        <xdr:cNvSpPr>
          <a:spLocks noChangeShapeType="1"/>
        </xdr:cNvSpPr>
      </xdr:nvSpPr>
      <xdr:spPr bwMode="auto">
        <a:xfrm>
          <a:off x="7080250" y="15557500"/>
          <a:ext cx="0" cy="882650"/>
        </a:xfrm>
        <a:prstGeom prst="line">
          <a:avLst/>
        </a:prstGeom>
        <a:noFill/>
        <a:ln w="6350">
          <a:solidFill>
            <a:srgbClr val="000000"/>
          </a:solidFill>
          <a:round/>
          <a:headEnd type="triangle" w="sm" len="lg"/>
          <a:tailEnd type="triangle" w="sm" len="lg"/>
        </a:ln>
      </xdr:spPr>
    </xdr:sp>
    <xdr:clientData/>
  </xdr:twoCellAnchor>
  <xdr:twoCellAnchor>
    <xdr:from>
      <xdr:col>8</xdr:col>
      <xdr:colOff>0</xdr:colOff>
      <xdr:row>102</xdr:row>
      <xdr:rowOff>95250</xdr:rowOff>
    </xdr:from>
    <xdr:to>
      <xdr:col>8</xdr:col>
      <xdr:colOff>0</xdr:colOff>
      <xdr:row>103</xdr:row>
      <xdr:rowOff>0</xdr:rowOff>
    </xdr:to>
    <xdr:sp macro="" textlink="">
      <xdr:nvSpPr>
        <xdr:cNvPr id="5501619" name="Line 284">
          <a:extLst>
            <a:ext uri="{FF2B5EF4-FFF2-40B4-BE49-F238E27FC236}">
              <a16:creationId xmlns:a16="http://schemas.microsoft.com/office/drawing/2014/main" id="{00000000-0008-0000-0700-0000B3F25300}"/>
            </a:ext>
          </a:extLst>
        </xdr:cNvPr>
        <xdr:cNvSpPr>
          <a:spLocks noChangeShapeType="1"/>
        </xdr:cNvSpPr>
      </xdr:nvSpPr>
      <xdr:spPr bwMode="auto">
        <a:xfrm flipV="1">
          <a:off x="6610350" y="17068800"/>
          <a:ext cx="0" cy="69850"/>
        </a:xfrm>
        <a:prstGeom prst="line">
          <a:avLst/>
        </a:prstGeom>
        <a:noFill/>
        <a:ln w="6350">
          <a:solidFill>
            <a:srgbClr val="000000"/>
          </a:solidFill>
          <a:round/>
          <a:headEnd/>
          <a:tailEnd/>
        </a:ln>
      </xdr:spPr>
    </xdr:sp>
    <xdr:clientData/>
  </xdr:twoCellAnchor>
  <xdr:twoCellAnchor>
    <xdr:from>
      <xdr:col>6</xdr:col>
      <xdr:colOff>1428750</xdr:colOff>
      <xdr:row>99</xdr:row>
      <xdr:rowOff>139700</xdr:rowOff>
    </xdr:from>
    <xdr:to>
      <xdr:col>6</xdr:col>
      <xdr:colOff>1428750</xdr:colOff>
      <xdr:row>103</xdr:row>
      <xdr:rowOff>0</xdr:rowOff>
    </xdr:to>
    <xdr:sp macro="" textlink="">
      <xdr:nvSpPr>
        <xdr:cNvPr id="5501620" name="Line 285">
          <a:extLst>
            <a:ext uri="{FF2B5EF4-FFF2-40B4-BE49-F238E27FC236}">
              <a16:creationId xmlns:a16="http://schemas.microsoft.com/office/drawing/2014/main" id="{00000000-0008-0000-0700-0000B4F25300}"/>
            </a:ext>
          </a:extLst>
        </xdr:cNvPr>
        <xdr:cNvSpPr>
          <a:spLocks noChangeShapeType="1"/>
        </xdr:cNvSpPr>
      </xdr:nvSpPr>
      <xdr:spPr bwMode="auto">
        <a:xfrm flipH="1" flipV="1">
          <a:off x="5708650" y="16605250"/>
          <a:ext cx="0" cy="533400"/>
        </a:xfrm>
        <a:prstGeom prst="line">
          <a:avLst/>
        </a:prstGeom>
        <a:noFill/>
        <a:ln w="6350">
          <a:solidFill>
            <a:srgbClr val="000000"/>
          </a:solidFill>
          <a:round/>
          <a:headEnd/>
          <a:tailEnd/>
        </a:ln>
      </xdr:spPr>
    </xdr:sp>
    <xdr:clientData/>
  </xdr:twoCellAnchor>
  <xdr:twoCellAnchor>
    <xdr:from>
      <xdr:col>6</xdr:col>
      <xdr:colOff>1422400</xdr:colOff>
      <xdr:row>103</xdr:row>
      <xdr:rowOff>0</xdr:rowOff>
    </xdr:from>
    <xdr:to>
      <xdr:col>8</xdr:col>
      <xdr:colOff>0</xdr:colOff>
      <xdr:row>103</xdr:row>
      <xdr:rowOff>0</xdr:rowOff>
    </xdr:to>
    <xdr:sp macro="" textlink="">
      <xdr:nvSpPr>
        <xdr:cNvPr id="5501621" name="Line 286">
          <a:extLst>
            <a:ext uri="{FF2B5EF4-FFF2-40B4-BE49-F238E27FC236}">
              <a16:creationId xmlns:a16="http://schemas.microsoft.com/office/drawing/2014/main" id="{00000000-0008-0000-0700-0000B5F25300}"/>
            </a:ext>
          </a:extLst>
        </xdr:cNvPr>
        <xdr:cNvSpPr>
          <a:spLocks noChangeShapeType="1"/>
        </xdr:cNvSpPr>
      </xdr:nvSpPr>
      <xdr:spPr bwMode="auto">
        <a:xfrm>
          <a:off x="5702300" y="17138650"/>
          <a:ext cx="908050" cy="0"/>
        </a:xfrm>
        <a:prstGeom prst="line">
          <a:avLst/>
        </a:prstGeom>
        <a:noFill/>
        <a:ln w="6350">
          <a:solidFill>
            <a:srgbClr val="000000"/>
          </a:solidFill>
          <a:round/>
          <a:headEnd type="triangle" w="sm" len="lg"/>
          <a:tailEnd type="triangle" w="sm" len="lg"/>
        </a:ln>
      </xdr:spPr>
    </xdr:sp>
    <xdr:clientData/>
  </xdr:twoCellAnchor>
  <xdr:twoCellAnchor>
    <xdr:from>
      <xdr:col>6</xdr:col>
      <xdr:colOff>685800</xdr:colOff>
      <xdr:row>89</xdr:row>
      <xdr:rowOff>69850</xdr:rowOff>
    </xdr:from>
    <xdr:to>
      <xdr:col>6</xdr:col>
      <xdr:colOff>1695450</xdr:colOff>
      <xdr:row>89</xdr:row>
      <xdr:rowOff>69850</xdr:rowOff>
    </xdr:to>
    <xdr:sp macro="" textlink="">
      <xdr:nvSpPr>
        <xdr:cNvPr id="5501622" name="Line 287">
          <a:extLst>
            <a:ext uri="{FF2B5EF4-FFF2-40B4-BE49-F238E27FC236}">
              <a16:creationId xmlns:a16="http://schemas.microsoft.com/office/drawing/2014/main" id="{00000000-0008-0000-0700-0000B6F25300}"/>
            </a:ext>
          </a:extLst>
        </xdr:cNvPr>
        <xdr:cNvSpPr>
          <a:spLocks noChangeShapeType="1"/>
        </xdr:cNvSpPr>
      </xdr:nvSpPr>
      <xdr:spPr bwMode="auto">
        <a:xfrm>
          <a:off x="4965700" y="14916150"/>
          <a:ext cx="100965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990600</xdr:colOff>
      <xdr:row>93</xdr:row>
      <xdr:rowOff>25400</xdr:rowOff>
    </xdr:from>
    <xdr:to>
      <xdr:col>6</xdr:col>
      <xdr:colOff>1397000</xdr:colOff>
      <xdr:row>93</xdr:row>
      <xdr:rowOff>25400</xdr:rowOff>
    </xdr:to>
    <xdr:sp macro="" textlink="">
      <xdr:nvSpPr>
        <xdr:cNvPr id="5501623" name="Line 288">
          <a:extLst>
            <a:ext uri="{FF2B5EF4-FFF2-40B4-BE49-F238E27FC236}">
              <a16:creationId xmlns:a16="http://schemas.microsoft.com/office/drawing/2014/main" id="{00000000-0008-0000-0700-0000B7F25300}"/>
            </a:ext>
          </a:extLst>
        </xdr:cNvPr>
        <xdr:cNvSpPr>
          <a:spLocks noChangeShapeType="1"/>
        </xdr:cNvSpPr>
      </xdr:nvSpPr>
      <xdr:spPr bwMode="auto">
        <a:xfrm>
          <a:off x="5270500" y="15519400"/>
          <a:ext cx="40640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850900</xdr:colOff>
      <xdr:row>87</xdr:row>
      <xdr:rowOff>57150</xdr:rowOff>
    </xdr:from>
    <xdr:to>
      <xdr:col>8</xdr:col>
      <xdr:colOff>44450</xdr:colOff>
      <xdr:row>87</xdr:row>
      <xdr:rowOff>57150</xdr:rowOff>
    </xdr:to>
    <xdr:sp macro="" textlink="">
      <xdr:nvSpPr>
        <xdr:cNvPr id="5501624" name="Line 289">
          <a:extLst>
            <a:ext uri="{FF2B5EF4-FFF2-40B4-BE49-F238E27FC236}">
              <a16:creationId xmlns:a16="http://schemas.microsoft.com/office/drawing/2014/main" id="{00000000-0008-0000-0700-0000B8F25300}"/>
            </a:ext>
          </a:extLst>
        </xdr:cNvPr>
        <xdr:cNvSpPr>
          <a:spLocks noChangeShapeType="1"/>
        </xdr:cNvSpPr>
      </xdr:nvSpPr>
      <xdr:spPr bwMode="auto">
        <a:xfrm>
          <a:off x="5130800" y="14579600"/>
          <a:ext cx="1524000" cy="0"/>
        </a:xfrm>
        <a:prstGeom prst="line">
          <a:avLst/>
        </a:prstGeom>
        <a:noFill/>
        <a:ln w="6350">
          <a:solidFill>
            <a:srgbClr val="92D050"/>
          </a:solidFill>
          <a:round/>
          <a:headEnd/>
          <a:tailEnd/>
        </a:ln>
      </xdr:spPr>
    </xdr:sp>
    <xdr:clientData/>
  </xdr:twoCellAnchor>
  <xdr:twoCellAnchor>
    <xdr:from>
      <xdr:col>6</xdr:col>
      <xdr:colOff>698500</xdr:colOff>
      <xdr:row>88</xdr:row>
      <xdr:rowOff>57150</xdr:rowOff>
    </xdr:from>
    <xdr:to>
      <xdr:col>8</xdr:col>
      <xdr:colOff>57150</xdr:colOff>
      <xdr:row>88</xdr:row>
      <xdr:rowOff>57150</xdr:rowOff>
    </xdr:to>
    <xdr:sp macro="" textlink="">
      <xdr:nvSpPr>
        <xdr:cNvPr id="5501625" name="Line 290">
          <a:extLst>
            <a:ext uri="{FF2B5EF4-FFF2-40B4-BE49-F238E27FC236}">
              <a16:creationId xmlns:a16="http://schemas.microsoft.com/office/drawing/2014/main" id="{00000000-0008-0000-0700-0000B9F25300}"/>
            </a:ext>
          </a:extLst>
        </xdr:cNvPr>
        <xdr:cNvSpPr>
          <a:spLocks noChangeShapeType="1"/>
        </xdr:cNvSpPr>
      </xdr:nvSpPr>
      <xdr:spPr bwMode="auto">
        <a:xfrm>
          <a:off x="4978400" y="14738350"/>
          <a:ext cx="1689100" cy="0"/>
        </a:xfrm>
        <a:prstGeom prst="line">
          <a:avLst/>
        </a:prstGeom>
        <a:noFill/>
        <a:ln w="6350">
          <a:solidFill>
            <a:srgbClr val="92D050"/>
          </a:solidFill>
          <a:round/>
          <a:headEnd/>
          <a:tailEnd/>
        </a:ln>
      </xdr:spPr>
    </xdr:sp>
    <xdr:clientData/>
  </xdr:twoCellAnchor>
  <xdr:twoCellAnchor>
    <xdr:from>
      <xdr:col>6</xdr:col>
      <xdr:colOff>698500</xdr:colOff>
      <xdr:row>90</xdr:row>
      <xdr:rowOff>139700</xdr:rowOff>
    </xdr:from>
    <xdr:to>
      <xdr:col>8</xdr:col>
      <xdr:colOff>69850</xdr:colOff>
      <xdr:row>90</xdr:row>
      <xdr:rowOff>139700</xdr:rowOff>
    </xdr:to>
    <xdr:sp macro="" textlink="">
      <xdr:nvSpPr>
        <xdr:cNvPr id="5501626" name="Line 291">
          <a:extLst>
            <a:ext uri="{FF2B5EF4-FFF2-40B4-BE49-F238E27FC236}">
              <a16:creationId xmlns:a16="http://schemas.microsoft.com/office/drawing/2014/main" id="{00000000-0008-0000-0700-0000BAF25300}"/>
            </a:ext>
          </a:extLst>
        </xdr:cNvPr>
        <xdr:cNvSpPr>
          <a:spLocks noChangeShapeType="1"/>
        </xdr:cNvSpPr>
      </xdr:nvSpPr>
      <xdr:spPr bwMode="auto">
        <a:xfrm>
          <a:off x="4978400" y="15157450"/>
          <a:ext cx="1701800" cy="0"/>
        </a:xfrm>
        <a:prstGeom prst="line">
          <a:avLst/>
        </a:prstGeom>
        <a:noFill/>
        <a:ln w="6350">
          <a:solidFill>
            <a:srgbClr val="92D050"/>
          </a:solidFill>
          <a:round/>
          <a:headEnd/>
          <a:tailEnd/>
        </a:ln>
      </xdr:spPr>
    </xdr:sp>
    <xdr:clientData/>
  </xdr:twoCellAnchor>
  <xdr:twoCellAnchor>
    <xdr:from>
      <xdr:col>6</xdr:col>
      <xdr:colOff>977900</xdr:colOff>
      <xdr:row>92</xdr:row>
      <xdr:rowOff>44450</xdr:rowOff>
    </xdr:from>
    <xdr:to>
      <xdr:col>8</xdr:col>
      <xdr:colOff>44450</xdr:colOff>
      <xdr:row>92</xdr:row>
      <xdr:rowOff>44450</xdr:rowOff>
    </xdr:to>
    <xdr:sp macro="" textlink="">
      <xdr:nvSpPr>
        <xdr:cNvPr id="5501627" name="Line 292">
          <a:extLst>
            <a:ext uri="{FF2B5EF4-FFF2-40B4-BE49-F238E27FC236}">
              <a16:creationId xmlns:a16="http://schemas.microsoft.com/office/drawing/2014/main" id="{00000000-0008-0000-0700-0000BBF25300}"/>
            </a:ext>
          </a:extLst>
        </xdr:cNvPr>
        <xdr:cNvSpPr>
          <a:spLocks noChangeShapeType="1"/>
        </xdr:cNvSpPr>
      </xdr:nvSpPr>
      <xdr:spPr bwMode="auto">
        <a:xfrm>
          <a:off x="5257800" y="15379700"/>
          <a:ext cx="1397000" cy="0"/>
        </a:xfrm>
        <a:prstGeom prst="line">
          <a:avLst/>
        </a:prstGeom>
        <a:noFill/>
        <a:ln w="6350">
          <a:solidFill>
            <a:srgbClr val="92D050"/>
          </a:solidFill>
          <a:round/>
          <a:headEnd/>
          <a:tailEnd/>
        </a:ln>
      </xdr:spPr>
    </xdr:sp>
    <xdr:clientData/>
  </xdr:twoCellAnchor>
  <xdr:twoCellAnchor>
    <xdr:from>
      <xdr:col>6</xdr:col>
      <xdr:colOff>1790700</xdr:colOff>
      <xdr:row>80</xdr:row>
      <xdr:rowOff>0</xdr:rowOff>
    </xdr:from>
    <xdr:to>
      <xdr:col>6</xdr:col>
      <xdr:colOff>1790700</xdr:colOff>
      <xdr:row>87</xdr:row>
      <xdr:rowOff>63500</xdr:rowOff>
    </xdr:to>
    <xdr:sp macro="" textlink="">
      <xdr:nvSpPr>
        <xdr:cNvPr id="5501628" name="Line 293">
          <a:extLst>
            <a:ext uri="{FF2B5EF4-FFF2-40B4-BE49-F238E27FC236}">
              <a16:creationId xmlns:a16="http://schemas.microsoft.com/office/drawing/2014/main" id="{00000000-0008-0000-0700-0000BCF25300}"/>
            </a:ext>
          </a:extLst>
        </xdr:cNvPr>
        <xdr:cNvSpPr>
          <a:spLocks noChangeShapeType="1"/>
        </xdr:cNvSpPr>
      </xdr:nvSpPr>
      <xdr:spPr bwMode="auto">
        <a:xfrm>
          <a:off x="6070600" y="13354050"/>
          <a:ext cx="0" cy="1231900"/>
        </a:xfrm>
        <a:prstGeom prst="line">
          <a:avLst/>
        </a:prstGeom>
        <a:noFill/>
        <a:ln w="9525">
          <a:solidFill>
            <a:srgbClr val="92D050"/>
          </a:solidFill>
          <a:prstDash val="sysDot"/>
          <a:round/>
          <a:headEnd type="triangle" w="sm" len="sm"/>
          <a:tailEnd type="triangle" w="sm" len="sm"/>
        </a:ln>
      </xdr:spPr>
    </xdr:sp>
    <xdr:clientData/>
  </xdr:twoCellAnchor>
  <xdr:twoCellAnchor>
    <xdr:from>
      <xdr:col>7</xdr:col>
      <xdr:colOff>190500</xdr:colOff>
      <xdr:row>80</xdr:row>
      <xdr:rowOff>0</xdr:rowOff>
    </xdr:from>
    <xdr:to>
      <xdr:col>7</xdr:col>
      <xdr:colOff>190500</xdr:colOff>
      <xdr:row>90</xdr:row>
      <xdr:rowOff>133350</xdr:rowOff>
    </xdr:to>
    <xdr:sp macro="" textlink="">
      <xdr:nvSpPr>
        <xdr:cNvPr id="5501629" name="Line 294">
          <a:extLst>
            <a:ext uri="{FF2B5EF4-FFF2-40B4-BE49-F238E27FC236}">
              <a16:creationId xmlns:a16="http://schemas.microsoft.com/office/drawing/2014/main" id="{00000000-0008-0000-0700-0000BDF25300}"/>
            </a:ext>
          </a:extLst>
        </xdr:cNvPr>
        <xdr:cNvSpPr>
          <a:spLocks noChangeShapeType="1"/>
        </xdr:cNvSpPr>
      </xdr:nvSpPr>
      <xdr:spPr bwMode="auto">
        <a:xfrm>
          <a:off x="6330950" y="13354050"/>
          <a:ext cx="0" cy="1797050"/>
        </a:xfrm>
        <a:prstGeom prst="line">
          <a:avLst/>
        </a:prstGeom>
        <a:noFill/>
        <a:ln w="9525">
          <a:solidFill>
            <a:srgbClr val="92D050"/>
          </a:solidFill>
          <a:prstDash val="sysDot"/>
          <a:round/>
          <a:headEnd type="triangle" w="sm" len="sm"/>
          <a:tailEnd type="triangle" w="sm" len="sm"/>
        </a:ln>
      </xdr:spPr>
    </xdr:sp>
    <xdr:clientData/>
  </xdr:twoCellAnchor>
  <xdr:twoCellAnchor>
    <xdr:from>
      <xdr:col>8</xdr:col>
      <xdr:colOff>44450</xdr:colOff>
      <xdr:row>87</xdr:row>
      <xdr:rowOff>57150</xdr:rowOff>
    </xdr:from>
    <xdr:to>
      <xdr:col>8</xdr:col>
      <xdr:colOff>44450</xdr:colOff>
      <xdr:row>88</xdr:row>
      <xdr:rowOff>57150</xdr:rowOff>
    </xdr:to>
    <xdr:sp macro="" textlink="">
      <xdr:nvSpPr>
        <xdr:cNvPr id="5501630" name="Line 295">
          <a:extLst>
            <a:ext uri="{FF2B5EF4-FFF2-40B4-BE49-F238E27FC236}">
              <a16:creationId xmlns:a16="http://schemas.microsoft.com/office/drawing/2014/main" id="{00000000-0008-0000-0700-0000BEF25300}"/>
            </a:ext>
          </a:extLst>
        </xdr:cNvPr>
        <xdr:cNvSpPr>
          <a:spLocks noChangeShapeType="1"/>
        </xdr:cNvSpPr>
      </xdr:nvSpPr>
      <xdr:spPr bwMode="auto">
        <a:xfrm>
          <a:off x="6654800" y="14579600"/>
          <a:ext cx="0" cy="158750"/>
        </a:xfrm>
        <a:prstGeom prst="line">
          <a:avLst/>
        </a:prstGeom>
        <a:noFill/>
        <a:ln w="3175">
          <a:solidFill>
            <a:srgbClr val="92D050"/>
          </a:solidFill>
          <a:prstDash val="sysDot"/>
          <a:round/>
          <a:headEnd type="triangle" w="sm" len="sm"/>
          <a:tailEnd type="triangle" w="sm" len="sm"/>
        </a:ln>
      </xdr:spPr>
    </xdr:sp>
    <xdr:clientData/>
  </xdr:twoCellAnchor>
  <xdr:twoCellAnchor>
    <xdr:from>
      <xdr:col>8</xdr:col>
      <xdr:colOff>44450</xdr:colOff>
      <xdr:row>90</xdr:row>
      <xdr:rowOff>139700</xdr:rowOff>
    </xdr:from>
    <xdr:to>
      <xdr:col>8</xdr:col>
      <xdr:colOff>44450</xdr:colOff>
      <xdr:row>92</xdr:row>
      <xdr:rowOff>44450</xdr:rowOff>
    </xdr:to>
    <xdr:sp macro="" textlink="">
      <xdr:nvSpPr>
        <xdr:cNvPr id="5501631" name="Line 296">
          <a:extLst>
            <a:ext uri="{FF2B5EF4-FFF2-40B4-BE49-F238E27FC236}">
              <a16:creationId xmlns:a16="http://schemas.microsoft.com/office/drawing/2014/main" id="{00000000-0008-0000-0700-0000BFF25300}"/>
            </a:ext>
          </a:extLst>
        </xdr:cNvPr>
        <xdr:cNvSpPr>
          <a:spLocks noChangeShapeType="1"/>
        </xdr:cNvSpPr>
      </xdr:nvSpPr>
      <xdr:spPr bwMode="auto">
        <a:xfrm>
          <a:off x="6654800" y="15157450"/>
          <a:ext cx="0" cy="222250"/>
        </a:xfrm>
        <a:prstGeom prst="line">
          <a:avLst/>
        </a:prstGeom>
        <a:noFill/>
        <a:ln w="9525">
          <a:solidFill>
            <a:srgbClr val="92D050"/>
          </a:solidFill>
          <a:prstDash val="sysDot"/>
          <a:round/>
          <a:headEnd type="triangle" w="sm" len="sm"/>
          <a:tailEnd type="triangle" w="sm" len="sm"/>
        </a:ln>
      </xdr:spPr>
    </xdr:sp>
    <xdr:clientData/>
  </xdr:twoCellAnchor>
  <xdr:twoCellAnchor>
    <xdr:from>
      <xdr:col>6</xdr:col>
      <xdr:colOff>0</xdr:colOff>
      <xdr:row>84</xdr:row>
      <xdr:rowOff>101600</xdr:rowOff>
    </xdr:from>
    <xdr:to>
      <xdr:col>6</xdr:col>
      <xdr:colOff>838200</xdr:colOff>
      <xdr:row>84</xdr:row>
      <xdr:rowOff>101600</xdr:rowOff>
    </xdr:to>
    <xdr:sp macro="" textlink="">
      <xdr:nvSpPr>
        <xdr:cNvPr id="5501632" name="Line 297">
          <a:extLst>
            <a:ext uri="{FF2B5EF4-FFF2-40B4-BE49-F238E27FC236}">
              <a16:creationId xmlns:a16="http://schemas.microsoft.com/office/drawing/2014/main" id="{00000000-0008-0000-0700-0000C0F25300}"/>
            </a:ext>
          </a:extLst>
        </xdr:cNvPr>
        <xdr:cNvSpPr>
          <a:spLocks noChangeShapeType="1"/>
        </xdr:cNvSpPr>
      </xdr:nvSpPr>
      <xdr:spPr bwMode="auto">
        <a:xfrm>
          <a:off x="4279900" y="14128750"/>
          <a:ext cx="838200" cy="0"/>
        </a:xfrm>
        <a:prstGeom prst="line">
          <a:avLst/>
        </a:prstGeom>
        <a:noFill/>
        <a:ln w="9525">
          <a:solidFill>
            <a:srgbClr val="000000"/>
          </a:solidFill>
          <a:round/>
          <a:headEnd/>
          <a:tailEnd/>
        </a:ln>
      </xdr:spPr>
    </xdr:sp>
    <xdr:clientData/>
  </xdr:twoCellAnchor>
  <xdr:twoCellAnchor>
    <xdr:from>
      <xdr:col>6</xdr:col>
      <xdr:colOff>0</xdr:colOff>
      <xdr:row>89</xdr:row>
      <xdr:rowOff>69850</xdr:rowOff>
    </xdr:from>
    <xdr:to>
      <xdr:col>6</xdr:col>
      <xdr:colOff>685800</xdr:colOff>
      <xdr:row>89</xdr:row>
      <xdr:rowOff>69850</xdr:rowOff>
    </xdr:to>
    <xdr:sp macro="" textlink="">
      <xdr:nvSpPr>
        <xdr:cNvPr id="5501633" name="Line 298">
          <a:extLst>
            <a:ext uri="{FF2B5EF4-FFF2-40B4-BE49-F238E27FC236}">
              <a16:creationId xmlns:a16="http://schemas.microsoft.com/office/drawing/2014/main" id="{00000000-0008-0000-0700-0000C1F25300}"/>
            </a:ext>
          </a:extLst>
        </xdr:cNvPr>
        <xdr:cNvSpPr>
          <a:spLocks noChangeShapeType="1"/>
        </xdr:cNvSpPr>
      </xdr:nvSpPr>
      <xdr:spPr bwMode="auto">
        <a:xfrm>
          <a:off x="4279900" y="14916150"/>
          <a:ext cx="685800" cy="0"/>
        </a:xfrm>
        <a:prstGeom prst="line">
          <a:avLst/>
        </a:prstGeom>
        <a:noFill/>
        <a:ln w="9525">
          <a:solidFill>
            <a:srgbClr val="92D050"/>
          </a:solidFill>
          <a:round/>
          <a:headEnd/>
          <a:tailEnd/>
        </a:ln>
      </xdr:spPr>
    </xdr:sp>
    <xdr:clientData/>
  </xdr:twoCellAnchor>
  <xdr:twoCellAnchor>
    <xdr:from>
      <xdr:col>6</xdr:col>
      <xdr:colOff>0</xdr:colOff>
      <xdr:row>93</xdr:row>
      <xdr:rowOff>25400</xdr:rowOff>
    </xdr:from>
    <xdr:to>
      <xdr:col>6</xdr:col>
      <xdr:colOff>971550</xdr:colOff>
      <xdr:row>93</xdr:row>
      <xdr:rowOff>25400</xdr:rowOff>
    </xdr:to>
    <xdr:sp macro="" textlink="">
      <xdr:nvSpPr>
        <xdr:cNvPr id="5501634" name="Line 299">
          <a:extLst>
            <a:ext uri="{FF2B5EF4-FFF2-40B4-BE49-F238E27FC236}">
              <a16:creationId xmlns:a16="http://schemas.microsoft.com/office/drawing/2014/main" id="{00000000-0008-0000-0700-0000C2F25300}"/>
            </a:ext>
          </a:extLst>
        </xdr:cNvPr>
        <xdr:cNvSpPr>
          <a:spLocks noChangeShapeType="1"/>
        </xdr:cNvSpPr>
      </xdr:nvSpPr>
      <xdr:spPr bwMode="auto">
        <a:xfrm>
          <a:off x="4279900" y="15519400"/>
          <a:ext cx="971550" cy="0"/>
        </a:xfrm>
        <a:prstGeom prst="line">
          <a:avLst/>
        </a:prstGeom>
        <a:noFill/>
        <a:ln w="9525">
          <a:solidFill>
            <a:srgbClr val="92D050"/>
          </a:solidFill>
          <a:round/>
          <a:headEnd/>
          <a:tailEnd/>
        </a:ln>
      </xdr:spPr>
    </xdr:sp>
    <xdr:clientData/>
  </xdr:twoCellAnchor>
  <xdr:twoCellAnchor>
    <xdr:from>
      <xdr:col>6</xdr:col>
      <xdr:colOff>0</xdr:colOff>
      <xdr:row>96</xdr:row>
      <xdr:rowOff>76200</xdr:rowOff>
    </xdr:from>
    <xdr:to>
      <xdr:col>6</xdr:col>
      <xdr:colOff>476250</xdr:colOff>
      <xdr:row>96</xdr:row>
      <xdr:rowOff>76200</xdr:rowOff>
    </xdr:to>
    <xdr:sp macro="" textlink="">
      <xdr:nvSpPr>
        <xdr:cNvPr id="5501635" name="Line 300">
          <a:extLst>
            <a:ext uri="{FF2B5EF4-FFF2-40B4-BE49-F238E27FC236}">
              <a16:creationId xmlns:a16="http://schemas.microsoft.com/office/drawing/2014/main" id="{00000000-0008-0000-0700-0000C3F25300}"/>
            </a:ext>
          </a:extLst>
        </xdr:cNvPr>
        <xdr:cNvSpPr>
          <a:spLocks noChangeShapeType="1"/>
        </xdr:cNvSpPr>
      </xdr:nvSpPr>
      <xdr:spPr bwMode="auto">
        <a:xfrm>
          <a:off x="4279900" y="16052800"/>
          <a:ext cx="476250" cy="0"/>
        </a:xfrm>
        <a:prstGeom prst="line">
          <a:avLst/>
        </a:prstGeom>
        <a:noFill/>
        <a:ln w="9525">
          <a:solidFill>
            <a:srgbClr val="000000"/>
          </a:solidFill>
          <a:round/>
          <a:headEnd/>
          <a:tailEnd/>
        </a:ln>
      </xdr:spPr>
    </xdr:sp>
    <xdr:clientData/>
  </xdr:twoCellAnchor>
  <xdr:twoCellAnchor>
    <xdr:from>
      <xdr:col>7</xdr:col>
      <xdr:colOff>152400</xdr:colOff>
      <xdr:row>103</xdr:row>
      <xdr:rowOff>0</xdr:rowOff>
    </xdr:from>
    <xdr:to>
      <xdr:col>7</xdr:col>
      <xdr:colOff>152400</xdr:colOff>
      <xdr:row>104</xdr:row>
      <xdr:rowOff>12700</xdr:rowOff>
    </xdr:to>
    <xdr:sp macro="" textlink="">
      <xdr:nvSpPr>
        <xdr:cNvPr id="5501636" name="Line 301">
          <a:extLst>
            <a:ext uri="{FF2B5EF4-FFF2-40B4-BE49-F238E27FC236}">
              <a16:creationId xmlns:a16="http://schemas.microsoft.com/office/drawing/2014/main" id="{00000000-0008-0000-0700-0000C4F25300}"/>
            </a:ext>
          </a:extLst>
        </xdr:cNvPr>
        <xdr:cNvSpPr>
          <a:spLocks noChangeShapeType="1"/>
        </xdr:cNvSpPr>
      </xdr:nvSpPr>
      <xdr:spPr bwMode="auto">
        <a:xfrm>
          <a:off x="6292850" y="17138650"/>
          <a:ext cx="0" cy="184150"/>
        </a:xfrm>
        <a:prstGeom prst="line">
          <a:avLst/>
        </a:prstGeom>
        <a:noFill/>
        <a:ln w="9525">
          <a:solidFill>
            <a:srgbClr val="000000"/>
          </a:solidFill>
          <a:round/>
          <a:headEnd/>
          <a:tailEnd/>
        </a:ln>
      </xdr:spPr>
    </xdr:sp>
    <xdr:clientData/>
  </xdr:twoCellAnchor>
  <xdr:twoCellAnchor>
    <xdr:from>
      <xdr:col>6</xdr:col>
      <xdr:colOff>0</xdr:colOff>
      <xdr:row>81</xdr:row>
      <xdr:rowOff>76200</xdr:rowOff>
    </xdr:from>
    <xdr:to>
      <xdr:col>6</xdr:col>
      <xdr:colOff>152400</xdr:colOff>
      <xdr:row>81</xdr:row>
      <xdr:rowOff>76200</xdr:rowOff>
    </xdr:to>
    <xdr:sp macro="" textlink="">
      <xdr:nvSpPr>
        <xdr:cNvPr id="5501637" name="Line 302">
          <a:extLst>
            <a:ext uri="{FF2B5EF4-FFF2-40B4-BE49-F238E27FC236}">
              <a16:creationId xmlns:a16="http://schemas.microsoft.com/office/drawing/2014/main" id="{00000000-0008-0000-0700-0000C5F25300}"/>
            </a:ext>
          </a:extLst>
        </xdr:cNvPr>
        <xdr:cNvSpPr>
          <a:spLocks noChangeShapeType="1"/>
        </xdr:cNvSpPr>
      </xdr:nvSpPr>
      <xdr:spPr bwMode="auto">
        <a:xfrm>
          <a:off x="4279900" y="13601700"/>
          <a:ext cx="152400" cy="0"/>
        </a:xfrm>
        <a:prstGeom prst="line">
          <a:avLst/>
        </a:prstGeom>
        <a:noFill/>
        <a:ln w="9525">
          <a:solidFill>
            <a:srgbClr val="000000"/>
          </a:solidFill>
          <a:round/>
          <a:headEnd/>
          <a:tailEnd/>
        </a:ln>
      </xdr:spPr>
    </xdr:sp>
    <xdr:clientData/>
  </xdr:twoCellAnchor>
  <xdr:twoCellAnchor>
    <xdr:from>
      <xdr:col>6</xdr:col>
      <xdr:colOff>1778000</xdr:colOff>
      <xdr:row>83</xdr:row>
      <xdr:rowOff>82550</xdr:rowOff>
    </xdr:from>
    <xdr:to>
      <xdr:col>9</xdr:col>
      <xdr:colOff>0</xdr:colOff>
      <xdr:row>83</xdr:row>
      <xdr:rowOff>82550</xdr:rowOff>
    </xdr:to>
    <xdr:sp macro="" textlink="">
      <xdr:nvSpPr>
        <xdr:cNvPr id="5501638" name="Line 303">
          <a:extLst>
            <a:ext uri="{FF2B5EF4-FFF2-40B4-BE49-F238E27FC236}">
              <a16:creationId xmlns:a16="http://schemas.microsoft.com/office/drawing/2014/main" id="{00000000-0008-0000-0700-0000C6F25300}"/>
            </a:ext>
          </a:extLst>
        </xdr:cNvPr>
        <xdr:cNvSpPr>
          <a:spLocks noChangeShapeType="1"/>
        </xdr:cNvSpPr>
      </xdr:nvSpPr>
      <xdr:spPr bwMode="auto">
        <a:xfrm flipV="1">
          <a:off x="6057900" y="13944600"/>
          <a:ext cx="1022350" cy="0"/>
        </a:xfrm>
        <a:prstGeom prst="line">
          <a:avLst/>
        </a:prstGeom>
        <a:noFill/>
        <a:ln w="9525">
          <a:solidFill>
            <a:srgbClr val="92D050"/>
          </a:solidFill>
          <a:prstDash val="sysDot"/>
          <a:round/>
          <a:headEnd/>
          <a:tailEnd/>
        </a:ln>
      </xdr:spPr>
    </xdr:sp>
    <xdr:clientData/>
  </xdr:twoCellAnchor>
  <xdr:twoCellAnchor>
    <xdr:from>
      <xdr:col>7</xdr:col>
      <xdr:colOff>190500</xdr:colOff>
      <xdr:row>85</xdr:row>
      <xdr:rowOff>76200</xdr:rowOff>
    </xdr:from>
    <xdr:to>
      <xdr:col>9</xdr:col>
      <xdr:colOff>0</xdr:colOff>
      <xdr:row>85</xdr:row>
      <xdr:rowOff>76200</xdr:rowOff>
    </xdr:to>
    <xdr:sp macro="" textlink="">
      <xdr:nvSpPr>
        <xdr:cNvPr id="5501639" name="Line 304">
          <a:extLst>
            <a:ext uri="{FF2B5EF4-FFF2-40B4-BE49-F238E27FC236}">
              <a16:creationId xmlns:a16="http://schemas.microsoft.com/office/drawing/2014/main" id="{00000000-0008-0000-0700-0000C7F25300}"/>
            </a:ext>
          </a:extLst>
        </xdr:cNvPr>
        <xdr:cNvSpPr>
          <a:spLocks noChangeShapeType="1"/>
        </xdr:cNvSpPr>
      </xdr:nvSpPr>
      <xdr:spPr bwMode="auto">
        <a:xfrm flipV="1">
          <a:off x="6330950" y="14274800"/>
          <a:ext cx="749300" cy="0"/>
        </a:xfrm>
        <a:prstGeom prst="line">
          <a:avLst/>
        </a:prstGeom>
        <a:noFill/>
        <a:ln w="9525">
          <a:solidFill>
            <a:srgbClr val="92D050"/>
          </a:solidFill>
          <a:prstDash val="sysDot"/>
          <a:round/>
          <a:headEnd/>
          <a:tailEnd/>
        </a:ln>
      </xdr:spPr>
    </xdr:sp>
    <xdr:clientData/>
  </xdr:twoCellAnchor>
  <xdr:twoCellAnchor>
    <xdr:from>
      <xdr:col>8</xdr:col>
      <xdr:colOff>44450</xdr:colOff>
      <xdr:row>87</xdr:row>
      <xdr:rowOff>133350</xdr:rowOff>
    </xdr:from>
    <xdr:to>
      <xdr:col>9</xdr:col>
      <xdr:colOff>0</xdr:colOff>
      <xdr:row>87</xdr:row>
      <xdr:rowOff>133350</xdr:rowOff>
    </xdr:to>
    <xdr:sp macro="" textlink="">
      <xdr:nvSpPr>
        <xdr:cNvPr id="5501640" name="Line 305">
          <a:extLst>
            <a:ext uri="{FF2B5EF4-FFF2-40B4-BE49-F238E27FC236}">
              <a16:creationId xmlns:a16="http://schemas.microsoft.com/office/drawing/2014/main" id="{00000000-0008-0000-0700-0000C8F25300}"/>
            </a:ext>
          </a:extLst>
        </xdr:cNvPr>
        <xdr:cNvSpPr>
          <a:spLocks noChangeShapeType="1"/>
        </xdr:cNvSpPr>
      </xdr:nvSpPr>
      <xdr:spPr bwMode="auto">
        <a:xfrm flipV="1">
          <a:off x="6654800" y="14655800"/>
          <a:ext cx="425450" cy="0"/>
        </a:xfrm>
        <a:prstGeom prst="line">
          <a:avLst/>
        </a:prstGeom>
        <a:noFill/>
        <a:ln w="9525">
          <a:solidFill>
            <a:srgbClr val="92D050"/>
          </a:solidFill>
          <a:prstDash val="sysDot"/>
          <a:round/>
          <a:headEnd/>
          <a:tailEnd/>
        </a:ln>
      </xdr:spPr>
    </xdr:sp>
    <xdr:clientData/>
  </xdr:twoCellAnchor>
  <xdr:twoCellAnchor>
    <xdr:from>
      <xdr:col>8</xdr:col>
      <xdr:colOff>488950</xdr:colOff>
      <xdr:row>89</xdr:row>
      <xdr:rowOff>88900</xdr:rowOff>
    </xdr:from>
    <xdr:to>
      <xdr:col>9</xdr:col>
      <xdr:colOff>0</xdr:colOff>
      <xdr:row>89</xdr:row>
      <xdr:rowOff>88900</xdr:rowOff>
    </xdr:to>
    <xdr:sp macro="" textlink="">
      <xdr:nvSpPr>
        <xdr:cNvPr id="5501641" name="Line 307">
          <a:extLst>
            <a:ext uri="{FF2B5EF4-FFF2-40B4-BE49-F238E27FC236}">
              <a16:creationId xmlns:a16="http://schemas.microsoft.com/office/drawing/2014/main" id="{00000000-0008-0000-0700-0000C9F25300}"/>
            </a:ext>
          </a:extLst>
        </xdr:cNvPr>
        <xdr:cNvSpPr>
          <a:spLocks noChangeShapeType="1"/>
        </xdr:cNvSpPr>
      </xdr:nvSpPr>
      <xdr:spPr bwMode="auto">
        <a:xfrm flipV="1">
          <a:off x="7080250" y="14935200"/>
          <a:ext cx="0" cy="0"/>
        </a:xfrm>
        <a:prstGeom prst="line">
          <a:avLst/>
        </a:prstGeom>
        <a:noFill/>
        <a:ln w="9525">
          <a:solidFill>
            <a:srgbClr val="000000"/>
          </a:solidFill>
          <a:round/>
          <a:headEnd/>
          <a:tailEnd/>
        </a:ln>
      </xdr:spPr>
    </xdr:sp>
    <xdr:clientData/>
  </xdr:twoCellAnchor>
  <xdr:twoCellAnchor>
    <xdr:from>
      <xdr:col>8</xdr:col>
      <xdr:colOff>44450</xdr:colOff>
      <xdr:row>91</xdr:row>
      <xdr:rowOff>76200</xdr:rowOff>
    </xdr:from>
    <xdr:to>
      <xdr:col>9</xdr:col>
      <xdr:colOff>12700</xdr:colOff>
      <xdr:row>91</xdr:row>
      <xdr:rowOff>76200</xdr:rowOff>
    </xdr:to>
    <xdr:sp macro="" textlink="">
      <xdr:nvSpPr>
        <xdr:cNvPr id="5501642" name="Line 308">
          <a:extLst>
            <a:ext uri="{FF2B5EF4-FFF2-40B4-BE49-F238E27FC236}">
              <a16:creationId xmlns:a16="http://schemas.microsoft.com/office/drawing/2014/main" id="{00000000-0008-0000-0700-0000CAF25300}"/>
            </a:ext>
          </a:extLst>
        </xdr:cNvPr>
        <xdr:cNvSpPr>
          <a:spLocks noChangeShapeType="1"/>
        </xdr:cNvSpPr>
      </xdr:nvSpPr>
      <xdr:spPr bwMode="auto">
        <a:xfrm flipH="1" flipV="1">
          <a:off x="6654800" y="15252700"/>
          <a:ext cx="438150" cy="0"/>
        </a:xfrm>
        <a:prstGeom prst="line">
          <a:avLst/>
        </a:prstGeom>
        <a:noFill/>
        <a:ln w="9525">
          <a:solidFill>
            <a:srgbClr val="92D050"/>
          </a:solidFill>
          <a:prstDash val="sysDot"/>
          <a:round/>
          <a:headEnd type="none" w="sm" len="sm"/>
          <a:tailEnd type="none" w="sm" len="sm"/>
        </a:ln>
      </xdr:spPr>
    </xdr:sp>
    <xdr:clientData/>
  </xdr:twoCellAnchor>
  <xdr:twoCellAnchor>
    <xdr:from>
      <xdr:col>8</xdr:col>
      <xdr:colOff>488950</xdr:colOff>
      <xdr:row>96</xdr:row>
      <xdr:rowOff>76200</xdr:rowOff>
    </xdr:from>
    <xdr:to>
      <xdr:col>9</xdr:col>
      <xdr:colOff>0</xdr:colOff>
      <xdr:row>96</xdr:row>
      <xdr:rowOff>76200</xdr:rowOff>
    </xdr:to>
    <xdr:sp macro="" textlink="">
      <xdr:nvSpPr>
        <xdr:cNvPr id="5501643" name="Line 309">
          <a:extLst>
            <a:ext uri="{FF2B5EF4-FFF2-40B4-BE49-F238E27FC236}">
              <a16:creationId xmlns:a16="http://schemas.microsoft.com/office/drawing/2014/main" id="{00000000-0008-0000-0700-0000CBF25300}"/>
            </a:ext>
          </a:extLst>
        </xdr:cNvPr>
        <xdr:cNvSpPr>
          <a:spLocks noChangeShapeType="1"/>
        </xdr:cNvSpPr>
      </xdr:nvSpPr>
      <xdr:spPr bwMode="auto">
        <a:xfrm>
          <a:off x="7080250" y="16052800"/>
          <a:ext cx="0" cy="0"/>
        </a:xfrm>
        <a:prstGeom prst="line">
          <a:avLst/>
        </a:prstGeom>
        <a:noFill/>
        <a:ln w="9525">
          <a:solidFill>
            <a:srgbClr val="000000"/>
          </a:solidFill>
          <a:round/>
          <a:headEnd/>
          <a:tailEnd/>
        </a:ln>
      </xdr:spPr>
    </xdr:sp>
    <xdr:clientData/>
  </xdr:twoCellAnchor>
  <xdr:twoCellAnchor>
    <xdr:from>
      <xdr:col>8</xdr:col>
      <xdr:colOff>488950</xdr:colOff>
      <xdr:row>100</xdr:row>
      <xdr:rowOff>88900</xdr:rowOff>
    </xdr:from>
    <xdr:to>
      <xdr:col>9</xdr:col>
      <xdr:colOff>0</xdr:colOff>
      <xdr:row>100</xdr:row>
      <xdr:rowOff>88900</xdr:rowOff>
    </xdr:to>
    <xdr:sp macro="" textlink="">
      <xdr:nvSpPr>
        <xdr:cNvPr id="5501644" name="Line 310">
          <a:extLst>
            <a:ext uri="{FF2B5EF4-FFF2-40B4-BE49-F238E27FC236}">
              <a16:creationId xmlns:a16="http://schemas.microsoft.com/office/drawing/2014/main" id="{00000000-0008-0000-0700-0000CCF25300}"/>
            </a:ext>
          </a:extLst>
        </xdr:cNvPr>
        <xdr:cNvSpPr>
          <a:spLocks noChangeShapeType="1"/>
        </xdr:cNvSpPr>
      </xdr:nvSpPr>
      <xdr:spPr bwMode="auto">
        <a:xfrm>
          <a:off x="7080250" y="16725900"/>
          <a:ext cx="0" cy="0"/>
        </a:xfrm>
        <a:prstGeom prst="line">
          <a:avLst/>
        </a:prstGeom>
        <a:noFill/>
        <a:ln w="9525">
          <a:solidFill>
            <a:srgbClr val="000000"/>
          </a:solidFill>
          <a:round/>
          <a:headEnd/>
          <a:tailEnd/>
        </a:ln>
      </xdr:spPr>
    </xdr:sp>
    <xdr:clientData/>
  </xdr:twoCellAnchor>
  <xdr:twoCellAnchor>
    <xdr:from>
      <xdr:col>8</xdr:col>
      <xdr:colOff>222250</xdr:colOff>
      <xdr:row>89</xdr:row>
      <xdr:rowOff>88900</xdr:rowOff>
    </xdr:from>
    <xdr:to>
      <xdr:col>8</xdr:col>
      <xdr:colOff>463550</xdr:colOff>
      <xdr:row>89</xdr:row>
      <xdr:rowOff>88900</xdr:rowOff>
    </xdr:to>
    <xdr:sp macro="" textlink="">
      <xdr:nvSpPr>
        <xdr:cNvPr id="5501645" name="Line 278">
          <a:extLst>
            <a:ext uri="{FF2B5EF4-FFF2-40B4-BE49-F238E27FC236}">
              <a16:creationId xmlns:a16="http://schemas.microsoft.com/office/drawing/2014/main" id="{00000000-0008-0000-0700-0000CDF25300}"/>
            </a:ext>
          </a:extLst>
        </xdr:cNvPr>
        <xdr:cNvSpPr>
          <a:spLocks noChangeShapeType="1"/>
        </xdr:cNvSpPr>
      </xdr:nvSpPr>
      <xdr:spPr bwMode="auto">
        <a:xfrm>
          <a:off x="6832600" y="14935200"/>
          <a:ext cx="241300" cy="0"/>
        </a:xfrm>
        <a:prstGeom prst="line">
          <a:avLst/>
        </a:prstGeom>
        <a:noFill/>
        <a:ln w="6350">
          <a:solidFill>
            <a:srgbClr val="000000"/>
          </a:solidFill>
          <a:round/>
          <a:headEnd/>
          <a:tailEnd/>
        </a:ln>
      </xdr:spPr>
    </xdr:sp>
    <xdr:clientData/>
  </xdr:twoCellAnchor>
  <xdr:twoCellAnchor>
    <xdr:from>
      <xdr:col>17</xdr:col>
      <xdr:colOff>69850</xdr:colOff>
      <xdr:row>1</xdr:row>
      <xdr:rowOff>12700</xdr:rowOff>
    </xdr:from>
    <xdr:to>
      <xdr:col>19</xdr:col>
      <xdr:colOff>0</xdr:colOff>
      <xdr:row>31</xdr:row>
      <xdr:rowOff>101600</xdr:rowOff>
    </xdr:to>
    <xdr:grpSp>
      <xdr:nvGrpSpPr>
        <xdr:cNvPr id="5501646" name="Group 232">
          <a:extLst>
            <a:ext uri="{FF2B5EF4-FFF2-40B4-BE49-F238E27FC236}">
              <a16:creationId xmlns:a16="http://schemas.microsoft.com/office/drawing/2014/main" id="{00000000-0008-0000-0700-0000CEF25300}"/>
            </a:ext>
          </a:extLst>
        </xdr:cNvPr>
        <xdr:cNvGrpSpPr>
          <a:grpSpLocks/>
        </xdr:cNvGrpSpPr>
      </xdr:nvGrpSpPr>
      <xdr:grpSpPr bwMode="auto">
        <a:xfrm>
          <a:off x="12995275" y="184150"/>
          <a:ext cx="2082800" cy="5127625"/>
          <a:chOff x="3421" y="5379"/>
          <a:chExt cx="2289" cy="5759"/>
        </a:xfrm>
      </xdr:grpSpPr>
      <xdr:grpSp>
        <xdr:nvGrpSpPr>
          <xdr:cNvPr id="5501685" name="Group 233">
            <a:extLst>
              <a:ext uri="{FF2B5EF4-FFF2-40B4-BE49-F238E27FC236}">
                <a16:creationId xmlns:a16="http://schemas.microsoft.com/office/drawing/2014/main" id="{00000000-0008-0000-0700-0000F5F25300}"/>
              </a:ext>
            </a:extLst>
          </xdr:cNvPr>
          <xdr:cNvGrpSpPr>
            <a:grpSpLocks/>
          </xdr:cNvGrpSpPr>
        </xdr:nvGrpSpPr>
        <xdr:grpSpPr bwMode="auto">
          <a:xfrm>
            <a:off x="4047" y="5379"/>
            <a:ext cx="515" cy="4096"/>
            <a:chOff x="4047" y="5379"/>
            <a:chExt cx="515" cy="4096"/>
          </a:xfrm>
        </xdr:grpSpPr>
        <xdr:sp macro="" textlink="">
          <xdr:nvSpPr>
            <xdr:cNvPr id="5501703" name="Arc 234">
              <a:extLst>
                <a:ext uri="{FF2B5EF4-FFF2-40B4-BE49-F238E27FC236}">
                  <a16:creationId xmlns:a16="http://schemas.microsoft.com/office/drawing/2014/main" id="{00000000-0008-0000-0700-000007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04" name="Group 235">
              <a:extLst>
                <a:ext uri="{FF2B5EF4-FFF2-40B4-BE49-F238E27FC236}">
                  <a16:creationId xmlns:a16="http://schemas.microsoft.com/office/drawing/2014/main" id="{00000000-0008-0000-0700-000008F35300}"/>
                </a:ext>
              </a:extLst>
            </xdr:cNvPr>
            <xdr:cNvGrpSpPr>
              <a:grpSpLocks/>
            </xdr:cNvGrpSpPr>
          </xdr:nvGrpSpPr>
          <xdr:grpSpPr bwMode="auto">
            <a:xfrm>
              <a:off x="4047" y="6306"/>
              <a:ext cx="285" cy="3169"/>
              <a:chOff x="4050" y="6306"/>
              <a:chExt cx="285" cy="3169"/>
            </a:xfrm>
          </xdr:grpSpPr>
          <xdr:sp macro="" textlink="">
            <xdr:nvSpPr>
              <xdr:cNvPr id="5501705" name="Line 236">
                <a:extLst>
                  <a:ext uri="{FF2B5EF4-FFF2-40B4-BE49-F238E27FC236}">
                    <a16:creationId xmlns:a16="http://schemas.microsoft.com/office/drawing/2014/main" id="{00000000-0008-0000-0700-000009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06" name="Line 237">
                <a:extLst>
                  <a:ext uri="{FF2B5EF4-FFF2-40B4-BE49-F238E27FC236}">
                    <a16:creationId xmlns:a16="http://schemas.microsoft.com/office/drawing/2014/main" id="{00000000-0008-0000-0700-00000A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7" name="Line 238">
                <a:extLst>
                  <a:ext uri="{FF2B5EF4-FFF2-40B4-BE49-F238E27FC236}">
                    <a16:creationId xmlns:a16="http://schemas.microsoft.com/office/drawing/2014/main" id="{00000000-0008-0000-0700-00000B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8" name="Line 239">
                <a:extLst>
                  <a:ext uri="{FF2B5EF4-FFF2-40B4-BE49-F238E27FC236}">
                    <a16:creationId xmlns:a16="http://schemas.microsoft.com/office/drawing/2014/main" id="{00000000-0008-0000-0700-00000C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9" name="Line 240">
                <a:extLst>
                  <a:ext uri="{FF2B5EF4-FFF2-40B4-BE49-F238E27FC236}">
                    <a16:creationId xmlns:a16="http://schemas.microsoft.com/office/drawing/2014/main" id="{00000000-0008-0000-0700-00000D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686" name="Group 241">
            <a:extLst>
              <a:ext uri="{FF2B5EF4-FFF2-40B4-BE49-F238E27FC236}">
                <a16:creationId xmlns:a16="http://schemas.microsoft.com/office/drawing/2014/main" id="{00000000-0008-0000-0700-0000F6F25300}"/>
              </a:ext>
            </a:extLst>
          </xdr:cNvPr>
          <xdr:cNvGrpSpPr>
            <a:grpSpLocks/>
          </xdr:cNvGrpSpPr>
        </xdr:nvGrpSpPr>
        <xdr:grpSpPr bwMode="auto">
          <a:xfrm flipH="1">
            <a:off x="4560" y="5379"/>
            <a:ext cx="515" cy="4096"/>
            <a:chOff x="4047" y="5379"/>
            <a:chExt cx="515" cy="4096"/>
          </a:xfrm>
        </xdr:grpSpPr>
        <xdr:sp macro="" textlink="">
          <xdr:nvSpPr>
            <xdr:cNvPr id="5501696" name="Arc 242">
              <a:extLst>
                <a:ext uri="{FF2B5EF4-FFF2-40B4-BE49-F238E27FC236}">
                  <a16:creationId xmlns:a16="http://schemas.microsoft.com/office/drawing/2014/main" id="{00000000-0008-0000-0700-00000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697" name="Group 243">
              <a:extLst>
                <a:ext uri="{FF2B5EF4-FFF2-40B4-BE49-F238E27FC236}">
                  <a16:creationId xmlns:a16="http://schemas.microsoft.com/office/drawing/2014/main" id="{00000000-0008-0000-0700-000001F35300}"/>
                </a:ext>
              </a:extLst>
            </xdr:cNvPr>
            <xdr:cNvGrpSpPr>
              <a:grpSpLocks/>
            </xdr:cNvGrpSpPr>
          </xdr:nvGrpSpPr>
          <xdr:grpSpPr bwMode="auto">
            <a:xfrm>
              <a:off x="4047" y="6306"/>
              <a:ext cx="285" cy="3169"/>
              <a:chOff x="4050" y="6306"/>
              <a:chExt cx="285" cy="3169"/>
            </a:xfrm>
          </xdr:grpSpPr>
          <xdr:sp macro="" textlink="">
            <xdr:nvSpPr>
              <xdr:cNvPr id="5501698" name="Line 244">
                <a:extLst>
                  <a:ext uri="{FF2B5EF4-FFF2-40B4-BE49-F238E27FC236}">
                    <a16:creationId xmlns:a16="http://schemas.microsoft.com/office/drawing/2014/main" id="{00000000-0008-0000-0700-00000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699" name="Line 245">
                <a:extLst>
                  <a:ext uri="{FF2B5EF4-FFF2-40B4-BE49-F238E27FC236}">
                    <a16:creationId xmlns:a16="http://schemas.microsoft.com/office/drawing/2014/main" id="{00000000-0008-0000-0700-00000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0" name="Line 246">
                <a:extLst>
                  <a:ext uri="{FF2B5EF4-FFF2-40B4-BE49-F238E27FC236}">
                    <a16:creationId xmlns:a16="http://schemas.microsoft.com/office/drawing/2014/main" id="{00000000-0008-0000-0700-00000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1" name="Line 247">
                <a:extLst>
                  <a:ext uri="{FF2B5EF4-FFF2-40B4-BE49-F238E27FC236}">
                    <a16:creationId xmlns:a16="http://schemas.microsoft.com/office/drawing/2014/main" id="{00000000-0008-0000-0700-00000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2" name="Line 248">
                <a:extLst>
                  <a:ext uri="{FF2B5EF4-FFF2-40B4-BE49-F238E27FC236}">
                    <a16:creationId xmlns:a16="http://schemas.microsoft.com/office/drawing/2014/main" id="{00000000-0008-0000-0700-00000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687" name="Line 249">
            <a:extLst>
              <a:ext uri="{FF2B5EF4-FFF2-40B4-BE49-F238E27FC236}">
                <a16:creationId xmlns:a16="http://schemas.microsoft.com/office/drawing/2014/main" id="{00000000-0008-0000-0700-0000F7F2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688" name="Line 250">
            <a:extLst>
              <a:ext uri="{FF2B5EF4-FFF2-40B4-BE49-F238E27FC236}">
                <a16:creationId xmlns:a16="http://schemas.microsoft.com/office/drawing/2014/main" id="{00000000-0008-0000-0700-0000F8F2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689" name="Line 251">
            <a:extLst>
              <a:ext uri="{FF2B5EF4-FFF2-40B4-BE49-F238E27FC236}">
                <a16:creationId xmlns:a16="http://schemas.microsoft.com/office/drawing/2014/main" id="{00000000-0008-0000-0700-0000F9F2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690" name="Line 252">
            <a:extLst>
              <a:ext uri="{FF2B5EF4-FFF2-40B4-BE49-F238E27FC236}">
                <a16:creationId xmlns:a16="http://schemas.microsoft.com/office/drawing/2014/main" id="{00000000-0008-0000-0700-0000FAF2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691" name="Line 253">
            <a:extLst>
              <a:ext uri="{FF2B5EF4-FFF2-40B4-BE49-F238E27FC236}">
                <a16:creationId xmlns:a16="http://schemas.microsoft.com/office/drawing/2014/main" id="{00000000-0008-0000-0700-0000FBF2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692" name="Line 254">
            <a:extLst>
              <a:ext uri="{FF2B5EF4-FFF2-40B4-BE49-F238E27FC236}">
                <a16:creationId xmlns:a16="http://schemas.microsoft.com/office/drawing/2014/main" id="{00000000-0008-0000-0700-0000FCF2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693" name="Line 255">
            <a:extLst>
              <a:ext uri="{FF2B5EF4-FFF2-40B4-BE49-F238E27FC236}">
                <a16:creationId xmlns:a16="http://schemas.microsoft.com/office/drawing/2014/main" id="{00000000-0008-0000-0700-0000FDF2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694" name="Line 256">
            <a:extLst>
              <a:ext uri="{FF2B5EF4-FFF2-40B4-BE49-F238E27FC236}">
                <a16:creationId xmlns:a16="http://schemas.microsoft.com/office/drawing/2014/main" id="{00000000-0008-0000-0700-0000FEF2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695" name="Line 257">
            <a:extLst>
              <a:ext uri="{FF2B5EF4-FFF2-40B4-BE49-F238E27FC236}">
                <a16:creationId xmlns:a16="http://schemas.microsoft.com/office/drawing/2014/main" id="{00000000-0008-0000-0700-0000FFF2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17</xdr:col>
      <xdr:colOff>831850</xdr:colOff>
      <xdr:row>11</xdr:row>
      <xdr:rowOff>101600</xdr:rowOff>
    </xdr:from>
    <xdr:to>
      <xdr:col>18</xdr:col>
      <xdr:colOff>368300</xdr:colOff>
      <xdr:row>11</xdr:row>
      <xdr:rowOff>101600</xdr:rowOff>
    </xdr:to>
    <xdr:sp macro="" textlink="">
      <xdr:nvSpPr>
        <xdr:cNvPr id="5501647" name="Line 268">
          <a:extLst>
            <a:ext uri="{FF2B5EF4-FFF2-40B4-BE49-F238E27FC236}">
              <a16:creationId xmlns:a16="http://schemas.microsoft.com/office/drawing/2014/main" id="{00000000-0008-0000-0700-0000CFF25300}"/>
            </a:ext>
          </a:extLst>
        </xdr:cNvPr>
        <xdr:cNvSpPr>
          <a:spLocks noChangeShapeType="1"/>
        </xdr:cNvSpPr>
      </xdr:nvSpPr>
      <xdr:spPr bwMode="auto">
        <a:xfrm flipV="1">
          <a:off x="14408150" y="2032000"/>
          <a:ext cx="673100" cy="0"/>
        </a:xfrm>
        <a:prstGeom prst="line">
          <a:avLst/>
        </a:prstGeom>
        <a:noFill/>
        <a:ln w="6350">
          <a:solidFill>
            <a:srgbClr val="000000"/>
          </a:solidFill>
          <a:round/>
          <a:headEnd type="triangle" w="sm" len="lg"/>
          <a:tailEnd type="triangle" w="sm" len="lg"/>
        </a:ln>
      </xdr:spPr>
    </xdr:sp>
    <xdr:clientData/>
  </xdr:twoCellAnchor>
  <xdr:twoCellAnchor>
    <xdr:from>
      <xdr:col>17</xdr:col>
      <xdr:colOff>88900</xdr:colOff>
      <xdr:row>1</xdr:row>
      <xdr:rowOff>12700</xdr:rowOff>
    </xdr:from>
    <xdr:to>
      <xdr:col>19</xdr:col>
      <xdr:colOff>336550</xdr:colOff>
      <xdr:row>1</xdr:row>
      <xdr:rowOff>12700</xdr:rowOff>
    </xdr:to>
    <xdr:sp macro="" textlink="">
      <xdr:nvSpPr>
        <xdr:cNvPr id="5501648" name="Line 269">
          <a:extLst>
            <a:ext uri="{FF2B5EF4-FFF2-40B4-BE49-F238E27FC236}">
              <a16:creationId xmlns:a16="http://schemas.microsoft.com/office/drawing/2014/main" id="{00000000-0008-0000-0700-0000D0F25300}"/>
            </a:ext>
          </a:extLst>
        </xdr:cNvPr>
        <xdr:cNvSpPr>
          <a:spLocks noChangeShapeType="1"/>
        </xdr:cNvSpPr>
      </xdr:nvSpPr>
      <xdr:spPr bwMode="auto">
        <a:xfrm flipV="1">
          <a:off x="13665200" y="184150"/>
          <a:ext cx="2520950" cy="0"/>
        </a:xfrm>
        <a:prstGeom prst="line">
          <a:avLst/>
        </a:prstGeom>
        <a:noFill/>
        <a:ln w="6350">
          <a:solidFill>
            <a:srgbClr val="000000"/>
          </a:solidFill>
          <a:round/>
          <a:headEnd/>
          <a:tailEnd/>
        </a:ln>
      </xdr:spPr>
    </xdr:sp>
    <xdr:clientData/>
  </xdr:twoCellAnchor>
  <xdr:twoCellAnchor>
    <xdr:from>
      <xdr:col>18</xdr:col>
      <xdr:colOff>1054100</xdr:colOff>
      <xdr:row>1</xdr:row>
      <xdr:rowOff>12700</xdr:rowOff>
    </xdr:from>
    <xdr:to>
      <xdr:col>18</xdr:col>
      <xdr:colOff>1054100</xdr:colOff>
      <xdr:row>28</xdr:row>
      <xdr:rowOff>139700</xdr:rowOff>
    </xdr:to>
    <xdr:sp macro="" textlink="">
      <xdr:nvSpPr>
        <xdr:cNvPr id="5501649" name="Line 270">
          <a:extLst>
            <a:ext uri="{FF2B5EF4-FFF2-40B4-BE49-F238E27FC236}">
              <a16:creationId xmlns:a16="http://schemas.microsoft.com/office/drawing/2014/main" id="{00000000-0008-0000-0700-0000D1F25300}"/>
            </a:ext>
          </a:extLst>
        </xdr:cNvPr>
        <xdr:cNvSpPr>
          <a:spLocks noChangeShapeType="1"/>
        </xdr:cNvSpPr>
      </xdr:nvSpPr>
      <xdr:spPr bwMode="auto">
        <a:xfrm>
          <a:off x="15767050" y="184150"/>
          <a:ext cx="0" cy="4705350"/>
        </a:xfrm>
        <a:prstGeom prst="line">
          <a:avLst/>
        </a:prstGeom>
        <a:noFill/>
        <a:ln w="6350">
          <a:solidFill>
            <a:srgbClr val="000000"/>
          </a:solidFill>
          <a:round/>
          <a:headEnd type="triangle" w="sm" len="lg"/>
          <a:tailEnd type="triangle" w="sm" len="lg"/>
        </a:ln>
      </xdr:spPr>
    </xdr:sp>
    <xdr:clientData/>
  </xdr:twoCellAnchor>
  <xdr:twoCellAnchor>
    <xdr:from>
      <xdr:col>17</xdr:col>
      <xdr:colOff>120650</xdr:colOff>
      <xdr:row>10</xdr:row>
      <xdr:rowOff>152400</xdr:rowOff>
    </xdr:from>
    <xdr:to>
      <xdr:col>18</xdr:col>
      <xdr:colOff>412750</xdr:colOff>
      <xdr:row>10</xdr:row>
      <xdr:rowOff>152400</xdr:rowOff>
    </xdr:to>
    <xdr:sp macro="" textlink="">
      <xdr:nvSpPr>
        <xdr:cNvPr id="5501650" name="Line 271">
          <a:extLst>
            <a:ext uri="{FF2B5EF4-FFF2-40B4-BE49-F238E27FC236}">
              <a16:creationId xmlns:a16="http://schemas.microsoft.com/office/drawing/2014/main" id="{00000000-0008-0000-0700-0000D2F25300}"/>
            </a:ext>
          </a:extLst>
        </xdr:cNvPr>
        <xdr:cNvSpPr>
          <a:spLocks noChangeShapeType="1"/>
        </xdr:cNvSpPr>
      </xdr:nvSpPr>
      <xdr:spPr bwMode="auto">
        <a:xfrm>
          <a:off x="13696950" y="1911350"/>
          <a:ext cx="1428750" cy="0"/>
        </a:xfrm>
        <a:prstGeom prst="line">
          <a:avLst/>
        </a:prstGeom>
        <a:noFill/>
        <a:ln w="6350">
          <a:solidFill>
            <a:srgbClr val="000000"/>
          </a:solidFill>
          <a:round/>
          <a:headEnd/>
          <a:tailEnd/>
        </a:ln>
      </xdr:spPr>
    </xdr:sp>
    <xdr:clientData/>
  </xdr:twoCellAnchor>
  <xdr:twoCellAnchor>
    <xdr:from>
      <xdr:col>17</xdr:col>
      <xdr:colOff>152400</xdr:colOff>
      <xdr:row>0</xdr:row>
      <xdr:rowOff>158750</xdr:rowOff>
    </xdr:from>
    <xdr:to>
      <xdr:col>17</xdr:col>
      <xdr:colOff>152400</xdr:colOff>
      <xdr:row>10</xdr:row>
      <xdr:rowOff>139700</xdr:rowOff>
    </xdr:to>
    <xdr:sp macro="" textlink="">
      <xdr:nvSpPr>
        <xdr:cNvPr id="5501651" name="Line 272">
          <a:extLst>
            <a:ext uri="{FF2B5EF4-FFF2-40B4-BE49-F238E27FC236}">
              <a16:creationId xmlns:a16="http://schemas.microsoft.com/office/drawing/2014/main" id="{00000000-0008-0000-0700-0000D3F25300}"/>
            </a:ext>
          </a:extLst>
        </xdr:cNvPr>
        <xdr:cNvSpPr>
          <a:spLocks noChangeShapeType="1"/>
        </xdr:cNvSpPr>
      </xdr:nvSpPr>
      <xdr:spPr bwMode="auto">
        <a:xfrm flipH="1">
          <a:off x="13728700" y="158750"/>
          <a:ext cx="0" cy="1739900"/>
        </a:xfrm>
        <a:prstGeom prst="line">
          <a:avLst/>
        </a:prstGeom>
        <a:noFill/>
        <a:ln w="6350">
          <a:solidFill>
            <a:srgbClr val="000000"/>
          </a:solidFill>
          <a:round/>
          <a:headEnd type="triangle" w="sm" len="lg"/>
          <a:tailEnd type="triangle" w="sm" len="lg"/>
        </a:ln>
      </xdr:spPr>
    </xdr:sp>
    <xdr:clientData/>
  </xdr:twoCellAnchor>
  <xdr:twoCellAnchor>
    <xdr:from>
      <xdr:col>16</xdr:col>
      <xdr:colOff>234950</xdr:colOff>
      <xdr:row>31</xdr:row>
      <xdr:rowOff>95250</xdr:rowOff>
    </xdr:from>
    <xdr:to>
      <xdr:col>17</xdr:col>
      <xdr:colOff>82550</xdr:colOff>
      <xdr:row>31</xdr:row>
      <xdr:rowOff>95250</xdr:rowOff>
    </xdr:to>
    <xdr:sp macro="" textlink="">
      <xdr:nvSpPr>
        <xdr:cNvPr id="5501652" name="Line 277">
          <a:extLst>
            <a:ext uri="{FF2B5EF4-FFF2-40B4-BE49-F238E27FC236}">
              <a16:creationId xmlns:a16="http://schemas.microsoft.com/office/drawing/2014/main" id="{00000000-0008-0000-0700-0000D4F25300}"/>
            </a:ext>
          </a:extLst>
        </xdr:cNvPr>
        <xdr:cNvSpPr>
          <a:spLocks noChangeShapeType="1"/>
        </xdr:cNvSpPr>
      </xdr:nvSpPr>
      <xdr:spPr bwMode="auto">
        <a:xfrm>
          <a:off x="12998450" y="5359400"/>
          <a:ext cx="660400" cy="0"/>
        </a:xfrm>
        <a:prstGeom prst="line">
          <a:avLst/>
        </a:prstGeom>
        <a:noFill/>
        <a:ln w="6350">
          <a:solidFill>
            <a:srgbClr val="000000"/>
          </a:solidFill>
          <a:round/>
          <a:headEnd/>
          <a:tailEnd/>
        </a:ln>
      </xdr:spPr>
    </xdr:sp>
    <xdr:clientData/>
  </xdr:twoCellAnchor>
  <xdr:twoCellAnchor>
    <xdr:from>
      <xdr:col>18</xdr:col>
      <xdr:colOff>196850</xdr:colOff>
      <xdr:row>29</xdr:row>
      <xdr:rowOff>88900</xdr:rowOff>
    </xdr:from>
    <xdr:to>
      <xdr:col>18</xdr:col>
      <xdr:colOff>1035050</xdr:colOff>
      <xdr:row>29</xdr:row>
      <xdr:rowOff>88900</xdr:rowOff>
    </xdr:to>
    <xdr:sp macro="" textlink="">
      <xdr:nvSpPr>
        <xdr:cNvPr id="5501653" name="Line 280">
          <a:extLst>
            <a:ext uri="{FF2B5EF4-FFF2-40B4-BE49-F238E27FC236}">
              <a16:creationId xmlns:a16="http://schemas.microsoft.com/office/drawing/2014/main" id="{00000000-0008-0000-0700-0000D5F25300}"/>
            </a:ext>
          </a:extLst>
        </xdr:cNvPr>
        <xdr:cNvSpPr>
          <a:spLocks noChangeShapeType="1"/>
        </xdr:cNvSpPr>
      </xdr:nvSpPr>
      <xdr:spPr bwMode="auto">
        <a:xfrm>
          <a:off x="14909800" y="5010150"/>
          <a:ext cx="838200" cy="0"/>
        </a:xfrm>
        <a:prstGeom prst="line">
          <a:avLst/>
        </a:prstGeom>
        <a:noFill/>
        <a:ln w="6350">
          <a:solidFill>
            <a:srgbClr val="000000"/>
          </a:solidFill>
          <a:round/>
          <a:headEnd/>
          <a:tailEnd/>
        </a:ln>
      </xdr:spPr>
    </xdr:sp>
    <xdr:clientData/>
  </xdr:twoCellAnchor>
  <xdr:twoCellAnchor>
    <xdr:from>
      <xdr:col>17</xdr:col>
      <xdr:colOff>508000</xdr:colOff>
      <xdr:row>20</xdr:row>
      <xdr:rowOff>0</xdr:rowOff>
    </xdr:from>
    <xdr:to>
      <xdr:col>17</xdr:col>
      <xdr:colOff>508000</xdr:colOff>
      <xdr:row>28</xdr:row>
      <xdr:rowOff>127000</xdr:rowOff>
    </xdr:to>
    <xdr:sp macro="" textlink="">
      <xdr:nvSpPr>
        <xdr:cNvPr id="5501654" name="Line 281">
          <a:extLst>
            <a:ext uri="{FF2B5EF4-FFF2-40B4-BE49-F238E27FC236}">
              <a16:creationId xmlns:a16="http://schemas.microsoft.com/office/drawing/2014/main" id="{00000000-0008-0000-0700-0000D6F25300}"/>
            </a:ext>
          </a:extLst>
        </xdr:cNvPr>
        <xdr:cNvSpPr>
          <a:spLocks noChangeShapeType="1"/>
        </xdr:cNvSpPr>
      </xdr:nvSpPr>
      <xdr:spPr bwMode="auto">
        <a:xfrm flipH="1">
          <a:off x="14084300" y="3422650"/>
          <a:ext cx="0" cy="1454150"/>
        </a:xfrm>
        <a:prstGeom prst="line">
          <a:avLst/>
        </a:prstGeom>
        <a:noFill/>
        <a:ln w="6350">
          <a:solidFill>
            <a:srgbClr val="000000"/>
          </a:solidFill>
          <a:round/>
          <a:headEnd type="triangle" w="sm" len="lg"/>
          <a:tailEnd type="triangle" w="sm" len="lg"/>
        </a:ln>
      </xdr:spPr>
    </xdr:sp>
    <xdr:clientData/>
  </xdr:twoCellAnchor>
  <xdr:twoCellAnchor>
    <xdr:from>
      <xdr:col>16</xdr:col>
      <xdr:colOff>311150</xdr:colOff>
      <xdr:row>27</xdr:row>
      <xdr:rowOff>133350</xdr:rowOff>
    </xdr:from>
    <xdr:to>
      <xdr:col>16</xdr:col>
      <xdr:colOff>323850</xdr:colOff>
      <xdr:row>31</xdr:row>
      <xdr:rowOff>95250</xdr:rowOff>
    </xdr:to>
    <xdr:sp macro="" textlink="">
      <xdr:nvSpPr>
        <xdr:cNvPr id="5501655" name="Line 282">
          <a:extLst>
            <a:ext uri="{FF2B5EF4-FFF2-40B4-BE49-F238E27FC236}">
              <a16:creationId xmlns:a16="http://schemas.microsoft.com/office/drawing/2014/main" id="{00000000-0008-0000-0700-0000D7F25300}"/>
            </a:ext>
          </a:extLst>
        </xdr:cNvPr>
        <xdr:cNvSpPr>
          <a:spLocks noChangeShapeType="1"/>
        </xdr:cNvSpPr>
      </xdr:nvSpPr>
      <xdr:spPr bwMode="auto">
        <a:xfrm flipH="1">
          <a:off x="13074650" y="4711700"/>
          <a:ext cx="12700" cy="647700"/>
        </a:xfrm>
        <a:prstGeom prst="line">
          <a:avLst/>
        </a:prstGeom>
        <a:noFill/>
        <a:ln w="6350">
          <a:solidFill>
            <a:srgbClr val="000000"/>
          </a:solidFill>
          <a:round/>
          <a:headEnd type="triangle" w="sm" len="lg"/>
          <a:tailEnd type="triangle" w="sm" len="lg"/>
        </a:ln>
      </xdr:spPr>
    </xdr:sp>
    <xdr:clientData/>
  </xdr:twoCellAnchor>
  <xdr:twoCellAnchor>
    <xdr:from>
      <xdr:col>16</xdr:col>
      <xdr:colOff>730250</xdr:colOff>
      <xdr:row>20</xdr:row>
      <xdr:rowOff>0</xdr:rowOff>
    </xdr:from>
    <xdr:to>
      <xdr:col>16</xdr:col>
      <xdr:colOff>730250</xdr:colOff>
      <xdr:row>27</xdr:row>
      <xdr:rowOff>133350</xdr:rowOff>
    </xdr:to>
    <xdr:sp macro="" textlink="">
      <xdr:nvSpPr>
        <xdr:cNvPr id="5501656" name="Line 283">
          <a:extLst>
            <a:ext uri="{FF2B5EF4-FFF2-40B4-BE49-F238E27FC236}">
              <a16:creationId xmlns:a16="http://schemas.microsoft.com/office/drawing/2014/main" id="{00000000-0008-0000-0700-0000D8F25300}"/>
            </a:ext>
          </a:extLst>
        </xdr:cNvPr>
        <xdr:cNvSpPr>
          <a:spLocks noChangeShapeType="1"/>
        </xdr:cNvSpPr>
      </xdr:nvSpPr>
      <xdr:spPr bwMode="auto">
        <a:xfrm>
          <a:off x="13493750" y="3422650"/>
          <a:ext cx="0" cy="1289050"/>
        </a:xfrm>
        <a:prstGeom prst="line">
          <a:avLst/>
        </a:prstGeom>
        <a:noFill/>
        <a:ln w="6350">
          <a:solidFill>
            <a:srgbClr val="000000"/>
          </a:solidFill>
          <a:round/>
          <a:headEnd type="triangle" w="sm" len="lg"/>
          <a:tailEnd type="triangle" w="sm" len="lg"/>
        </a:ln>
      </xdr:spPr>
    </xdr:sp>
    <xdr:clientData/>
  </xdr:twoCellAnchor>
  <xdr:twoCellAnchor>
    <xdr:from>
      <xdr:col>17</xdr:col>
      <xdr:colOff>69850</xdr:colOff>
      <xdr:row>31</xdr:row>
      <xdr:rowOff>95250</xdr:rowOff>
    </xdr:from>
    <xdr:to>
      <xdr:col>17</xdr:col>
      <xdr:colOff>69850</xdr:colOff>
      <xdr:row>32</xdr:row>
      <xdr:rowOff>0</xdr:rowOff>
    </xdr:to>
    <xdr:sp macro="" textlink="">
      <xdr:nvSpPr>
        <xdr:cNvPr id="5501657" name="Line 284">
          <a:extLst>
            <a:ext uri="{FF2B5EF4-FFF2-40B4-BE49-F238E27FC236}">
              <a16:creationId xmlns:a16="http://schemas.microsoft.com/office/drawing/2014/main" id="{00000000-0008-0000-0700-0000D9F25300}"/>
            </a:ext>
          </a:extLst>
        </xdr:cNvPr>
        <xdr:cNvSpPr>
          <a:spLocks noChangeShapeType="1"/>
        </xdr:cNvSpPr>
      </xdr:nvSpPr>
      <xdr:spPr bwMode="auto">
        <a:xfrm flipV="1">
          <a:off x="13646150" y="5359400"/>
          <a:ext cx="0" cy="76200"/>
        </a:xfrm>
        <a:prstGeom prst="line">
          <a:avLst/>
        </a:prstGeom>
        <a:noFill/>
        <a:ln w="6350">
          <a:solidFill>
            <a:srgbClr val="000000"/>
          </a:solidFill>
          <a:round/>
          <a:headEnd/>
          <a:tailEnd/>
        </a:ln>
      </xdr:spPr>
    </xdr:sp>
    <xdr:clientData/>
  </xdr:twoCellAnchor>
  <xdr:twoCellAnchor>
    <xdr:from>
      <xdr:col>17</xdr:col>
      <xdr:colOff>946150</xdr:colOff>
      <xdr:row>29</xdr:row>
      <xdr:rowOff>88900</xdr:rowOff>
    </xdr:from>
    <xdr:to>
      <xdr:col>17</xdr:col>
      <xdr:colOff>946150</xdr:colOff>
      <xdr:row>31</xdr:row>
      <xdr:rowOff>158750</xdr:rowOff>
    </xdr:to>
    <xdr:sp macro="" textlink="">
      <xdr:nvSpPr>
        <xdr:cNvPr id="5501658" name="Line 285">
          <a:extLst>
            <a:ext uri="{FF2B5EF4-FFF2-40B4-BE49-F238E27FC236}">
              <a16:creationId xmlns:a16="http://schemas.microsoft.com/office/drawing/2014/main" id="{00000000-0008-0000-0700-0000DAF25300}"/>
            </a:ext>
          </a:extLst>
        </xdr:cNvPr>
        <xdr:cNvSpPr>
          <a:spLocks noChangeShapeType="1"/>
        </xdr:cNvSpPr>
      </xdr:nvSpPr>
      <xdr:spPr bwMode="auto">
        <a:xfrm flipH="1" flipV="1">
          <a:off x="14522450" y="5010150"/>
          <a:ext cx="0" cy="412750"/>
        </a:xfrm>
        <a:prstGeom prst="line">
          <a:avLst/>
        </a:prstGeom>
        <a:noFill/>
        <a:ln w="6350">
          <a:solidFill>
            <a:srgbClr val="000000"/>
          </a:solidFill>
          <a:round/>
          <a:headEnd/>
          <a:tailEnd/>
        </a:ln>
      </xdr:spPr>
    </xdr:sp>
    <xdr:clientData/>
  </xdr:twoCellAnchor>
  <xdr:twoCellAnchor>
    <xdr:from>
      <xdr:col>17</xdr:col>
      <xdr:colOff>88900</xdr:colOff>
      <xdr:row>31</xdr:row>
      <xdr:rowOff>127000</xdr:rowOff>
    </xdr:from>
    <xdr:to>
      <xdr:col>17</xdr:col>
      <xdr:colOff>958850</xdr:colOff>
      <xdr:row>31</xdr:row>
      <xdr:rowOff>127000</xdr:rowOff>
    </xdr:to>
    <xdr:sp macro="" textlink="">
      <xdr:nvSpPr>
        <xdr:cNvPr id="5501659" name="Line 286">
          <a:extLst>
            <a:ext uri="{FF2B5EF4-FFF2-40B4-BE49-F238E27FC236}">
              <a16:creationId xmlns:a16="http://schemas.microsoft.com/office/drawing/2014/main" id="{00000000-0008-0000-0700-0000DBF25300}"/>
            </a:ext>
          </a:extLst>
        </xdr:cNvPr>
        <xdr:cNvSpPr>
          <a:spLocks noChangeShapeType="1"/>
        </xdr:cNvSpPr>
      </xdr:nvSpPr>
      <xdr:spPr bwMode="auto">
        <a:xfrm flipV="1">
          <a:off x="13665200" y="5391150"/>
          <a:ext cx="869950" cy="0"/>
        </a:xfrm>
        <a:prstGeom prst="line">
          <a:avLst/>
        </a:prstGeom>
        <a:noFill/>
        <a:ln w="6350">
          <a:solidFill>
            <a:srgbClr val="000000"/>
          </a:solidFill>
          <a:round/>
          <a:headEnd type="triangle" w="sm" len="lg"/>
          <a:tailEnd type="triangle" w="sm" len="lg"/>
        </a:ln>
      </xdr:spPr>
    </xdr:sp>
    <xdr:clientData/>
  </xdr:twoCellAnchor>
  <xdr:twoCellAnchor>
    <xdr:from>
      <xdr:col>17</xdr:col>
      <xdr:colOff>666750</xdr:colOff>
      <xdr:row>16</xdr:row>
      <xdr:rowOff>57150</xdr:rowOff>
    </xdr:from>
    <xdr:to>
      <xdr:col>18</xdr:col>
      <xdr:colOff>514350</xdr:colOff>
      <xdr:row>16</xdr:row>
      <xdr:rowOff>57150</xdr:rowOff>
    </xdr:to>
    <xdr:sp macro="" textlink="">
      <xdr:nvSpPr>
        <xdr:cNvPr id="5501660" name="Line 287">
          <a:extLst>
            <a:ext uri="{FF2B5EF4-FFF2-40B4-BE49-F238E27FC236}">
              <a16:creationId xmlns:a16="http://schemas.microsoft.com/office/drawing/2014/main" id="{00000000-0008-0000-0700-0000DCF25300}"/>
            </a:ext>
          </a:extLst>
        </xdr:cNvPr>
        <xdr:cNvSpPr>
          <a:spLocks noChangeShapeType="1"/>
        </xdr:cNvSpPr>
      </xdr:nvSpPr>
      <xdr:spPr bwMode="auto">
        <a:xfrm flipV="1">
          <a:off x="14243050" y="2819400"/>
          <a:ext cx="984250" cy="0"/>
        </a:xfrm>
        <a:prstGeom prst="line">
          <a:avLst/>
        </a:prstGeom>
        <a:noFill/>
        <a:ln w="3175">
          <a:solidFill>
            <a:srgbClr val="92D050"/>
          </a:solidFill>
          <a:prstDash val="sysDot"/>
          <a:round/>
          <a:headEnd type="triangle" w="sm" len="sm"/>
          <a:tailEnd type="triangle" w="sm" len="sm"/>
        </a:ln>
      </xdr:spPr>
    </xdr:sp>
    <xdr:clientData/>
  </xdr:twoCellAnchor>
  <xdr:twoCellAnchor>
    <xdr:from>
      <xdr:col>17</xdr:col>
      <xdr:colOff>831850</xdr:colOff>
      <xdr:row>14</xdr:row>
      <xdr:rowOff>127000</xdr:rowOff>
    </xdr:from>
    <xdr:to>
      <xdr:col>19</xdr:col>
      <xdr:colOff>19050</xdr:colOff>
      <xdr:row>14</xdr:row>
      <xdr:rowOff>127000</xdr:rowOff>
    </xdr:to>
    <xdr:sp macro="" textlink="">
      <xdr:nvSpPr>
        <xdr:cNvPr id="5501661" name="Line 289">
          <a:extLst>
            <a:ext uri="{FF2B5EF4-FFF2-40B4-BE49-F238E27FC236}">
              <a16:creationId xmlns:a16="http://schemas.microsoft.com/office/drawing/2014/main" id="{00000000-0008-0000-0700-0000DDF25300}"/>
            </a:ext>
          </a:extLst>
        </xdr:cNvPr>
        <xdr:cNvSpPr>
          <a:spLocks noChangeShapeType="1"/>
        </xdr:cNvSpPr>
      </xdr:nvSpPr>
      <xdr:spPr bwMode="auto">
        <a:xfrm>
          <a:off x="14408150" y="2559050"/>
          <a:ext cx="1460500" cy="0"/>
        </a:xfrm>
        <a:prstGeom prst="line">
          <a:avLst/>
        </a:prstGeom>
        <a:noFill/>
        <a:ln w="6350">
          <a:solidFill>
            <a:srgbClr val="92D050"/>
          </a:solidFill>
          <a:round/>
          <a:headEnd/>
          <a:tailEnd/>
        </a:ln>
      </xdr:spPr>
    </xdr:sp>
    <xdr:clientData/>
  </xdr:twoCellAnchor>
  <xdr:twoCellAnchor>
    <xdr:from>
      <xdr:col>17</xdr:col>
      <xdr:colOff>679450</xdr:colOff>
      <xdr:row>15</xdr:row>
      <xdr:rowOff>127000</xdr:rowOff>
    </xdr:from>
    <xdr:to>
      <xdr:col>19</xdr:col>
      <xdr:colOff>44450</xdr:colOff>
      <xdr:row>15</xdr:row>
      <xdr:rowOff>127000</xdr:rowOff>
    </xdr:to>
    <xdr:sp macro="" textlink="">
      <xdr:nvSpPr>
        <xdr:cNvPr id="5501662" name="Line 290">
          <a:extLst>
            <a:ext uri="{FF2B5EF4-FFF2-40B4-BE49-F238E27FC236}">
              <a16:creationId xmlns:a16="http://schemas.microsoft.com/office/drawing/2014/main" id="{00000000-0008-0000-0700-0000DEF25300}"/>
            </a:ext>
          </a:extLst>
        </xdr:cNvPr>
        <xdr:cNvSpPr>
          <a:spLocks noChangeShapeType="1"/>
        </xdr:cNvSpPr>
      </xdr:nvSpPr>
      <xdr:spPr bwMode="auto">
        <a:xfrm>
          <a:off x="14255750" y="2724150"/>
          <a:ext cx="1638300" cy="0"/>
        </a:xfrm>
        <a:prstGeom prst="line">
          <a:avLst/>
        </a:prstGeom>
        <a:noFill/>
        <a:ln w="6350">
          <a:solidFill>
            <a:srgbClr val="92D050"/>
          </a:solidFill>
          <a:round/>
          <a:headEnd/>
          <a:tailEnd/>
        </a:ln>
      </xdr:spPr>
    </xdr:sp>
    <xdr:clientData/>
  </xdr:twoCellAnchor>
  <xdr:twoCellAnchor>
    <xdr:from>
      <xdr:col>17</xdr:col>
      <xdr:colOff>666750</xdr:colOff>
      <xdr:row>18</xdr:row>
      <xdr:rowOff>69850</xdr:rowOff>
    </xdr:from>
    <xdr:to>
      <xdr:col>19</xdr:col>
      <xdr:colOff>44450</xdr:colOff>
      <xdr:row>18</xdr:row>
      <xdr:rowOff>69850</xdr:rowOff>
    </xdr:to>
    <xdr:sp macro="" textlink="">
      <xdr:nvSpPr>
        <xdr:cNvPr id="5501663" name="Line 291">
          <a:extLst>
            <a:ext uri="{FF2B5EF4-FFF2-40B4-BE49-F238E27FC236}">
              <a16:creationId xmlns:a16="http://schemas.microsoft.com/office/drawing/2014/main" id="{00000000-0008-0000-0700-0000DFF25300}"/>
            </a:ext>
          </a:extLst>
        </xdr:cNvPr>
        <xdr:cNvSpPr>
          <a:spLocks noChangeShapeType="1"/>
        </xdr:cNvSpPr>
      </xdr:nvSpPr>
      <xdr:spPr bwMode="auto">
        <a:xfrm>
          <a:off x="14243050" y="3162300"/>
          <a:ext cx="1651000" cy="0"/>
        </a:xfrm>
        <a:prstGeom prst="line">
          <a:avLst/>
        </a:prstGeom>
        <a:noFill/>
        <a:ln w="6350">
          <a:solidFill>
            <a:srgbClr val="92D050"/>
          </a:solidFill>
          <a:round/>
          <a:headEnd/>
          <a:tailEnd/>
        </a:ln>
      </xdr:spPr>
    </xdr:sp>
    <xdr:clientData/>
  </xdr:twoCellAnchor>
  <xdr:twoCellAnchor>
    <xdr:from>
      <xdr:col>17</xdr:col>
      <xdr:colOff>946150</xdr:colOff>
      <xdr:row>19</xdr:row>
      <xdr:rowOff>139700</xdr:rowOff>
    </xdr:from>
    <xdr:to>
      <xdr:col>19</xdr:col>
      <xdr:colOff>12700</xdr:colOff>
      <xdr:row>19</xdr:row>
      <xdr:rowOff>139700</xdr:rowOff>
    </xdr:to>
    <xdr:sp macro="" textlink="">
      <xdr:nvSpPr>
        <xdr:cNvPr id="5501664" name="Line 292">
          <a:extLst>
            <a:ext uri="{FF2B5EF4-FFF2-40B4-BE49-F238E27FC236}">
              <a16:creationId xmlns:a16="http://schemas.microsoft.com/office/drawing/2014/main" id="{00000000-0008-0000-0700-0000E0F25300}"/>
            </a:ext>
          </a:extLst>
        </xdr:cNvPr>
        <xdr:cNvSpPr>
          <a:spLocks noChangeShapeType="1"/>
        </xdr:cNvSpPr>
      </xdr:nvSpPr>
      <xdr:spPr bwMode="auto">
        <a:xfrm>
          <a:off x="14522450" y="3397250"/>
          <a:ext cx="1339850" cy="0"/>
        </a:xfrm>
        <a:prstGeom prst="line">
          <a:avLst/>
        </a:prstGeom>
        <a:noFill/>
        <a:ln w="6350">
          <a:solidFill>
            <a:srgbClr val="92D050"/>
          </a:solidFill>
          <a:round/>
          <a:headEnd/>
          <a:tailEnd/>
        </a:ln>
      </xdr:spPr>
    </xdr:sp>
    <xdr:clientData/>
  </xdr:twoCellAnchor>
  <xdr:twoCellAnchor>
    <xdr:from>
      <xdr:col>17</xdr:col>
      <xdr:colOff>1136650</xdr:colOff>
      <xdr:row>1</xdr:row>
      <xdr:rowOff>0</xdr:rowOff>
    </xdr:from>
    <xdr:to>
      <xdr:col>18</xdr:col>
      <xdr:colOff>0</xdr:colOff>
      <xdr:row>14</xdr:row>
      <xdr:rowOff>127000</xdr:rowOff>
    </xdr:to>
    <xdr:sp macro="" textlink="">
      <xdr:nvSpPr>
        <xdr:cNvPr id="5501665" name="Line 293">
          <a:extLst>
            <a:ext uri="{FF2B5EF4-FFF2-40B4-BE49-F238E27FC236}">
              <a16:creationId xmlns:a16="http://schemas.microsoft.com/office/drawing/2014/main" id="{00000000-0008-0000-0700-0000E1F25300}"/>
            </a:ext>
          </a:extLst>
        </xdr:cNvPr>
        <xdr:cNvSpPr>
          <a:spLocks noChangeShapeType="1"/>
        </xdr:cNvSpPr>
      </xdr:nvSpPr>
      <xdr:spPr bwMode="auto">
        <a:xfrm flipH="1">
          <a:off x="14712950" y="171450"/>
          <a:ext cx="0" cy="2387600"/>
        </a:xfrm>
        <a:prstGeom prst="line">
          <a:avLst/>
        </a:prstGeom>
        <a:noFill/>
        <a:ln w="9525">
          <a:solidFill>
            <a:srgbClr val="92D050"/>
          </a:solidFill>
          <a:prstDash val="sysDot"/>
          <a:round/>
          <a:headEnd type="triangle" w="sm" len="sm"/>
          <a:tailEnd type="triangle" w="sm" len="sm"/>
        </a:ln>
      </xdr:spPr>
    </xdr:sp>
    <xdr:clientData/>
  </xdr:twoCellAnchor>
  <xdr:twoCellAnchor>
    <xdr:from>
      <xdr:col>18</xdr:col>
      <xdr:colOff>190500</xdr:colOff>
      <xdr:row>1</xdr:row>
      <xdr:rowOff>0</xdr:rowOff>
    </xdr:from>
    <xdr:to>
      <xdr:col>18</xdr:col>
      <xdr:colOff>190500</xdr:colOff>
      <xdr:row>18</xdr:row>
      <xdr:rowOff>69850</xdr:rowOff>
    </xdr:to>
    <xdr:sp macro="" textlink="">
      <xdr:nvSpPr>
        <xdr:cNvPr id="5501666" name="Line 294">
          <a:extLst>
            <a:ext uri="{FF2B5EF4-FFF2-40B4-BE49-F238E27FC236}">
              <a16:creationId xmlns:a16="http://schemas.microsoft.com/office/drawing/2014/main" id="{00000000-0008-0000-0700-0000E2F25300}"/>
            </a:ext>
          </a:extLst>
        </xdr:cNvPr>
        <xdr:cNvSpPr>
          <a:spLocks noChangeShapeType="1"/>
        </xdr:cNvSpPr>
      </xdr:nvSpPr>
      <xdr:spPr bwMode="auto">
        <a:xfrm>
          <a:off x="14903450" y="171450"/>
          <a:ext cx="0" cy="2990850"/>
        </a:xfrm>
        <a:prstGeom prst="line">
          <a:avLst/>
        </a:prstGeom>
        <a:noFill/>
        <a:ln w="9525">
          <a:solidFill>
            <a:srgbClr val="92D050"/>
          </a:solidFill>
          <a:prstDash val="sysDot"/>
          <a:round/>
          <a:headEnd type="triangle" w="sm" len="sm"/>
          <a:tailEnd type="triangle" w="sm" len="sm"/>
        </a:ln>
      </xdr:spPr>
    </xdr:sp>
    <xdr:clientData/>
  </xdr:twoCellAnchor>
  <xdr:twoCellAnchor>
    <xdr:from>
      <xdr:col>19</xdr:col>
      <xdr:colOff>19050</xdr:colOff>
      <xdr:row>14</xdr:row>
      <xdr:rowOff>127000</xdr:rowOff>
    </xdr:from>
    <xdr:to>
      <xdr:col>19</xdr:col>
      <xdr:colOff>19050</xdr:colOff>
      <xdr:row>15</xdr:row>
      <xdr:rowOff>127000</xdr:rowOff>
    </xdr:to>
    <xdr:sp macro="" textlink="">
      <xdr:nvSpPr>
        <xdr:cNvPr id="5501667" name="Line 295">
          <a:extLst>
            <a:ext uri="{FF2B5EF4-FFF2-40B4-BE49-F238E27FC236}">
              <a16:creationId xmlns:a16="http://schemas.microsoft.com/office/drawing/2014/main" id="{00000000-0008-0000-0700-0000E3F25300}"/>
            </a:ext>
          </a:extLst>
        </xdr:cNvPr>
        <xdr:cNvSpPr>
          <a:spLocks noChangeShapeType="1"/>
        </xdr:cNvSpPr>
      </xdr:nvSpPr>
      <xdr:spPr bwMode="auto">
        <a:xfrm>
          <a:off x="15868650" y="2559050"/>
          <a:ext cx="0" cy="165100"/>
        </a:xfrm>
        <a:prstGeom prst="line">
          <a:avLst/>
        </a:prstGeom>
        <a:noFill/>
        <a:ln w="3175">
          <a:solidFill>
            <a:srgbClr val="92D050"/>
          </a:solidFill>
          <a:prstDash val="sysDot"/>
          <a:round/>
          <a:headEnd type="triangle" w="sm" len="sm"/>
          <a:tailEnd type="triangle" w="sm" len="sm"/>
        </a:ln>
      </xdr:spPr>
    </xdr:sp>
    <xdr:clientData/>
  </xdr:twoCellAnchor>
  <xdr:twoCellAnchor>
    <xdr:from>
      <xdr:col>19</xdr:col>
      <xdr:colOff>12700</xdr:colOff>
      <xdr:row>18</xdr:row>
      <xdr:rowOff>69850</xdr:rowOff>
    </xdr:from>
    <xdr:to>
      <xdr:col>19</xdr:col>
      <xdr:colOff>12700</xdr:colOff>
      <xdr:row>19</xdr:row>
      <xdr:rowOff>139700</xdr:rowOff>
    </xdr:to>
    <xdr:sp macro="" textlink="">
      <xdr:nvSpPr>
        <xdr:cNvPr id="5501668" name="Line 296">
          <a:extLst>
            <a:ext uri="{FF2B5EF4-FFF2-40B4-BE49-F238E27FC236}">
              <a16:creationId xmlns:a16="http://schemas.microsoft.com/office/drawing/2014/main" id="{00000000-0008-0000-0700-0000E4F25300}"/>
            </a:ext>
          </a:extLst>
        </xdr:cNvPr>
        <xdr:cNvSpPr>
          <a:spLocks noChangeShapeType="1"/>
        </xdr:cNvSpPr>
      </xdr:nvSpPr>
      <xdr:spPr bwMode="auto">
        <a:xfrm>
          <a:off x="15862300" y="3162300"/>
          <a:ext cx="0" cy="234950"/>
        </a:xfrm>
        <a:prstGeom prst="line">
          <a:avLst/>
        </a:prstGeom>
        <a:noFill/>
        <a:ln w="9525">
          <a:solidFill>
            <a:srgbClr val="92D050"/>
          </a:solidFill>
          <a:prstDash val="sysDot"/>
          <a:round/>
          <a:headEnd type="triangle" w="sm" len="sm"/>
          <a:tailEnd type="triangle" w="sm" len="sm"/>
        </a:ln>
      </xdr:spPr>
    </xdr:sp>
    <xdr:clientData/>
  </xdr:twoCellAnchor>
  <xdr:twoCellAnchor>
    <xdr:from>
      <xdr:col>17</xdr:col>
      <xdr:colOff>0</xdr:colOff>
      <xdr:row>11</xdr:row>
      <xdr:rowOff>101600</xdr:rowOff>
    </xdr:from>
    <xdr:to>
      <xdr:col>17</xdr:col>
      <xdr:colOff>838200</xdr:colOff>
      <xdr:row>11</xdr:row>
      <xdr:rowOff>101600</xdr:rowOff>
    </xdr:to>
    <xdr:sp macro="" textlink="">
      <xdr:nvSpPr>
        <xdr:cNvPr id="5501669" name="Line 297">
          <a:extLst>
            <a:ext uri="{FF2B5EF4-FFF2-40B4-BE49-F238E27FC236}">
              <a16:creationId xmlns:a16="http://schemas.microsoft.com/office/drawing/2014/main" id="{00000000-0008-0000-0700-0000E5F25300}"/>
            </a:ext>
          </a:extLst>
        </xdr:cNvPr>
        <xdr:cNvSpPr>
          <a:spLocks noChangeShapeType="1"/>
        </xdr:cNvSpPr>
      </xdr:nvSpPr>
      <xdr:spPr bwMode="auto">
        <a:xfrm>
          <a:off x="13576300" y="2032000"/>
          <a:ext cx="838200" cy="0"/>
        </a:xfrm>
        <a:prstGeom prst="line">
          <a:avLst/>
        </a:prstGeom>
        <a:noFill/>
        <a:ln w="9525">
          <a:solidFill>
            <a:srgbClr val="000000"/>
          </a:solidFill>
          <a:round/>
          <a:headEnd/>
          <a:tailEnd/>
        </a:ln>
      </xdr:spPr>
    </xdr:sp>
    <xdr:clientData/>
  </xdr:twoCellAnchor>
  <xdr:twoCellAnchor>
    <xdr:from>
      <xdr:col>17</xdr:col>
      <xdr:colOff>0</xdr:colOff>
      <xdr:row>16</xdr:row>
      <xdr:rowOff>69850</xdr:rowOff>
    </xdr:from>
    <xdr:to>
      <xdr:col>17</xdr:col>
      <xdr:colOff>679450</xdr:colOff>
      <xdr:row>16</xdr:row>
      <xdr:rowOff>69850</xdr:rowOff>
    </xdr:to>
    <xdr:sp macro="" textlink="">
      <xdr:nvSpPr>
        <xdr:cNvPr id="5501670" name="Line 298">
          <a:extLst>
            <a:ext uri="{FF2B5EF4-FFF2-40B4-BE49-F238E27FC236}">
              <a16:creationId xmlns:a16="http://schemas.microsoft.com/office/drawing/2014/main" id="{00000000-0008-0000-0700-0000E6F25300}"/>
            </a:ext>
          </a:extLst>
        </xdr:cNvPr>
        <xdr:cNvSpPr>
          <a:spLocks noChangeShapeType="1"/>
        </xdr:cNvSpPr>
      </xdr:nvSpPr>
      <xdr:spPr bwMode="auto">
        <a:xfrm>
          <a:off x="13576300" y="2832100"/>
          <a:ext cx="679450" cy="0"/>
        </a:xfrm>
        <a:prstGeom prst="line">
          <a:avLst/>
        </a:prstGeom>
        <a:noFill/>
        <a:ln w="9525">
          <a:solidFill>
            <a:srgbClr val="92D050"/>
          </a:solidFill>
          <a:round/>
          <a:headEnd/>
          <a:tailEnd/>
        </a:ln>
      </xdr:spPr>
    </xdr:sp>
    <xdr:clientData/>
  </xdr:twoCellAnchor>
  <xdr:twoCellAnchor>
    <xdr:from>
      <xdr:col>17</xdr:col>
      <xdr:colOff>514350</xdr:colOff>
      <xdr:row>31</xdr:row>
      <xdr:rowOff>127000</xdr:rowOff>
    </xdr:from>
    <xdr:to>
      <xdr:col>17</xdr:col>
      <xdr:colOff>514350</xdr:colOff>
      <xdr:row>33</xdr:row>
      <xdr:rowOff>95250</xdr:rowOff>
    </xdr:to>
    <xdr:sp macro="" textlink="">
      <xdr:nvSpPr>
        <xdr:cNvPr id="5501671" name="Line 301">
          <a:extLst>
            <a:ext uri="{FF2B5EF4-FFF2-40B4-BE49-F238E27FC236}">
              <a16:creationId xmlns:a16="http://schemas.microsoft.com/office/drawing/2014/main" id="{00000000-0008-0000-0700-0000E7F25300}"/>
            </a:ext>
          </a:extLst>
        </xdr:cNvPr>
        <xdr:cNvSpPr>
          <a:spLocks noChangeShapeType="1"/>
        </xdr:cNvSpPr>
      </xdr:nvSpPr>
      <xdr:spPr bwMode="auto">
        <a:xfrm flipH="1">
          <a:off x="14090650" y="5391150"/>
          <a:ext cx="0" cy="311150"/>
        </a:xfrm>
        <a:prstGeom prst="line">
          <a:avLst/>
        </a:prstGeom>
        <a:noFill/>
        <a:ln w="9525">
          <a:solidFill>
            <a:srgbClr val="000000"/>
          </a:solidFill>
          <a:round/>
          <a:headEnd/>
          <a:tailEnd/>
        </a:ln>
      </xdr:spPr>
    </xdr:sp>
    <xdr:clientData/>
  </xdr:twoCellAnchor>
  <xdr:twoCellAnchor>
    <xdr:from>
      <xdr:col>17</xdr:col>
      <xdr:colOff>0</xdr:colOff>
      <xdr:row>2</xdr:row>
      <xdr:rowOff>76200</xdr:rowOff>
    </xdr:from>
    <xdr:to>
      <xdr:col>17</xdr:col>
      <xdr:colOff>152400</xdr:colOff>
      <xdr:row>2</xdr:row>
      <xdr:rowOff>76200</xdr:rowOff>
    </xdr:to>
    <xdr:sp macro="" textlink="">
      <xdr:nvSpPr>
        <xdr:cNvPr id="5501672" name="Line 302">
          <a:extLst>
            <a:ext uri="{FF2B5EF4-FFF2-40B4-BE49-F238E27FC236}">
              <a16:creationId xmlns:a16="http://schemas.microsoft.com/office/drawing/2014/main" id="{00000000-0008-0000-0700-0000E8F25300}"/>
            </a:ext>
          </a:extLst>
        </xdr:cNvPr>
        <xdr:cNvSpPr>
          <a:spLocks noChangeShapeType="1"/>
        </xdr:cNvSpPr>
      </xdr:nvSpPr>
      <xdr:spPr bwMode="auto">
        <a:xfrm>
          <a:off x="13576300" y="419100"/>
          <a:ext cx="152400" cy="0"/>
        </a:xfrm>
        <a:prstGeom prst="line">
          <a:avLst/>
        </a:prstGeom>
        <a:noFill/>
        <a:ln w="9525">
          <a:solidFill>
            <a:srgbClr val="000000"/>
          </a:solidFill>
          <a:round/>
          <a:headEnd/>
          <a:tailEnd/>
        </a:ln>
      </xdr:spPr>
    </xdr:sp>
    <xdr:clientData/>
  </xdr:twoCellAnchor>
  <xdr:twoCellAnchor>
    <xdr:from>
      <xdr:col>17</xdr:col>
      <xdr:colOff>1771650</xdr:colOff>
      <xdr:row>10</xdr:row>
      <xdr:rowOff>88900</xdr:rowOff>
    </xdr:from>
    <xdr:to>
      <xdr:col>20</xdr:col>
      <xdr:colOff>0</xdr:colOff>
      <xdr:row>10</xdr:row>
      <xdr:rowOff>88900</xdr:rowOff>
    </xdr:to>
    <xdr:sp macro="" textlink="">
      <xdr:nvSpPr>
        <xdr:cNvPr id="5501673" name="Line 303">
          <a:extLst>
            <a:ext uri="{FF2B5EF4-FFF2-40B4-BE49-F238E27FC236}">
              <a16:creationId xmlns:a16="http://schemas.microsoft.com/office/drawing/2014/main" id="{00000000-0008-0000-0700-0000E9F25300}"/>
            </a:ext>
          </a:extLst>
        </xdr:cNvPr>
        <xdr:cNvSpPr>
          <a:spLocks noChangeShapeType="1"/>
        </xdr:cNvSpPr>
      </xdr:nvSpPr>
      <xdr:spPr bwMode="auto">
        <a:xfrm flipV="1">
          <a:off x="14712950" y="1847850"/>
          <a:ext cx="1949450" cy="0"/>
        </a:xfrm>
        <a:prstGeom prst="line">
          <a:avLst/>
        </a:prstGeom>
        <a:noFill/>
        <a:ln w="9525">
          <a:solidFill>
            <a:srgbClr val="92D050"/>
          </a:solidFill>
          <a:prstDash val="sysDot"/>
          <a:round/>
          <a:headEnd/>
          <a:tailEnd/>
        </a:ln>
      </xdr:spPr>
    </xdr:sp>
    <xdr:clientData/>
  </xdr:twoCellAnchor>
  <xdr:twoCellAnchor>
    <xdr:from>
      <xdr:col>18</xdr:col>
      <xdr:colOff>190500</xdr:colOff>
      <xdr:row>12</xdr:row>
      <xdr:rowOff>76200</xdr:rowOff>
    </xdr:from>
    <xdr:to>
      <xdr:col>20</xdr:col>
      <xdr:colOff>0</xdr:colOff>
      <xdr:row>12</xdr:row>
      <xdr:rowOff>76200</xdr:rowOff>
    </xdr:to>
    <xdr:sp macro="" textlink="">
      <xdr:nvSpPr>
        <xdr:cNvPr id="5501674" name="Line 304">
          <a:extLst>
            <a:ext uri="{FF2B5EF4-FFF2-40B4-BE49-F238E27FC236}">
              <a16:creationId xmlns:a16="http://schemas.microsoft.com/office/drawing/2014/main" id="{00000000-0008-0000-0700-0000EAF25300}"/>
            </a:ext>
          </a:extLst>
        </xdr:cNvPr>
        <xdr:cNvSpPr>
          <a:spLocks noChangeShapeType="1"/>
        </xdr:cNvSpPr>
      </xdr:nvSpPr>
      <xdr:spPr bwMode="auto">
        <a:xfrm flipV="1">
          <a:off x="14903450" y="2178050"/>
          <a:ext cx="1758950" cy="0"/>
        </a:xfrm>
        <a:prstGeom prst="line">
          <a:avLst/>
        </a:prstGeom>
        <a:noFill/>
        <a:ln w="9525">
          <a:solidFill>
            <a:srgbClr val="92D050"/>
          </a:solidFill>
          <a:prstDash val="sysDot"/>
          <a:round/>
          <a:headEnd/>
          <a:tailEnd/>
        </a:ln>
      </xdr:spPr>
    </xdr:sp>
    <xdr:clientData/>
  </xdr:twoCellAnchor>
  <xdr:twoCellAnchor>
    <xdr:from>
      <xdr:col>19</xdr:col>
      <xdr:colOff>19050</xdr:colOff>
      <xdr:row>15</xdr:row>
      <xdr:rowOff>44450</xdr:rowOff>
    </xdr:from>
    <xdr:to>
      <xdr:col>19</xdr:col>
      <xdr:colOff>787400</xdr:colOff>
      <xdr:row>15</xdr:row>
      <xdr:rowOff>44450</xdr:rowOff>
    </xdr:to>
    <xdr:sp macro="" textlink="">
      <xdr:nvSpPr>
        <xdr:cNvPr id="5501675" name="Line 305">
          <a:extLst>
            <a:ext uri="{FF2B5EF4-FFF2-40B4-BE49-F238E27FC236}">
              <a16:creationId xmlns:a16="http://schemas.microsoft.com/office/drawing/2014/main" id="{00000000-0008-0000-0700-0000EBF25300}"/>
            </a:ext>
          </a:extLst>
        </xdr:cNvPr>
        <xdr:cNvSpPr>
          <a:spLocks noChangeShapeType="1"/>
        </xdr:cNvSpPr>
      </xdr:nvSpPr>
      <xdr:spPr bwMode="auto">
        <a:xfrm flipV="1">
          <a:off x="15868650" y="2641600"/>
          <a:ext cx="768350" cy="0"/>
        </a:xfrm>
        <a:prstGeom prst="line">
          <a:avLst/>
        </a:prstGeom>
        <a:noFill/>
        <a:ln w="9525">
          <a:solidFill>
            <a:srgbClr val="92D050"/>
          </a:solidFill>
          <a:prstDash val="sysDot"/>
          <a:round/>
          <a:headEnd/>
          <a:tailEnd/>
        </a:ln>
      </xdr:spPr>
    </xdr:sp>
    <xdr:clientData/>
  </xdr:twoCellAnchor>
  <xdr:twoCellAnchor>
    <xdr:from>
      <xdr:col>19</xdr:col>
      <xdr:colOff>19050</xdr:colOff>
      <xdr:row>19</xdr:row>
      <xdr:rowOff>25400</xdr:rowOff>
    </xdr:from>
    <xdr:to>
      <xdr:col>19</xdr:col>
      <xdr:colOff>806450</xdr:colOff>
      <xdr:row>19</xdr:row>
      <xdr:rowOff>25400</xdr:rowOff>
    </xdr:to>
    <xdr:sp macro="" textlink="">
      <xdr:nvSpPr>
        <xdr:cNvPr id="5501676" name="Line 308">
          <a:extLst>
            <a:ext uri="{FF2B5EF4-FFF2-40B4-BE49-F238E27FC236}">
              <a16:creationId xmlns:a16="http://schemas.microsoft.com/office/drawing/2014/main" id="{00000000-0008-0000-0700-0000ECF25300}"/>
            </a:ext>
          </a:extLst>
        </xdr:cNvPr>
        <xdr:cNvSpPr>
          <a:spLocks noChangeShapeType="1"/>
        </xdr:cNvSpPr>
      </xdr:nvSpPr>
      <xdr:spPr bwMode="auto">
        <a:xfrm flipH="1" flipV="1">
          <a:off x="15868650" y="3282950"/>
          <a:ext cx="787400" cy="0"/>
        </a:xfrm>
        <a:prstGeom prst="line">
          <a:avLst/>
        </a:prstGeom>
        <a:noFill/>
        <a:ln w="9525">
          <a:solidFill>
            <a:srgbClr val="92D050"/>
          </a:solidFill>
          <a:prstDash val="sysDot"/>
          <a:round/>
          <a:headEnd type="none" w="sm" len="sm"/>
          <a:tailEnd type="none" w="sm" len="sm"/>
        </a:ln>
      </xdr:spPr>
    </xdr:sp>
    <xdr:clientData/>
  </xdr:twoCellAnchor>
  <xdr:twoCellAnchor>
    <xdr:from>
      <xdr:col>15</xdr:col>
      <xdr:colOff>812800</xdr:colOff>
      <xdr:row>28</xdr:row>
      <xdr:rowOff>88900</xdr:rowOff>
    </xdr:from>
    <xdr:to>
      <xdr:col>16</xdr:col>
      <xdr:colOff>323850</xdr:colOff>
      <xdr:row>28</xdr:row>
      <xdr:rowOff>88900</xdr:rowOff>
    </xdr:to>
    <xdr:sp macro="" textlink="">
      <xdr:nvSpPr>
        <xdr:cNvPr id="5501677" name="Line 310">
          <a:extLst>
            <a:ext uri="{FF2B5EF4-FFF2-40B4-BE49-F238E27FC236}">
              <a16:creationId xmlns:a16="http://schemas.microsoft.com/office/drawing/2014/main" id="{00000000-0008-0000-0700-0000EDF25300}"/>
            </a:ext>
          </a:extLst>
        </xdr:cNvPr>
        <xdr:cNvSpPr>
          <a:spLocks noChangeShapeType="1"/>
        </xdr:cNvSpPr>
      </xdr:nvSpPr>
      <xdr:spPr bwMode="auto">
        <a:xfrm>
          <a:off x="12763500" y="4838700"/>
          <a:ext cx="323850" cy="0"/>
        </a:xfrm>
        <a:prstGeom prst="line">
          <a:avLst/>
        </a:prstGeom>
        <a:noFill/>
        <a:ln w="9525">
          <a:solidFill>
            <a:srgbClr val="000000"/>
          </a:solidFill>
          <a:round/>
          <a:headEnd/>
          <a:tailEnd/>
        </a:ln>
      </xdr:spPr>
    </xdr:sp>
    <xdr:clientData/>
  </xdr:twoCellAnchor>
  <xdr:twoCellAnchor>
    <xdr:from>
      <xdr:col>16</xdr:col>
      <xdr:colOff>234950</xdr:colOff>
      <xdr:row>27</xdr:row>
      <xdr:rowOff>127000</xdr:rowOff>
    </xdr:from>
    <xdr:to>
      <xdr:col>17</xdr:col>
      <xdr:colOff>69850</xdr:colOff>
      <xdr:row>27</xdr:row>
      <xdr:rowOff>127000</xdr:rowOff>
    </xdr:to>
    <xdr:sp macro="" textlink="">
      <xdr:nvSpPr>
        <xdr:cNvPr id="5501678" name="Line 277">
          <a:extLst>
            <a:ext uri="{FF2B5EF4-FFF2-40B4-BE49-F238E27FC236}">
              <a16:creationId xmlns:a16="http://schemas.microsoft.com/office/drawing/2014/main" id="{00000000-0008-0000-0700-0000EEF25300}"/>
            </a:ext>
          </a:extLst>
        </xdr:cNvPr>
        <xdr:cNvSpPr>
          <a:spLocks noChangeShapeType="1"/>
        </xdr:cNvSpPr>
      </xdr:nvSpPr>
      <xdr:spPr bwMode="auto">
        <a:xfrm>
          <a:off x="12998450" y="4705350"/>
          <a:ext cx="647700" cy="0"/>
        </a:xfrm>
        <a:prstGeom prst="line">
          <a:avLst/>
        </a:prstGeom>
        <a:noFill/>
        <a:ln w="6350">
          <a:solidFill>
            <a:srgbClr val="000000"/>
          </a:solidFill>
          <a:round/>
          <a:headEnd/>
          <a:tailEnd/>
        </a:ln>
      </xdr:spPr>
    </xdr:sp>
    <xdr:clientData/>
  </xdr:twoCellAnchor>
  <xdr:twoCellAnchor>
    <xdr:from>
      <xdr:col>17</xdr:col>
      <xdr:colOff>412750</xdr:colOff>
      <xdr:row>28</xdr:row>
      <xdr:rowOff>127000</xdr:rowOff>
    </xdr:from>
    <xdr:to>
      <xdr:col>19</xdr:col>
      <xdr:colOff>82550</xdr:colOff>
      <xdr:row>28</xdr:row>
      <xdr:rowOff>127000</xdr:rowOff>
    </xdr:to>
    <xdr:sp macro="" textlink="">
      <xdr:nvSpPr>
        <xdr:cNvPr id="5501679" name="Line 280">
          <a:extLst>
            <a:ext uri="{FF2B5EF4-FFF2-40B4-BE49-F238E27FC236}">
              <a16:creationId xmlns:a16="http://schemas.microsoft.com/office/drawing/2014/main" id="{00000000-0008-0000-0700-0000EFF25300}"/>
            </a:ext>
          </a:extLst>
        </xdr:cNvPr>
        <xdr:cNvSpPr>
          <a:spLocks noChangeShapeType="1"/>
        </xdr:cNvSpPr>
      </xdr:nvSpPr>
      <xdr:spPr bwMode="auto">
        <a:xfrm flipV="1">
          <a:off x="13989050" y="4876800"/>
          <a:ext cx="1943100" cy="0"/>
        </a:xfrm>
        <a:prstGeom prst="line">
          <a:avLst/>
        </a:prstGeom>
        <a:noFill/>
        <a:ln w="6350">
          <a:solidFill>
            <a:srgbClr val="000000"/>
          </a:solidFill>
          <a:round/>
          <a:headEnd/>
          <a:tailEnd/>
        </a:ln>
      </xdr:spPr>
    </xdr:sp>
    <xdr:clientData/>
  </xdr:twoCellAnchor>
  <xdr:twoCellAnchor>
    <xdr:from>
      <xdr:col>18</xdr:col>
      <xdr:colOff>165100</xdr:colOff>
      <xdr:row>30</xdr:row>
      <xdr:rowOff>44450</xdr:rowOff>
    </xdr:from>
    <xdr:to>
      <xdr:col>18</xdr:col>
      <xdr:colOff>927100</xdr:colOff>
      <xdr:row>30</xdr:row>
      <xdr:rowOff>44450</xdr:rowOff>
    </xdr:to>
    <xdr:sp macro="" textlink="">
      <xdr:nvSpPr>
        <xdr:cNvPr id="5501680" name="Line 280">
          <a:extLst>
            <a:ext uri="{FF2B5EF4-FFF2-40B4-BE49-F238E27FC236}">
              <a16:creationId xmlns:a16="http://schemas.microsoft.com/office/drawing/2014/main" id="{00000000-0008-0000-0700-0000F0F25300}"/>
            </a:ext>
          </a:extLst>
        </xdr:cNvPr>
        <xdr:cNvSpPr>
          <a:spLocks noChangeShapeType="1"/>
        </xdr:cNvSpPr>
      </xdr:nvSpPr>
      <xdr:spPr bwMode="auto">
        <a:xfrm>
          <a:off x="14878050" y="5137150"/>
          <a:ext cx="762000" cy="0"/>
        </a:xfrm>
        <a:prstGeom prst="line">
          <a:avLst/>
        </a:prstGeom>
        <a:noFill/>
        <a:ln w="6350">
          <a:solidFill>
            <a:srgbClr val="000000"/>
          </a:solidFill>
          <a:round/>
          <a:headEnd/>
          <a:tailEnd/>
        </a:ln>
      </xdr:spPr>
    </xdr:sp>
    <xdr:clientData/>
  </xdr:twoCellAnchor>
  <xdr:twoCellAnchor>
    <xdr:from>
      <xdr:col>17</xdr:col>
      <xdr:colOff>1047750</xdr:colOff>
      <xdr:row>20</xdr:row>
      <xdr:rowOff>0</xdr:rowOff>
    </xdr:from>
    <xdr:to>
      <xdr:col>18</xdr:col>
      <xdr:colOff>158750</xdr:colOff>
      <xdr:row>30</xdr:row>
      <xdr:rowOff>44450</xdr:rowOff>
    </xdr:to>
    <xdr:sp macro="" textlink="">
      <xdr:nvSpPr>
        <xdr:cNvPr id="5501681" name="Rectangle 139">
          <a:extLst>
            <a:ext uri="{FF2B5EF4-FFF2-40B4-BE49-F238E27FC236}">
              <a16:creationId xmlns:a16="http://schemas.microsoft.com/office/drawing/2014/main" id="{00000000-0008-0000-0700-0000F1F25300}"/>
            </a:ext>
          </a:extLst>
        </xdr:cNvPr>
        <xdr:cNvSpPr>
          <a:spLocks noChangeArrowheads="1"/>
        </xdr:cNvSpPr>
      </xdr:nvSpPr>
      <xdr:spPr bwMode="auto">
        <a:xfrm>
          <a:off x="14624050" y="3422650"/>
          <a:ext cx="247650" cy="1714500"/>
        </a:xfrm>
        <a:prstGeom prst="rect">
          <a:avLst/>
        </a:prstGeom>
        <a:noFill/>
        <a:ln w="9525" algn="ctr">
          <a:solidFill>
            <a:srgbClr val="00B0F0"/>
          </a:solidFill>
          <a:prstDash val="sysDash"/>
          <a:round/>
          <a:headEnd/>
          <a:tailEnd/>
        </a:ln>
      </xdr:spPr>
    </xdr:sp>
    <xdr:clientData/>
  </xdr:twoCellAnchor>
  <xdr:twoCellAnchor>
    <xdr:from>
      <xdr:col>18</xdr:col>
      <xdr:colOff>927100</xdr:colOff>
      <xdr:row>1</xdr:row>
      <xdr:rowOff>12700</xdr:rowOff>
    </xdr:from>
    <xdr:to>
      <xdr:col>18</xdr:col>
      <xdr:colOff>927100</xdr:colOff>
      <xdr:row>29</xdr:row>
      <xdr:rowOff>69850</xdr:rowOff>
    </xdr:to>
    <xdr:sp macro="" textlink="">
      <xdr:nvSpPr>
        <xdr:cNvPr id="5501682" name="Line 270">
          <a:extLst>
            <a:ext uri="{FF2B5EF4-FFF2-40B4-BE49-F238E27FC236}">
              <a16:creationId xmlns:a16="http://schemas.microsoft.com/office/drawing/2014/main" id="{00000000-0008-0000-0700-0000F2F25300}"/>
            </a:ext>
          </a:extLst>
        </xdr:cNvPr>
        <xdr:cNvSpPr>
          <a:spLocks noChangeShapeType="1"/>
        </xdr:cNvSpPr>
      </xdr:nvSpPr>
      <xdr:spPr bwMode="auto">
        <a:xfrm flipH="1">
          <a:off x="15640050" y="184150"/>
          <a:ext cx="0" cy="4806950"/>
        </a:xfrm>
        <a:prstGeom prst="line">
          <a:avLst/>
        </a:prstGeom>
        <a:noFill/>
        <a:ln w="6350">
          <a:solidFill>
            <a:srgbClr val="000000"/>
          </a:solidFill>
          <a:round/>
          <a:headEnd type="triangle" w="sm" len="lg"/>
          <a:tailEnd type="triangle" w="sm" len="lg"/>
        </a:ln>
      </xdr:spPr>
    </xdr:sp>
    <xdr:clientData/>
  </xdr:twoCellAnchor>
  <xdr:twoCellAnchor>
    <xdr:from>
      <xdr:col>17</xdr:col>
      <xdr:colOff>12700</xdr:colOff>
      <xdr:row>33</xdr:row>
      <xdr:rowOff>95250</xdr:rowOff>
    </xdr:from>
    <xdr:to>
      <xdr:col>17</xdr:col>
      <xdr:colOff>520700</xdr:colOff>
      <xdr:row>33</xdr:row>
      <xdr:rowOff>95250</xdr:rowOff>
    </xdr:to>
    <xdr:sp macro="" textlink="">
      <xdr:nvSpPr>
        <xdr:cNvPr id="5501683" name="Line 301">
          <a:extLst>
            <a:ext uri="{FF2B5EF4-FFF2-40B4-BE49-F238E27FC236}">
              <a16:creationId xmlns:a16="http://schemas.microsoft.com/office/drawing/2014/main" id="{00000000-0008-0000-0700-0000F3F25300}"/>
            </a:ext>
          </a:extLst>
        </xdr:cNvPr>
        <xdr:cNvSpPr>
          <a:spLocks noChangeShapeType="1"/>
        </xdr:cNvSpPr>
      </xdr:nvSpPr>
      <xdr:spPr bwMode="auto">
        <a:xfrm>
          <a:off x="13589000" y="5702300"/>
          <a:ext cx="508000" cy="0"/>
        </a:xfrm>
        <a:prstGeom prst="line">
          <a:avLst/>
        </a:prstGeom>
        <a:noFill/>
        <a:ln w="9525">
          <a:solidFill>
            <a:srgbClr val="000000"/>
          </a:solidFill>
          <a:round/>
          <a:headEnd/>
          <a:tailEnd/>
        </a:ln>
      </xdr:spPr>
    </xdr:sp>
    <xdr:clientData/>
  </xdr:twoCellAnchor>
  <xdr:twoCellAnchor>
    <xdr:from>
      <xdr:col>18</xdr:col>
      <xdr:colOff>787400</xdr:colOff>
      <xdr:row>1</xdr:row>
      <xdr:rowOff>19050</xdr:rowOff>
    </xdr:from>
    <xdr:to>
      <xdr:col>18</xdr:col>
      <xdr:colOff>787400</xdr:colOff>
      <xdr:row>30</xdr:row>
      <xdr:rowOff>38100</xdr:rowOff>
    </xdr:to>
    <xdr:sp macro="" textlink="">
      <xdr:nvSpPr>
        <xdr:cNvPr id="5501684" name="Line 270">
          <a:extLst>
            <a:ext uri="{FF2B5EF4-FFF2-40B4-BE49-F238E27FC236}">
              <a16:creationId xmlns:a16="http://schemas.microsoft.com/office/drawing/2014/main" id="{00000000-0008-0000-0700-0000F4F25300}"/>
            </a:ext>
          </a:extLst>
        </xdr:cNvPr>
        <xdr:cNvSpPr>
          <a:spLocks noChangeShapeType="1"/>
        </xdr:cNvSpPr>
      </xdr:nvSpPr>
      <xdr:spPr bwMode="auto">
        <a:xfrm>
          <a:off x="15500350" y="190500"/>
          <a:ext cx="0" cy="4940300"/>
        </a:xfrm>
        <a:prstGeom prst="line">
          <a:avLst/>
        </a:prstGeom>
        <a:noFill/>
        <a:ln w="6350">
          <a:solidFill>
            <a:srgbClr val="000000"/>
          </a:solidFill>
          <a:round/>
          <a:headEnd type="triangle" w="sm" len="lg"/>
          <a:tailEnd type="triangle" w="sm" len="lg"/>
        </a:ln>
      </xdr:spPr>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omments" Target="../comments1.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6.xml"/><Relationship Id="rId3" Type="http://schemas.openxmlformats.org/officeDocument/2006/relationships/vmlDrawing" Target="../drawings/vmlDrawing2.vml"/><Relationship Id="rId7" Type="http://schemas.openxmlformats.org/officeDocument/2006/relationships/ctrlProp" Target="../ctrlProps/ctrlProp1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4.xml"/><Relationship Id="rId11" Type="http://schemas.openxmlformats.org/officeDocument/2006/relationships/comments" Target="../comments2.xml"/><Relationship Id="rId5" Type="http://schemas.openxmlformats.org/officeDocument/2006/relationships/image" Target="../media/image6.emf"/><Relationship Id="rId10" Type="http://schemas.openxmlformats.org/officeDocument/2006/relationships/ctrlProp" Target="../ctrlProps/ctrlProp18.xml"/><Relationship Id="rId4" Type="http://schemas.openxmlformats.org/officeDocument/2006/relationships/oleObject" Target="../embeddings/oleObject1.bin"/><Relationship Id="rId9" Type="http://schemas.openxmlformats.org/officeDocument/2006/relationships/ctrlProp" Target="../ctrlProps/ctrlProp1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6" Type="http://schemas.openxmlformats.org/officeDocument/2006/relationships/oleObject" Target="../embeddings/oleObject12.bin"/><Relationship Id="rId21" Type="http://schemas.openxmlformats.org/officeDocument/2006/relationships/image" Target="../media/image14.emf"/><Relationship Id="rId42" Type="http://schemas.openxmlformats.org/officeDocument/2006/relationships/oleObject" Target="../embeddings/oleObject20.bin"/><Relationship Id="rId47" Type="http://schemas.openxmlformats.org/officeDocument/2006/relationships/image" Target="../media/image27.emf"/><Relationship Id="rId63" Type="http://schemas.openxmlformats.org/officeDocument/2006/relationships/image" Target="../media/image35.emf"/><Relationship Id="rId68" Type="http://schemas.openxmlformats.org/officeDocument/2006/relationships/oleObject" Target="../embeddings/oleObject33.bin"/><Relationship Id="rId16" Type="http://schemas.openxmlformats.org/officeDocument/2006/relationships/oleObject" Target="../embeddings/oleObject7.bin"/><Relationship Id="rId11" Type="http://schemas.openxmlformats.org/officeDocument/2006/relationships/image" Target="../media/image9.emf"/><Relationship Id="rId24" Type="http://schemas.openxmlformats.org/officeDocument/2006/relationships/oleObject" Target="../embeddings/oleObject11.bin"/><Relationship Id="rId32" Type="http://schemas.openxmlformats.org/officeDocument/2006/relationships/oleObject" Target="../embeddings/oleObject15.bin"/><Relationship Id="rId37" Type="http://schemas.openxmlformats.org/officeDocument/2006/relationships/image" Target="../media/image22.emf"/><Relationship Id="rId40" Type="http://schemas.openxmlformats.org/officeDocument/2006/relationships/oleObject" Target="../embeddings/oleObject19.bin"/><Relationship Id="rId45" Type="http://schemas.openxmlformats.org/officeDocument/2006/relationships/image" Target="../media/image26.emf"/><Relationship Id="rId53" Type="http://schemas.openxmlformats.org/officeDocument/2006/relationships/image" Target="../media/image30.emf"/><Relationship Id="rId58" Type="http://schemas.openxmlformats.org/officeDocument/2006/relationships/oleObject" Target="../embeddings/oleObject28.bin"/><Relationship Id="rId66" Type="http://schemas.openxmlformats.org/officeDocument/2006/relationships/oleObject" Target="../embeddings/oleObject32.bin"/><Relationship Id="rId74" Type="http://schemas.openxmlformats.org/officeDocument/2006/relationships/oleObject" Target="../embeddings/oleObject36.bin"/><Relationship Id="rId5" Type="http://schemas.openxmlformats.org/officeDocument/2006/relationships/vmlDrawing" Target="../drawings/vmlDrawing3.vml"/><Relationship Id="rId61" Type="http://schemas.openxmlformats.org/officeDocument/2006/relationships/image" Target="../media/image34.emf"/><Relationship Id="rId19" Type="http://schemas.openxmlformats.org/officeDocument/2006/relationships/image" Target="../media/image13.emf"/><Relationship Id="rId14" Type="http://schemas.openxmlformats.org/officeDocument/2006/relationships/oleObject" Target="../embeddings/oleObject6.bin"/><Relationship Id="rId22" Type="http://schemas.openxmlformats.org/officeDocument/2006/relationships/oleObject" Target="../embeddings/oleObject10.bin"/><Relationship Id="rId27" Type="http://schemas.openxmlformats.org/officeDocument/2006/relationships/image" Target="../media/image17.emf"/><Relationship Id="rId30" Type="http://schemas.openxmlformats.org/officeDocument/2006/relationships/oleObject" Target="../embeddings/oleObject14.bin"/><Relationship Id="rId35" Type="http://schemas.openxmlformats.org/officeDocument/2006/relationships/image" Target="../media/image21.emf"/><Relationship Id="rId43" Type="http://schemas.openxmlformats.org/officeDocument/2006/relationships/image" Target="../media/image25.emf"/><Relationship Id="rId48" Type="http://schemas.openxmlformats.org/officeDocument/2006/relationships/oleObject" Target="../embeddings/oleObject23.bin"/><Relationship Id="rId56" Type="http://schemas.openxmlformats.org/officeDocument/2006/relationships/oleObject" Target="../embeddings/oleObject27.bin"/><Relationship Id="rId64" Type="http://schemas.openxmlformats.org/officeDocument/2006/relationships/oleObject" Target="../embeddings/oleObject31.bin"/><Relationship Id="rId69" Type="http://schemas.openxmlformats.org/officeDocument/2006/relationships/image" Target="../media/image38.emf"/><Relationship Id="rId77" Type="http://schemas.openxmlformats.org/officeDocument/2006/relationships/image" Target="../media/image42.emf"/><Relationship Id="rId8" Type="http://schemas.openxmlformats.org/officeDocument/2006/relationships/oleObject" Target="../embeddings/oleObject3.bin"/><Relationship Id="rId51" Type="http://schemas.openxmlformats.org/officeDocument/2006/relationships/image" Target="../media/image29.emf"/><Relationship Id="rId72" Type="http://schemas.openxmlformats.org/officeDocument/2006/relationships/oleObject" Target="../embeddings/oleObject35.bin"/><Relationship Id="rId3" Type="http://schemas.openxmlformats.org/officeDocument/2006/relationships/printerSettings" Target="../printerSettings/printerSettings5.bin"/><Relationship Id="rId12" Type="http://schemas.openxmlformats.org/officeDocument/2006/relationships/oleObject" Target="../embeddings/oleObject5.bin"/><Relationship Id="rId17" Type="http://schemas.openxmlformats.org/officeDocument/2006/relationships/image" Target="../media/image12.emf"/><Relationship Id="rId25" Type="http://schemas.openxmlformats.org/officeDocument/2006/relationships/image" Target="../media/image16.emf"/><Relationship Id="rId33" Type="http://schemas.openxmlformats.org/officeDocument/2006/relationships/image" Target="../media/image20.emf"/><Relationship Id="rId38" Type="http://schemas.openxmlformats.org/officeDocument/2006/relationships/oleObject" Target="../embeddings/oleObject18.bin"/><Relationship Id="rId46" Type="http://schemas.openxmlformats.org/officeDocument/2006/relationships/oleObject" Target="../embeddings/oleObject22.bin"/><Relationship Id="rId59" Type="http://schemas.openxmlformats.org/officeDocument/2006/relationships/image" Target="../media/image33.emf"/><Relationship Id="rId67" Type="http://schemas.openxmlformats.org/officeDocument/2006/relationships/image" Target="../media/image37.emf"/><Relationship Id="rId20" Type="http://schemas.openxmlformats.org/officeDocument/2006/relationships/oleObject" Target="../embeddings/oleObject9.bin"/><Relationship Id="rId41" Type="http://schemas.openxmlformats.org/officeDocument/2006/relationships/image" Target="../media/image24.emf"/><Relationship Id="rId54" Type="http://schemas.openxmlformats.org/officeDocument/2006/relationships/oleObject" Target="../embeddings/oleObject26.bin"/><Relationship Id="rId62" Type="http://schemas.openxmlformats.org/officeDocument/2006/relationships/oleObject" Target="../embeddings/oleObject30.bin"/><Relationship Id="rId70" Type="http://schemas.openxmlformats.org/officeDocument/2006/relationships/oleObject" Target="../embeddings/oleObject34.bin"/><Relationship Id="rId75" Type="http://schemas.openxmlformats.org/officeDocument/2006/relationships/image" Target="../media/image41.emf"/><Relationship Id="rId1" Type="http://schemas.openxmlformats.org/officeDocument/2006/relationships/hyperlink" Target="http://en.wikipedia.org/wiki/Template:Numerical_integrators" TargetMode="External"/><Relationship Id="rId6" Type="http://schemas.openxmlformats.org/officeDocument/2006/relationships/oleObject" Target="../embeddings/oleObject2.bin"/><Relationship Id="rId15" Type="http://schemas.openxmlformats.org/officeDocument/2006/relationships/image" Target="../media/image11.emf"/><Relationship Id="rId23" Type="http://schemas.openxmlformats.org/officeDocument/2006/relationships/image" Target="../media/image15.emf"/><Relationship Id="rId28" Type="http://schemas.openxmlformats.org/officeDocument/2006/relationships/oleObject" Target="../embeddings/oleObject13.bin"/><Relationship Id="rId36" Type="http://schemas.openxmlformats.org/officeDocument/2006/relationships/oleObject" Target="../embeddings/oleObject17.bin"/><Relationship Id="rId49" Type="http://schemas.openxmlformats.org/officeDocument/2006/relationships/image" Target="../media/image28.emf"/><Relationship Id="rId57" Type="http://schemas.openxmlformats.org/officeDocument/2006/relationships/image" Target="../media/image32.emf"/><Relationship Id="rId10" Type="http://schemas.openxmlformats.org/officeDocument/2006/relationships/oleObject" Target="../embeddings/oleObject4.bin"/><Relationship Id="rId31" Type="http://schemas.openxmlformats.org/officeDocument/2006/relationships/image" Target="../media/image19.emf"/><Relationship Id="rId44" Type="http://schemas.openxmlformats.org/officeDocument/2006/relationships/oleObject" Target="../embeddings/oleObject21.bin"/><Relationship Id="rId52" Type="http://schemas.openxmlformats.org/officeDocument/2006/relationships/oleObject" Target="../embeddings/oleObject25.bin"/><Relationship Id="rId60" Type="http://schemas.openxmlformats.org/officeDocument/2006/relationships/oleObject" Target="../embeddings/oleObject29.bin"/><Relationship Id="rId65" Type="http://schemas.openxmlformats.org/officeDocument/2006/relationships/image" Target="../media/image36.emf"/><Relationship Id="rId73" Type="http://schemas.openxmlformats.org/officeDocument/2006/relationships/image" Target="../media/image40.emf"/><Relationship Id="rId4" Type="http://schemas.openxmlformats.org/officeDocument/2006/relationships/drawing" Target="../drawings/drawing5.xml"/><Relationship Id="rId9" Type="http://schemas.openxmlformats.org/officeDocument/2006/relationships/image" Target="../media/image8.emf"/><Relationship Id="rId13" Type="http://schemas.openxmlformats.org/officeDocument/2006/relationships/image" Target="../media/image10.emf"/><Relationship Id="rId18" Type="http://schemas.openxmlformats.org/officeDocument/2006/relationships/oleObject" Target="../embeddings/oleObject8.bin"/><Relationship Id="rId39" Type="http://schemas.openxmlformats.org/officeDocument/2006/relationships/image" Target="../media/image23.emf"/><Relationship Id="rId34" Type="http://schemas.openxmlformats.org/officeDocument/2006/relationships/oleObject" Target="../embeddings/oleObject16.bin"/><Relationship Id="rId50" Type="http://schemas.openxmlformats.org/officeDocument/2006/relationships/oleObject" Target="../embeddings/oleObject24.bin"/><Relationship Id="rId55" Type="http://schemas.openxmlformats.org/officeDocument/2006/relationships/image" Target="../media/image31.emf"/><Relationship Id="rId76" Type="http://schemas.openxmlformats.org/officeDocument/2006/relationships/oleObject" Target="../embeddings/oleObject37.bin"/><Relationship Id="rId7" Type="http://schemas.openxmlformats.org/officeDocument/2006/relationships/image" Target="../media/image7.emf"/><Relationship Id="rId71" Type="http://schemas.openxmlformats.org/officeDocument/2006/relationships/image" Target="../media/image39.emf"/><Relationship Id="rId2" Type="http://schemas.openxmlformats.org/officeDocument/2006/relationships/hyperlink" Target="http://www.planete-sciences.org/espace/basedoc/" TargetMode="External"/><Relationship Id="rId29" Type="http://schemas.openxmlformats.org/officeDocument/2006/relationships/image" Target="../media/image18.emf"/></Relationships>
</file>

<file path=xl/worksheets/_rels/sheet6.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4.vml"/><Relationship Id="rId7" Type="http://schemas.openxmlformats.org/officeDocument/2006/relationships/ctrlProp" Target="../ctrlProps/ctrlProp20.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trlProp" Target="../ctrlProps/ctrlProp19.xml"/><Relationship Id="rId5" Type="http://schemas.openxmlformats.org/officeDocument/2006/relationships/image" Target="../media/image43.emf"/><Relationship Id="rId4" Type="http://schemas.openxmlformats.org/officeDocument/2006/relationships/oleObject" Target="../embeddings/oleObject38.bin"/></Relationships>
</file>

<file path=xl/worksheets/_rels/sheet7.xml.rels><?xml version="1.0" encoding="UTF-8" standalone="yes"?>
<Relationships xmlns="http://schemas.openxmlformats.org/package/2006/relationships"><Relationship Id="rId3" Type="http://schemas.openxmlformats.org/officeDocument/2006/relationships/hyperlink" Target="http://creativecommons.org/licenses/by-sa/3.0/" TargetMode="External"/><Relationship Id="rId7" Type="http://schemas.openxmlformats.org/officeDocument/2006/relationships/comments" Target="../comments4.xml"/><Relationship Id="rId2" Type="http://schemas.openxmlformats.org/officeDocument/2006/relationships/hyperlink" Target="mailto:espace@planete-sciences.org" TargetMode="External"/><Relationship Id="rId1" Type="http://schemas.openxmlformats.org/officeDocument/2006/relationships/hyperlink" Target="http://www.planete-sciences.org/espace/basedoc/" TargetMode="External"/><Relationship Id="rId6" Type="http://schemas.openxmlformats.org/officeDocument/2006/relationships/vmlDrawing" Target="../drawings/vmlDrawing5.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pageSetUpPr fitToPage="1"/>
  </sheetPr>
  <dimension ref="A1:W361"/>
  <sheetViews>
    <sheetView showGridLines="0" tabSelected="1" zoomScale="115" zoomScaleNormal="115" zoomScaleSheetLayoutView="100" workbookViewId="0">
      <selection activeCell="U28" sqref="U28"/>
    </sheetView>
  </sheetViews>
  <sheetFormatPr baseColWidth="10" defaultColWidth="11.42578125" defaultRowHeight="12.75" x14ac:dyDescent="0.2"/>
  <cols>
    <col min="1" max="1" width="2.140625" style="24" customWidth="1"/>
    <col min="2" max="2" width="16.140625" style="24" customWidth="1"/>
    <col min="3" max="3" width="12.85546875" style="31" customWidth="1"/>
    <col min="4" max="4" width="12.85546875" style="24" customWidth="1"/>
    <col min="5" max="5" width="4.140625" style="89" customWidth="1"/>
    <col min="6" max="6" width="10.140625" style="26" bestFit="1" customWidth="1"/>
    <col min="7" max="7" width="10" style="26" bestFit="1" customWidth="1"/>
    <col min="8" max="9" width="8.5703125" style="26" customWidth="1"/>
    <col min="10" max="10" width="5.42578125" style="24" customWidth="1"/>
    <col min="11" max="11" width="2.140625" style="24" customWidth="1"/>
    <col min="12" max="12" width="17" style="24" customWidth="1"/>
    <col min="13" max="13" width="8.5703125" style="24" customWidth="1"/>
    <col min="14" max="15" width="4.140625" style="24" customWidth="1"/>
    <col min="16" max="16" width="8.5703125" style="24" customWidth="1"/>
    <col min="17" max="18" width="2.140625" style="24" customWidth="1"/>
    <col min="19" max="16384" width="11.42578125" style="24"/>
  </cols>
  <sheetData>
    <row r="1" spans="1:20" ht="12.75" customHeight="1" x14ac:dyDescent="0.2">
      <c r="A1" s="19"/>
      <c r="B1" s="20"/>
      <c r="C1" s="21"/>
      <c r="D1" s="20"/>
      <c r="E1" s="88"/>
      <c r="F1" s="22"/>
      <c r="G1" s="22"/>
      <c r="H1" s="22"/>
      <c r="I1" s="22"/>
      <c r="J1" s="20"/>
      <c r="K1" s="20"/>
      <c r="L1" s="20"/>
      <c r="M1" s="20"/>
      <c r="N1" s="20"/>
      <c r="O1" s="20"/>
      <c r="P1" s="20"/>
      <c r="Q1" s="23"/>
    </row>
    <row r="2" spans="1:20" ht="12.75" customHeight="1" x14ac:dyDescent="0.2">
      <c r="A2" s="25"/>
      <c r="C2" s="568" t="s">
        <v>53</v>
      </c>
      <c r="D2" s="568"/>
      <c r="L2" s="147" t="str">
        <f>"Language/Langue"</f>
        <v>Language/Langue</v>
      </c>
      <c r="M2" s="544" t="s">
        <v>1</v>
      </c>
      <c r="N2" s="544"/>
      <c r="O2" s="544"/>
      <c r="P2" s="545"/>
      <c r="Q2" s="27"/>
    </row>
    <row r="3" spans="1:20" ht="12.75" customHeight="1" x14ac:dyDescent="0.2">
      <c r="A3" s="25"/>
      <c r="C3" s="568"/>
      <c r="D3" s="568"/>
      <c r="L3" s="555"/>
      <c r="M3" s="555"/>
      <c r="N3" s="45"/>
      <c r="Q3" s="27"/>
    </row>
    <row r="4" spans="1:20" ht="12.75" customHeight="1" x14ac:dyDescent="0.2">
      <c r="A4" s="25"/>
      <c r="C4" s="569" t="str">
        <f>IF(Lang="Français","Stabilité de fusée à ailerons",IF(Lang="English","Stability for rocket with fins",""))</f>
        <v>Stabilité de fusée à ailerons</v>
      </c>
      <c r="D4" s="569"/>
      <c r="L4" s="33"/>
      <c r="M4" s="544" t="s">
        <v>570</v>
      </c>
      <c r="N4" s="544"/>
      <c r="O4" s="544"/>
      <c r="P4" s="545"/>
      <c r="Q4" s="27"/>
    </row>
    <row r="5" spans="1:20" ht="12.75" customHeight="1" x14ac:dyDescent="0.25">
      <c r="A5" s="25"/>
      <c r="B5" s="28"/>
      <c r="C5" s="583"/>
      <c r="D5" s="583"/>
      <c r="L5" s="33"/>
      <c r="M5" s="575" t="s">
        <v>156</v>
      </c>
      <c r="N5" s="576"/>
      <c r="O5" s="558" t="s">
        <v>157</v>
      </c>
      <c r="P5" s="558"/>
      <c r="Q5" s="29"/>
    </row>
    <row r="6" spans="1:20" ht="12.75" customHeight="1" thickBot="1" x14ac:dyDescent="0.25">
      <c r="A6" s="25"/>
      <c r="B6" s="87"/>
      <c r="C6" s="593" t="str">
        <f>IF(Lang="Français","Remplir les cases jaunes",IF(Lang="English","Fill-in yellow cells only",""))</f>
        <v>Remplir les cases jaunes</v>
      </c>
      <c r="D6" s="593"/>
      <c r="L6" s="139" t="str">
        <f>IF(Lang="Français","Longueur      'L'",IF(Lang="English","Length      'L'",""))</f>
        <v>Longueur      'L'</v>
      </c>
      <c r="M6" s="564">
        <v>60</v>
      </c>
      <c r="N6" s="565"/>
      <c r="O6" s="550">
        <v>50</v>
      </c>
      <c r="P6" s="550"/>
      <c r="Q6" s="29"/>
    </row>
    <row r="7" spans="1:20" ht="12.75" customHeight="1" thickTop="1" thickBot="1" x14ac:dyDescent="0.25">
      <c r="A7" s="25"/>
      <c r="B7" s="31"/>
      <c r="C7" s="571" t="str">
        <f>IF(Lang="Français","Fusée",IF(Lang="English","Rocket",""))</f>
        <v>Fusée</v>
      </c>
      <c r="D7" s="572"/>
      <c r="L7" s="139" t="str">
        <f>IF(Lang="Français","Diamètre     'D1'",IF(Lang="English","Diameter 'D1'",""))</f>
        <v>Diamètre     'D1'</v>
      </c>
      <c r="M7" s="564">
        <v>84</v>
      </c>
      <c r="N7" s="565"/>
      <c r="O7" s="550">
        <v>104</v>
      </c>
      <c r="P7" s="550"/>
      <c r="Q7" s="29"/>
    </row>
    <row r="8" spans="1:20" ht="12.75" customHeight="1" thickTop="1" x14ac:dyDescent="0.2">
      <c r="A8" s="25"/>
      <c r="B8" s="138" t="str">
        <f>IF(Lang="Français","Nom",IF(Lang="English","Name",""))</f>
        <v>Nom</v>
      </c>
      <c r="C8" s="594" t="s">
        <v>571</v>
      </c>
      <c r="D8" s="594"/>
      <c r="E8" s="90"/>
      <c r="K8" s="33"/>
      <c r="L8" s="139" t="str">
        <f>IF(Lang="Français","Diamètre     'D2'",IF(Lang="English","Diameter 'D2'",""))</f>
        <v>Diamètre     'D2'</v>
      </c>
      <c r="M8" s="564">
        <v>104</v>
      </c>
      <c r="N8" s="565"/>
      <c r="O8" s="550">
        <v>84</v>
      </c>
      <c r="P8" s="550"/>
      <c r="Q8" s="29"/>
    </row>
    <row r="9" spans="1:20" ht="12.75" customHeight="1" x14ac:dyDescent="0.2">
      <c r="A9" s="25"/>
      <c r="B9" s="138" t="s">
        <v>4</v>
      </c>
      <c r="C9" s="595" t="s">
        <v>568</v>
      </c>
      <c r="D9" s="595"/>
      <c r="E9" s="90"/>
      <c r="K9" s="33"/>
      <c r="L9" s="139" t="str">
        <f>IF(Lang="Français","Implantation 'x'",IF(Lang="English","Basement 'x'",""))</f>
        <v>Implantation 'x'</v>
      </c>
      <c r="M9" s="564">
        <v>1</v>
      </c>
      <c r="N9" s="565"/>
      <c r="O9" s="550">
        <v>1070</v>
      </c>
      <c r="P9" s="550"/>
      <c r="Q9" s="29"/>
    </row>
    <row r="10" spans="1:20" ht="12.75" customHeight="1" x14ac:dyDescent="0.2">
      <c r="A10" s="25"/>
      <c r="B10" s="138" t="s">
        <v>562</v>
      </c>
      <c r="C10" s="537" t="str">
        <f>IF((LEFT(Type_fusee,4)="Mini"),"MF",(IF((RIGHT(Type_fusee,1)="."),"FX","")))</f>
        <v>FX</v>
      </c>
      <c r="D10" s="538">
        <v>0</v>
      </c>
      <c r="E10" s="539" t="str">
        <f>IF(C10="","",C10&amp;D10)</f>
        <v>FX0</v>
      </c>
      <c r="K10" s="33"/>
      <c r="Q10" s="29"/>
    </row>
    <row r="11" spans="1:20" ht="12.75" customHeight="1" x14ac:dyDescent="0.2">
      <c r="A11" s="25"/>
      <c r="B11" s="139" t="s">
        <v>54</v>
      </c>
      <c r="C11" s="573" t="s">
        <v>567</v>
      </c>
      <c r="D11" s="574"/>
      <c r="E11" s="90"/>
      <c r="K11" s="33"/>
      <c r="L11" s="107"/>
      <c r="M11" s="224" t="str">
        <f>IF(Lang="Français","Propu plein",IF(Lang="English","Loaded Motor",""))</f>
        <v>Propu plein</v>
      </c>
      <c r="N11" s="556" t="str">
        <f>IF(Lang="Français","Propu vide",IF(Lang="English","Empty Motor",""))</f>
        <v>Propu vide</v>
      </c>
      <c r="O11" s="557"/>
      <c r="P11" s="224" t="str">
        <f>IF(Lang="Français","Sans propu",IF(Lang="English","Without M",""))</f>
        <v>Sans propu</v>
      </c>
      <c r="Q11" s="29"/>
      <c r="S11" s="385"/>
      <c r="T11" s="386" t="str">
        <f>IF(Lang="Français","Propulseur",IF(Lang="English","Motor",""))</f>
        <v>Propulseur</v>
      </c>
    </row>
    <row r="12" spans="1:20" ht="12.75" customHeight="1" x14ac:dyDescent="0.2">
      <c r="A12" s="25"/>
      <c r="B12" s="139" t="str">
        <f>IF(Lang="Français","Masse",IF(Lang="English","Weight",""))</f>
        <v>Masse</v>
      </c>
      <c r="C12" s="222">
        <v>4431</v>
      </c>
      <c r="D12" s="34" t="s">
        <v>572</v>
      </c>
      <c r="L12" s="108" t="str">
        <f>IF(Lang="Français","Masse propu",IF(Lang="English","Motor Mass",""))</f>
        <v>Masse propu</v>
      </c>
      <c r="M12" s="109">
        <f ca="1">MpropuPlein</f>
        <v>1.6850000000000001</v>
      </c>
      <c r="N12" s="548">
        <f ca="1">MpropuVide</f>
        <v>0.65200000000000002</v>
      </c>
      <c r="O12" s="549"/>
      <c r="P12" s="110" t="s">
        <v>14</v>
      </c>
      <c r="Q12" s="29"/>
      <c r="S12" s="386" t="str">
        <f>IF(Lang="Français","Haut",IF(Lang="English","Top",""))</f>
        <v>Haut</v>
      </c>
      <c r="T12" s="387">
        <f ca="1">XpropuRef-Long_propu</f>
        <v>632</v>
      </c>
    </row>
    <row r="13" spans="1:20" ht="12.75" customHeight="1" x14ac:dyDescent="0.2">
      <c r="A13" s="25"/>
      <c r="B13" s="139" t="str">
        <f>IF(Lang="Français","Centre de Masse",IF(Lang="English","Center of Mass",""))</f>
        <v>Centre de Masse</v>
      </c>
      <c r="C13" s="35">
        <v>440</v>
      </c>
      <c r="D13" s="34" t="s">
        <v>572</v>
      </c>
      <c r="L13" s="108" t="str">
        <f>IF(Lang="Français","CdM propu",IF(Lang="English","Motor CoM",""))</f>
        <v>CdM propu</v>
      </c>
      <c r="M13" s="111">
        <f ca="1">XpropuPlein</f>
        <v>250</v>
      </c>
      <c r="N13" s="546">
        <f ca="1">XpropuVide</f>
        <v>240</v>
      </c>
      <c r="O13" s="547"/>
      <c r="P13" s="110" t="s">
        <v>14</v>
      </c>
      <c r="Q13" s="29"/>
      <c r="S13" s="386" t="str">
        <f>IF(Lang="Français","Longueur",IF(Lang="English","Length",""))</f>
        <v>Longueur</v>
      </c>
      <c r="T13" s="387">
        <f ca="1">Long_propu</f>
        <v>488</v>
      </c>
    </row>
    <row r="14" spans="1:20" ht="12.6" customHeight="1" x14ac:dyDescent="0.2">
      <c r="A14" s="25"/>
      <c r="B14" s="139" t="str">
        <f>IF(Lang="Français","Longueur totale",IF(Lang="English","Total length",""))</f>
        <v>Longueur totale</v>
      </c>
      <c r="C14" s="564">
        <v>1120</v>
      </c>
      <c r="D14" s="565"/>
      <c r="L14" s="108" t="str">
        <f>IF(Lang="Français","Masse fusée",IF(Lang="English","Rocket Mass",""))</f>
        <v>Masse fusée</v>
      </c>
      <c r="M14" s="112">
        <f ca="1">MasseSans+MpropuPlein</f>
        <v>6.1159999999999997</v>
      </c>
      <c r="N14" s="577">
        <f ca="1">MasseSans+MpropuVide</f>
        <v>5.0830000000000002</v>
      </c>
      <c r="O14" s="578"/>
      <c r="P14" s="109">
        <f>IF(OR(D12="sans propu",D12="without motor"),C12/1000,IF(OR(D12="avec propu vide",D12="with empty motor"),C12/1000-MpropuVide,IF(OR(D12="avec propu plein",D12="with loaded motor"),C12/1000-MpropuPlein,"Erreur")))</f>
        <v>4.431</v>
      </c>
      <c r="Q14" s="29"/>
      <c r="S14" s="386" t="str">
        <f>IF(Lang="Français","Bas",IF(Lang="English","Base",""))</f>
        <v>Bas</v>
      </c>
      <c r="T14" s="387">
        <f>XpropuRef</f>
        <v>1120</v>
      </c>
    </row>
    <row r="15" spans="1:20" ht="12.75" customHeight="1" x14ac:dyDescent="0.2">
      <c r="A15" s="25"/>
      <c r="B15" s="139" t="str">
        <f>IF(Lang="Français","Diamètre Réf.",IF(Lang="English","Ref. Diameter",""))</f>
        <v>Diamètre Réf.</v>
      </c>
      <c r="C15" s="564">
        <v>104</v>
      </c>
      <c r="D15" s="565"/>
      <c r="L15" s="175" t="str">
        <f>IF(Lang="Français","CdM fusée",IF(Lang="English","Rocket CoM",""))</f>
        <v>CdM fusée</v>
      </c>
      <c r="M15" s="176">
        <f ca="1">(XcgSans*MasseSans+(XpropuRef-Long_propu+XpropuPlein)*MpropuPlein)/MassePlein</f>
        <v>561.77403531720086</v>
      </c>
      <c r="N15" s="579">
        <f ca="1">(XcgSans*MasseSans+(XpropuRef-Long_propu+XpropuVide)*MpropuVide)/MasseVide</f>
        <v>495.41294511115484</v>
      </c>
      <c r="O15" s="580"/>
      <c r="P15" s="113">
        <f>IF(OR(D13="sans propu",D13="without motor"),C13,IF(OR(D13="avec propu vide",D13="with empty motor"),(C13*MasseVide-(XpropuRef-Long_propu+XpropuVide)*MpropuVide)/MasseSans,IF(OR(D13="avec propu plein",D13="with loaded motor"),(C13*MassePlein-(XpropuRef-Long_propu+XpropuPlein)*MpropuPlein)/MasseSans,"Erreur")))</f>
        <v>440</v>
      </c>
      <c r="Q15" s="29"/>
    </row>
    <row r="16" spans="1:20" ht="12.75" customHeight="1" thickBot="1" x14ac:dyDescent="0.25">
      <c r="A16" s="25"/>
      <c r="D16" s="31"/>
      <c r="L16" s="94"/>
      <c r="M16" s="94"/>
      <c r="N16" s="94"/>
      <c r="O16" s="94"/>
      <c r="P16" s="94"/>
      <c r="Q16" s="29"/>
      <c r="S16" s="385"/>
      <c r="T16" s="386" t="str">
        <f>IF(RIGHT(Type_masquage,1)=",",IF(Lang="Français","Ailerons","Fins"),IF(Lang="Français","Ailerons bas","Lower Fins"))</f>
        <v>Ailerons bas</v>
      </c>
    </row>
    <row r="17" spans="1:20" ht="12.75" customHeight="1" thickTop="1" thickBot="1" x14ac:dyDescent="0.25">
      <c r="A17" s="25"/>
      <c r="C17" s="585" t="str">
        <f>IF(Lang="Français","Propulseur",IF(Lang="English","Motor",""))</f>
        <v>Propulseur</v>
      </c>
      <c r="D17" s="586"/>
      <c r="L17" s="114"/>
      <c r="M17" s="581" t="s">
        <v>55</v>
      </c>
      <c r="N17" s="582"/>
      <c r="O17" s="559" t="s">
        <v>65</v>
      </c>
      <c r="P17" s="559"/>
      <c r="Q17" s="29"/>
      <c r="S17" s="386" t="str">
        <f>IF(Lang="Français","Haut","Top")</f>
        <v>Haut</v>
      </c>
      <c r="T17" s="387">
        <f>X_ail-m_ail</f>
        <v>850</v>
      </c>
    </row>
    <row r="18" spans="1:20" ht="12.75" customHeight="1" thickTop="1" x14ac:dyDescent="0.2">
      <c r="A18" s="25"/>
      <c r="B18" s="139" t="s">
        <v>54</v>
      </c>
      <c r="C18" s="587" t="s">
        <v>548</v>
      </c>
      <c r="D18" s="588"/>
      <c r="K18" s="37"/>
      <c r="L18" s="108" t="str">
        <f>IF(Lang="Français","Coiffe",IF(Lang="English","Nose Cone",""))</f>
        <v>Coiffe</v>
      </c>
      <c r="M18" s="553">
        <f>IF(LEFT(Forme_ogive,5)="Parab",1/2*Long_ogive,IF(LEFT(Forme_ogive,4)="Ogiv",7/15*Long_ogive,IF(LEFT(Forme_ogive,3)="Con",2/3*Long_ogive)))</f>
        <v>0.66666666666666663</v>
      </c>
      <c r="N18" s="554"/>
      <c r="O18" s="560">
        <f>2*POWER(D_og/D_ref, 2)</f>
        <v>1.304733727810651</v>
      </c>
      <c r="P18" s="560"/>
      <c r="Q18" s="29"/>
      <c r="S18" s="386" t="str">
        <f>IF(Lang="Français","Emplanture","Root edge")</f>
        <v>Emplanture</v>
      </c>
      <c r="T18" s="387">
        <f>m_ail</f>
        <v>190</v>
      </c>
    </row>
    <row r="19" spans="1:20" ht="12.75" customHeight="1" x14ac:dyDescent="0.2">
      <c r="A19" s="25"/>
      <c r="B19" s="139" t="str">
        <f>IF(Lang="Français","Position du bas",IF(Lang="English","Basement",""))</f>
        <v>Position du bas</v>
      </c>
      <c r="C19" s="550">
        <v>1120</v>
      </c>
      <c r="D19" s="550"/>
      <c r="L19" s="108" t="str">
        <f>IF(Lang="Français","Ailerons",IF(Lang="English","Fins",""))</f>
        <v>Ailerons</v>
      </c>
      <c r="M19" s="553">
        <f>(XCpa*Cnail-0.5*XCpi*Cni)/Cnai</f>
        <v>963.39506172839526</v>
      </c>
      <c r="N19" s="554"/>
      <c r="O19" s="589">
        <f>Cnail-Cni/2</f>
        <v>14.372450779495276</v>
      </c>
      <c r="P19" s="590"/>
      <c r="Q19" s="29"/>
      <c r="S19" s="386" t="str">
        <f>IF(Lang="Français","Bas","Base")</f>
        <v>Bas</v>
      </c>
      <c r="T19" s="387">
        <f>X_ail</f>
        <v>1040</v>
      </c>
    </row>
    <row r="20" spans="1:20" ht="12.75" customHeight="1" thickBot="1" x14ac:dyDescent="0.25">
      <c r="A20" s="25"/>
      <c r="B20" s="428" t="str">
        <f>IF(Propu="Cariacou","Cariacou :"," ")</f>
        <v xml:space="preserve"> </v>
      </c>
      <c r="C20" s="563" t="str">
        <f>IF(Propu="Pandora (Pro24-6G)",IF(Lang="Français","C'Space Seulement",IF(Lang="English","C'Space only","")),"")</f>
        <v/>
      </c>
      <c r="D20" s="563"/>
      <c r="L20" s="108" t="str">
        <f>IF(Lang="Français","Ail bas entier",IF(Lang="English","Total Lower Fins",""))</f>
        <v>Ail bas entier</v>
      </c>
      <c r="M20" s="553">
        <f>X_ail-m_ail+p_ail*(m_ail+2*n_ail)/(3*(m_ail+n_ail))+(m_ail+n_ail-m_ail*n_ail/(m_ail+n_ail))/6</f>
        <v>963.39506172839515</v>
      </c>
      <c r="N20" s="554"/>
      <c r="O20" s="560">
        <f>4*Q_ail*POWER((E_ail/D_ref),2)*(1+D_ail/(2*E_ail+D_ail))/(1+SQRT(1+POWER(2*f_ail/(m_ail+n_ail),2)))</f>
        <v>14.372450779495276</v>
      </c>
      <c r="P20" s="560"/>
      <c r="Q20" s="29"/>
    </row>
    <row r="21" spans="1:20" ht="12.75" customHeight="1" thickTop="1" thickBot="1" x14ac:dyDescent="0.25">
      <c r="A21" s="25"/>
      <c r="B21" s="30"/>
      <c r="C21" s="591" t="str">
        <f>IF(Lang="Français","Coiffe",IF(Lang="English","Nose Cone",""))</f>
        <v>Coiffe</v>
      </c>
      <c r="D21" s="592"/>
      <c r="L21" s="108" t="str">
        <f>IF(Lang="Français","Ailerons haut",IF(Lang="English","Upper Fins",""))</f>
        <v>Ailerons haut</v>
      </c>
      <c r="M21" s="553">
        <f>IF(LEFT(Type_masquage,1)="M",0, X_can-m_can+p_can*(m_can+2*n_can)/(3*(m_can+n_can))+(m_can+n_can-m_can*n_can/(m_can+n_can))/6)</f>
        <v>0</v>
      </c>
      <c r="N21" s="554"/>
      <c r="O21" s="560">
        <f>IF(LEFT(Type_masquage,1)="M",0, 4*Q_can*POWER((E_can/D_ref),2)*(1+D_can/(2*E_can+D_can))/(1+SQRT(1+POWER(2*f_can/(m_can+n_can),2))))</f>
        <v>0</v>
      </c>
      <c r="P21" s="560"/>
      <c r="Q21" s="29"/>
    </row>
    <row r="22" spans="1:20" ht="12.75" customHeight="1" thickTop="1" x14ac:dyDescent="0.2">
      <c r="A22" s="25"/>
      <c r="B22" s="139" t="str">
        <f>IF(Lang="Français","Forme",IF(Lang="English","Shape",""))</f>
        <v>Forme</v>
      </c>
      <c r="C22" s="566" t="s">
        <v>569</v>
      </c>
      <c r="D22" s="567"/>
      <c r="L22" s="108" t="str">
        <f>IF(Lang="Français","Partie masquée",IF(Lang="English","Interation zone",""))</f>
        <v>Partie masquée</v>
      </c>
      <c r="M22" s="570">
        <f>IF(LEFT(Type_masquage,1)="B", X_int-m_int+p_int*(m_int+2*n_int)/(3*(m_int+n_int))+(m_int+n_int-m_int*n_int/(m_int+n_int))/6, 0 )</f>
        <v>0</v>
      </c>
      <c r="N22" s="570"/>
      <c r="O22" s="589">
        <f>IF(LEFT(Type_masquage,1)="B", 4*Q_int*POWER((E_int/D_ref),2)*(1+D_int/(2*E_int+D_int))/(1+SQRT(1+POWER(2*f_int/(m_int+n_int),2))), 0 )</f>
        <v>0</v>
      </c>
      <c r="P22" s="590"/>
      <c r="Q22" s="29"/>
    </row>
    <row r="23" spans="1:20" ht="12.75" customHeight="1" x14ac:dyDescent="0.2">
      <c r="A23" s="25"/>
      <c r="B23" s="139" t="str">
        <f>IF(Lang="Français","Hauteur",IF(Lang="English","Heigth",""))</f>
        <v>Hauteur</v>
      </c>
      <c r="C23" s="564">
        <v>1</v>
      </c>
      <c r="D23" s="565"/>
      <c r="L23" s="108" t="s">
        <v>156</v>
      </c>
      <c r="M23" s="553">
        <f>IF(OR(RIGHT(Nb_diam,1)=",",D2j=0),0, X_j+l_j/3*(1+1/(1+D1j/D2j)) )</f>
        <v>32.063829787234042</v>
      </c>
      <c r="N23" s="554"/>
      <c r="O23" s="560">
        <f>IF(OR(RIGHT(Nb_diam,1)=",",D2j=0),0,2*(POWER(D2j/D_ref,2)-POWER(D1j/D_ref,2)))</f>
        <v>0.695266272189349</v>
      </c>
      <c r="P23" s="560"/>
      <c r="Q23" s="29"/>
    </row>
    <row r="24" spans="1:20" ht="12.75" customHeight="1" thickBot="1" x14ac:dyDescent="0.25">
      <c r="A24" s="25"/>
      <c r="B24" s="139" t="str">
        <f>IF(Lang="Français","Diamètre",IF(Lang="English","Diameter",""))</f>
        <v>Diamètre</v>
      </c>
      <c r="C24" s="564">
        <v>84</v>
      </c>
      <c r="D24" s="565"/>
      <c r="L24" s="108" t="s">
        <v>157</v>
      </c>
      <c r="M24" s="553">
        <f>IF( OR(RIGHT(Nb_diam,1)=",",D2r=0), 0, X_r+l_r/3*(1+1/(1+D1r/D2r)) )</f>
        <v>1094.113475177305</v>
      </c>
      <c r="N24" s="554"/>
      <c r="O24" s="560">
        <f>IF( OR(RIGHT(Nb_diam,1)=",",D2r=0), 0, 2*(POWER(D2r/D_ref,2)-POWER(D1r/D_ref,2)) )</f>
        <v>-0.695266272189349</v>
      </c>
      <c r="P24" s="560"/>
      <c r="Q24" s="29"/>
    </row>
    <row r="25" spans="1:20" ht="12.75" customHeight="1" thickBot="1" x14ac:dyDescent="0.25">
      <c r="A25" s="25"/>
      <c r="E25" s="180" t="s">
        <v>151</v>
      </c>
      <c r="L25" s="38"/>
      <c r="M25" s="38"/>
      <c r="N25" s="38"/>
      <c r="Q25" s="29"/>
      <c r="R25" s="38"/>
      <c r="S25" s="388" t="str">
        <f ca="1">IF(AND(Portee_balistique&gt;200,LEFT(Type_propu,3)="Min"),IF(Lang="Français","Fusée trop lègère !","Rocket too light"),"")</f>
        <v/>
      </c>
    </row>
    <row r="26" spans="1:20" ht="12.75" customHeight="1" thickTop="1" thickBot="1" x14ac:dyDescent="0.25">
      <c r="A26" s="25"/>
      <c r="B26" s="30"/>
      <c r="C26" s="178" t="str">
        <f>IF(LEFT(Type_masquage,1)="M",IF(Lang="Français","Ailerons","Fins"),IF(Lang="Français","Ailerons bas","Lower Fins"))</f>
        <v>Ailerons</v>
      </c>
      <c r="D26" s="179" t="str">
        <f>IF(Lang="Français","Ailerons haut",IF(Lang="English","Upper Fins",""))</f>
        <v>Ailerons haut</v>
      </c>
      <c r="F26" s="39">
        <f ca="1">TODAY()</f>
        <v>45968</v>
      </c>
      <c r="G26" s="137" t="s">
        <v>62</v>
      </c>
      <c r="H26" s="584" t="str">
        <f>IF(Lang="Français","Résultats",IF(Lang="English","Results",""))</f>
        <v>Résultats</v>
      </c>
      <c r="I26" s="584"/>
      <c r="J26" s="137" t="s">
        <v>63</v>
      </c>
      <c r="K26" s="32"/>
      <c r="L26" s="38"/>
      <c r="M26" s="38"/>
      <c r="N26" s="38"/>
      <c r="Q26" s="29"/>
      <c r="R26" s="38"/>
      <c r="S26" s="388" t="str">
        <f ca="1">IF(AND(Vsortie_de_rampe&lt;18, OR(LEFT(Type_fusee,1)=",",LEFT(Type_fusee,4)="Mini",LEFT(Type_fusee,1)="R")),IF(Lang="Français","Fusée trop lourde ou rampe trop courte !","Rocket too heavy or launch pad too small!"),"")</f>
        <v/>
      </c>
    </row>
    <row r="27" spans="1:20" ht="12.75" customHeight="1" thickTop="1" x14ac:dyDescent="0.2">
      <c r="A27" s="25"/>
      <c r="B27" s="30"/>
      <c r="C27" s="561" t="s">
        <v>423</v>
      </c>
      <c r="D27" s="562"/>
      <c r="E27" s="146">
        <f>m_ail</f>
        <v>190</v>
      </c>
      <c r="F27" s="105" t="s">
        <v>64</v>
      </c>
      <c r="G27" s="104">
        <f>IF(RIGHT(Type_fusee,1)=".",10, IF(OR(LEFT(Type_fusee,1)="R",LEFT(Type_fusee,1)=",",LEFT(Type_fusee,4)="Mini"),10, IF(LEFT(Type_fusee,5)="Micro",10, IF(RIGHT(Type_fusee,1)=" ",1))))</f>
        <v>10</v>
      </c>
      <c r="H27" s="551">
        <f>Long_tot/D_ref</f>
        <v>10.76923076923077</v>
      </c>
      <c r="I27" s="552"/>
      <c r="J27" s="104">
        <f>IF(RIGHT(Type_fusee,1)=".",35, IF(OR(LEFT(Type_fusee,1)="R",LEFT(Type_fusee,1)=",",LEFT(Type_fusee,4)="Mini"),20, IF(LEFT(Type_fusee,5)="Micro",30, IF(RIGHT(Type_fusee,1)=" ",100))))</f>
        <v>35</v>
      </c>
      <c r="K27" s="32"/>
      <c r="L27" s="38"/>
      <c r="M27" s="38"/>
      <c r="N27" s="38"/>
      <c r="Q27" s="29"/>
      <c r="R27" s="38"/>
      <c r="S27" s="388" t="str">
        <f>IF(Finesse&lt;CritFinessemin, IF(Lang="Français","Fusée trop courte !","Rocket too short!"), "" ) &amp; IF(Finesse&gt;CritFinessemax, IF(Lang="Français","Fusée trop longue !","Rocket too long!"), "" )</f>
        <v/>
      </c>
    </row>
    <row r="28" spans="1:20" ht="12.75" customHeight="1" x14ac:dyDescent="0.2">
      <c r="A28" s="25"/>
      <c r="B28" s="524" t="str">
        <f>IF(Lang="Français"," Emplanture  'm'",IF(Lang="English"," Root edge  'm'",""))</f>
        <v xml:space="preserve"> Emplanture  'm'</v>
      </c>
      <c r="C28" s="177">
        <v>190</v>
      </c>
      <c r="D28" s="177">
        <v>180</v>
      </c>
      <c r="E28" s="146">
        <f>n_ail+(m_ail-n_ail)*(1-E_int/E_ail)</f>
        <v>106.55172413793105</v>
      </c>
      <c r="F28" s="105" t="str">
        <f>IF(Lang="Français","Portance","Lift")</f>
        <v>Portance</v>
      </c>
      <c r="G28" s="104">
        <f>IF(RIGHT(Type_fusee,1)=".",15,IF(OR(LEFT(Type_fusee,1)="R",LEFT(Type_fusee,1)=",",LEFT(Type_fusee,4)="Mini"),15, IF(LEFT(Type_fusee,5)="Micro",15, IF(RIGHT(Type_fusee,1)=" ",15))))</f>
        <v>15</v>
      </c>
      <c r="H28" s="508">
        <f>Cnai+Cnc+Cno+Cnj+Cnr</f>
        <v>15.677184507305929</v>
      </c>
      <c r="I28" s="508">
        <f>Cnail+Cnc+Cno+Cnj+Cnr</f>
        <v>15.677184507305929</v>
      </c>
      <c r="J28" s="104">
        <f>IF(RIGHT(Type_fusee,1)=".",40, IF(OR(LEFT(Type_fusee,1)="R",LEFT(Type_fusee,1)=",",LEFT(Type_fusee,4)="Mini"),30, IF(LEFT(Type_fusee,5)="Micro",30, IF(RIGHT(Type_fusee,1)=" ",30))))</f>
        <v>40</v>
      </c>
      <c r="K28" s="32"/>
      <c r="L28" s="38"/>
      <c r="M28" s="38"/>
      <c r="N28" s="38"/>
      <c r="Q28" s="29"/>
      <c r="R28" s="38"/>
      <c r="S28" s="388" t="str">
        <f>IF(Cn&lt;CritCnmin, IF(Lang="Français","Ailerons trop petits !","Fins too small!"), "" ) &amp; IF(Cn&gt;CritCnmax, IF(Lang="Français","Ailerons trop grands !","Fins too big!"), "" )</f>
        <v/>
      </c>
    </row>
    <row r="29" spans="1:20" ht="12.75" customHeight="1" x14ac:dyDescent="0.2">
      <c r="A29" s="25"/>
      <c r="B29" s="524" t="str">
        <f>IF(Lang="Français"," Saumon       'n'",IF(Lang="English"," Tip edge    'n'",""))</f>
        <v xml:space="preserve"> Saumon       'n'</v>
      </c>
      <c r="C29" s="35">
        <v>80</v>
      </c>
      <c r="D29" s="35">
        <v>80</v>
      </c>
      <c r="E29" s="146">
        <f>p_ail*E_int/E_ail</f>
        <v>136.55172413793105</v>
      </c>
      <c r="F29" s="515" t="str">
        <f>IF(Lang="Français","MargeStat.","StatMargin")</f>
        <v>MargeStat.</v>
      </c>
      <c r="G29" s="510">
        <f>IF(RIGHT(Type_fusee,1)=".",2, IF(OR(LEFT(Type_fusee,1)="R",LEFT(Type_fusee,1)=",",LEFT(Type_fusee,4)="Mini"),1.5, IF(LEFT(Type_fusee,5)="Micro",1, IF(RIGHT(Type_fusee,1)=" ",1))))</f>
        <v>2</v>
      </c>
      <c r="H29" s="97">
        <f ca="1">(XCp-XcgPlein)/D_ref</f>
        <v>2.6384345508526477</v>
      </c>
      <c r="I29" s="98">
        <f ca="1">(XCp0-XcgVide)/D_ref</f>
        <v>3.2765219566800132</v>
      </c>
      <c r="J29" s="510">
        <f>IF(RIGHT(Type_fusee,1)=".",6, IF(OR(LEFT(Type_fusee,1)="R",LEFT(Type_fusee,1)=",",LEFT(Type_fusee,4)="Mini"),6, IF(LEFT(Type_fusee,5)="Micro",3, IF(RIGHT(Type_fusee,1)=" ",3))))</f>
        <v>6</v>
      </c>
      <c r="K29" s="32"/>
      <c r="Q29" s="29"/>
      <c r="R29" s="38"/>
      <c r="S29" s="388" t="str">
        <f ca="1">IF(MS_min&lt;CritMsmin, IF(Lang="Français","Abaisser les ailerons ou rehausser le CdM !","Lower the fins or move up the center of mass!"), "" ) &amp; IF(MS_max&gt;CritMsmax, IF(Lang="Français","Rehausser les ailerons ou abaisser le CdM !","Move up the fins or lower the center of mass!"), "" )</f>
        <v/>
      </c>
    </row>
    <row r="30" spans="1:20" ht="12.75" customHeight="1" x14ac:dyDescent="0.2">
      <c r="A30" s="25"/>
      <c r="B30" s="524" t="str">
        <f>IF(Lang="Français"," Flèche          'p'"," Offset         'p'")</f>
        <v xml:space="preserve"> Flèche          'p'</v>
      </c>
      <c r="C30" s="35">
        <v>180</v>
      </c>
      <c r="D30" s="35">
        <v>160</v>
      </c>
      <c r="E30" s="146">
        <f>IF(D_can/2+E_can&lt;=D_ail/2,0, IF(D_can/2+E_can&gt;=D_ail/2+E_ail,E_ail,  D_can/2+E_can - D_ail/2  ) )</f>
        <v>110</v>
      </c>
      <c r="F30" s="516" t="str">
        <f>IF(Lang="Français","Couple","Torque")</f>
        <v>Couple</v>
      </c>
      <c r="G30" s="511">
        <f>IF(RIGHT(Type_fusee,1)=".",40, IF(OR(LEFT(Type_fusee,1)="R",LEFT(Type_fusee,1)=",",LEFT(Type_fusee,4)="Mini"),30, IF(LEFT(Type_fusee,5)="Micro",15, IF(RIGHT(Type_fusee,1)=" ",15))))</f>
        <v>40</v>
      </c>
      <c r="H30" s="99">
        <f ca="1">MS_min*Cn</f>
        <v>41.363225264167809</v>
      </c>
      <c r="I30" s="96">
        <f ca="1">MS_max*Cn0</f>
        <v>51.366639257111615</v>
      </c>
      <c r="J30" s="511">
        <f>IF(RIGHT(Type_fusee,1)=".",100, IF(OR(LEFT(Type_fusee,1)="R",LEFT(Type_fusee,1)=",",LEFT(Type_fusee,4)="Mini"),100, IF(LEFT(Type_fusee,5)="Micro",100, IF(RIGHT(Type_fusee,1)=" ",90))))</f>
        <v>100</v>
      </c>
      <c r="K30" s="32"/>
      <c r="Q30" s="29"/>
      <c r="R30" s="38"/>
      <c r="S30" s="388" t="str">
        <f ca="1">IF(MS_Cn_min&lt;CritMsCnmin, IF(Lang="Français","Ailerons trop petits ou trop haut /CdM !","Fins too small or too high /CoM!"), "" ) &amp; IF(MS_Cn_max&gt;CritMsCnmax, IF(Lang="Français","Ailerons trop grands ou trop bas  /CdM !","Fins too big or too low / CoM!"), "" )</f>
        <v/>
      </c>
    </row>
    <row r="31" spans="1:20" ht="12.75" customHeight="1" x14ac:dyDescent="0.2">
      <c r="A31" s="25"/>
      <c r="B31" s="524" t="str">
        <f>IF(Lang="Français"," Envergure     'E'",IF(Lang="English"," Span          'E'",""))</f>
        <v xml:space="preserve"> Envergure     'E'</v>
      </c>
      <c r="C31" s="35">
        <v>145</v>
      </c>
      <c r="D31" s="35">
        <v>110</v>
      </c>
      <c r="E31" s="146">
        <f>ep_ail</f>
        <v>3</v>
      </c>
      <c r="F31" s="106" t="s">
        <v>55</v>
      </c>
      <c r="G31" s="103"/>
      <c r="H31" s="509">
        <f>(Cnai*XCpai+Cnc*XCpc+Cnj*XCpj+Cnr*XCpr+Cno*XCpo)/(Cnai+Cnc+Cnr+Cnj+Cno)</f>
        <v>836.17122860587619</v>
      </c>
      <c r="I31" s="509">
        <f>(Cnail*XCpa+Cnc*XCpc+Cnj*XCpj+Cnr*XCpr+Cno*XCpo)/(Cnail+Cnc+Cnr+Cnj+Cno)</f>
        <v>836.17122860587619</v>
      </c>
      <c r="J31" s="102"/>
      <c r="K31" s="32"/>
      <c r="Q31" s="29"/>
      <c r="R31" s="38"/>
      <c r="S31" s="388"/>
    </row>
    <row r="32" spans="1:20" ht="12.75" customHeight="1" x14ac:dyDescent="0.2">
      <c r="A32" s="25"/>
      <c r="B32" s="525" t="str">
        <f>IF(Lang="Français"," Epaisseur     'ep'",IF(Lang="English"," Thickness  'ep'",""))</f>
        <v xml:space="preserve"> Epaisseur     'ep'</v>
      </c>
      <c r="C32" s="35">
        <v>3</v>
      </c>
      <c r="D32" s="35">
        <v>4</v>
      </c>
      <c r="E32" s="146">
        <f>IF(Q_ail=Q_can,Q_ail,FALSE)</f>
        <v>4</v>
      </c>
      <c r="F32" s="106" t="s">
        <v>66</v>
      </c>
      <c r="G32" s="103"/>
      <c r="H32" s="100">
        <f ca="1">(XCp-XcgPlein)/Long_tot*100</f>
        <v>24.499749400774583</v>
      </c>
      <c r="I32" s="101">
        <f ca="1">(XCp-XcgVide)/Long_tot*100</f>
        <v>30.42484674060012</v>
      </c>
      <c r="J32" s="102"/>
      <c r="K32" s="32"/>
      <c r="Q32" s="29"/>
      <c r="R32" s="38"/>
    </row>
    <row r="33" spans="1:23" ht="12.75" customHeight="1" x14ac:dyDescent="0.2">
      <c r="A33" s="25"/>
      <c r="B33" s="524" t="str">
        <f>IF(Lang="Français"," Nombre            ",IF(Lang="English"," Number of fins",""))</f>
        <v xml:space="preserve"> Nombre            </v>
      </c>
      <c r="C33" s="36">
        <v>4</v>
      </c>
      <c r="D33" s="36">
        <v>4</v>
      </c>
      <c r="E33" s="146">
        <f>X_ail</f>
        <v>1040</v>
      </c>
      <c r="G33" s="24"/>
      <c r="H33" s="540" t="str">
        <f ca="1">IF(AND(CritCnmin&lt;Cn,Cn0&lt;CritCnmax,CritMsmin&lt;MS_min,MS_max&lt;CritMsmax,CritMsCnmin&lt;MS_Cn_min,MS_Cn_max&lt;CritMsCnmax),"STABLE",IF(OR(Cn&lt;CritCnmin,MS_min&lt;CritMsmin,MS_Cn_min&lt;CritMsCnmin),"INSTABLE",IF(Lang="Français","SURSTABLE","OVERSTABLE")))</f>
        <v>STABLE</v>
      </c>
      <c r="I33" s="541"/>
      <c r="J33" s="31"/>
      <c r="K33" s="32"/>
      <c r="Q33" s="29"/>
      <c r="R33" s="38"/>
    </row>
    <row r="34" spans="1:23" ht="12.75" customHeight="1" x14ac:dyDescent="0.2">
      <c r="A34" s="25"/>
      <c r="B34" s="524" t="str">
        <f>IF(Lang="Français"," Position du bas",IF(Lang="English"," Basement",""))</f>
        <v xml:space="preserve"> Position du bas</v>
      </c>
      <c r="C34" s="35">
        <v>1040</v>
      </c>
      <c r="D34" s="35">
        <v>1250</v>
      </c>
      <c r="E34" s="146">
        <f>D_ail</f>
        <v>104</v>
      </c>
      <c r="G34" s="24"/>
      <c r="H34" s="542"/>
      <c r="I34" s="543"/>
      <c r="K34" s="32"/>
      <c r="Q34" s="29"/>
      <c r="R34" s="38"/>
    </row>
    <row r="35" spans="1:23" ht="12.75" customHeight="1" x14ac:dyDescent="0.2">
      <c r="A35" s="25"/>
      <c r="B35" s="524" t="str">
        <f>IF(Lang="Français"," Diamètre         ",IF(Lang="English"," Diameter at Fins",""))</f>
        <v xml:space="preserve"> Diamètre         </v>
      </c>
      <c r="C35" s="35">
        <v>104</v>
      </c>
      <c r="D35" s="35">
        <f>D_ref</f>
        <v>104</v>
      </c>
      <c r="E35" s="146">
        <f>SQRT(POWER(p_int+n_int/2-m_int/2,2)+POWER(E_int,2))</f>
        <v>145.23178407575389</v>
      </c>
      <c r="K35" s="32"/>
      <c r="Q35" s="29"/>
      <c r="R35" s="38"/>
      <c r="W35" s="24" t="str">
        <f>RIGHT(Type_fusee,1="R")</f>
        <v/>
      </c>
    </row>
    <row r="36" spans="1:23" ht="12.75" customHeight="1" x14ac:dyDescent="0.2">
      <c r="A36" s="25"/>
      <c r="B36" s="524" t="str">
        <f>IF(Lang="Français"," Ligne mi-corde f",IF(Lang="English"," Mid-chord line f",""))</f>
        <v xml:space="preserve"> Ligne mi-corde f</v>
      </c>
      <c r="C36" s="145">
        <f>SQRT(POWER(p_ail+n_ail/2-m_ail/2,2)+POWER(E_ail,2))</f>
        <v>191.44189719076647</v>
      </c>
      <c r="D36" s="145">
        <f>SQRT(POWER(p_can+n_can/2-m_can/2,2)+POWER(E_can,2))</f>
        <v>155.56349186104046</v>
      </c>
      <c r="E36" s="536"/>
      <c r="K36" s="32"/>
      <c r="Q36" s="29"/>
      <c r="R36" s="38"/>
    </row>
    <row r="37" spans="1:23" ht="12.75" customHeight="1" thickBot="1" x14ac:dyDescent="0.25">
      <c r="A37" s="40"/>
      <c r="B37" s="182" t="str">
        <f>IF(Lang="Français","Commentaire libre :",IF(Lang="English","Free comment:",""))</f>
        <v>Commentaire libre :</v>
      </c>
      <c r="C37" s="41"/>
      <c r="D37" s="42"/>
      <c r="E37" s="91"/>
      <c r="F37" s="67"/>
      <c r="G37" s="67"/>
      <c r="H37" s="67"/>
      <c r="I37" s="67"/>
      <c r="J37" s="42"/>
      <c r="K37" s="42"/>
      <c r="L37" s="389" t="s">
        <v>270</v>
      </c>
      <c r="M37" s="392" t="str">
        <f>IF(ROUND(SUM(Propu!5:1228),0)=437735,"propu OK","propu NOK")</f>
        <v>propu OK</v>
      </c>
      <c r="N37" s="391" t="str">
        <f>IF(Lang="Français","fichier initial","Initial file")</f>
        <v>fichier initial</v>
      </c>
      <c r="O37" s="392"/>
      <c r="P37" s="390"/>
      <c r="Q37" s="291" t="s">
        <v>566</v>
      </c>
      <c r="R37" s="43"/>
    </row>
    <row r="39" spans="1:23" x14ac:dyDescent="0.2">
      <c r="L39" s="226" t="str">
        <f>IF(Lang="Français","Maintenant que votre fusée est stable, vérifiez sa trajectoire via la feuille","Now your rocket is stable, check its trajectory on sheet")</f>
        <v>Maintenant que votre fusée est stable, vérifiez sa trajectoire via la feuille</v>
      </c>
      <c r="M39" s="481" t="s">
        <v>180</v>
      </c>
    </row>
    <row r="40" spans="1:23" x14ac:dyDescent="0.2">
      <c r="H40" s="87"/>
      <c r="O40" s="26"/>
      <c r="P40" s="26"/>
      <c r="S40" s="506"/>
    </row>
    <row r="41" spans="1:23" x14ac:dyDescent="0.2">
      <c r="F41" s="24"/>
      <c r="H41" s="43"/>
      <c r="I41" s="44"/>
      <c r="J41" s="43"/>
      <c r="N41" s="43"/>
      <c r="Q41" s="43"/>
      <c r="R41" s="43"/>
    </row>
    <row r="42" spans="1:23" x14ac:dyDescent="0.2">
      <c r="F42" s="24"/>
      <c r="G42" s="503"/>
      <c r="H42" s="504"/>
      <c r="I42" s="44"/>
      <c r="J42" s="43"/>
      <c r="N42" s="43"/>
      <c r="Q42" s="43"/>
      <c r="R42" s="43"/>
    </row>
    <row r="43" spans="1:23" x14ac:dyDescent="0.2">
      <c r="F43" s="24"/>
      <c r="H43" s="43"/>
      <c r="I43" s="44"/>
      <c r="J43" s="43"/>
      <c r="N43" s="43"/>
      <c r="Q43" s="43"/>
      <c r="R43" s="43"/>
    </row>
    <row r="44" spans="1:23" x14ac:dyDescent="0.2">
      <c r="F44" s="24"/>
      <c r="H44" s="43"/>
      <c r="I44" s="44"/>
      <c r="J44" s="43"/>
      <c r="N44" s="43"/>
      <c r="Q44" s="43"/>
      <c r="R44" s="43"/>
    </row>
    <row r="45" spans="1:23" x14ac:dyDescent="0.2">
      <c r="F45" s="24"/>
      <c r="H45" s="43"/>
      <c r="I45" s="44"/>
      <c r="J45" s="43"/>
      <c r="N45" s="43"/>
      <c r="Q45" s="43"/>
      <c r="R45" s="43"/>
    </row>
    <row r="46" spans="1:23" x14ac:dyDescent="0.2">
      <c r="F46" s="24"/>
      <c r="H46" s="43"/>
      <c r="I46" s="44"/>
      <c r="J46" s="43"/>
      <c r="N46" s="43"/>
      <c r="Q46" s="43"/>
      <c r="R46" s="43"/>
    </row>
    <row r="47" spans="1:23" x14ac:dyDescent="0.2">
      <c r="F47" s="24"/>
      <c r="H47" s="43"/>
      <c r="I47" s="44"/>
      <c r="J47" s="43"/>
      <c r="L47" s="43"/>
      <c r="M47" s="43"/>
      <c r="N47" s="43"/>
      <c r="Q47" s="43"/>
      <c r="R47" s="43"/>
    </row>
    <row r="48" spans="1:23" x14ac:dyDescent="0.2">
      <c r="F48" s="24"/>
      <c r="H48" s="43"/>
      <c r="I48" s="44"/>
      <c r="J48" s="43"/>
      <c r="L48" s="43"/>
      <c r="M48" s="43"/>
      <c r="N48" s="43"/>
      <c r="Q48" s="43"/>
      <c r="R48" s="43"/>
    </row>
    <row r="49" spans="2:18" x14ac:dyDescent="0.2">
      <c r="F49" s="24"/>
      <c r="H49" s="43"/>
      <c r="I49" s="44"/>
      <c r="J49" s="43"/>
      <c r="L49" s="43"/>
      <c r="M49" s="43"/>
      <c r="N49" s="43"/>
      <c r="Q49" s="43"/>
      <c r="R49" s="43"/>
    </row>
    <row r="50" spans="2:18" x14ac:dyDescent="0.2">
      <c r="F50" s="24"/>
      <c r="H50" s="43"/>
      <c r="I50" s="44"/>
      <c r="J50" s="43"/>
      <c r="L50" s="43"/>
      <c r="M50" s="43"/>
      <c r="N50" s="43"/>
      <c r="Q50" s="43"/>
      <c r="R50" s="43"/>
    </row>
    <row r="51" spans="2:18" x14ac:dyDescent="0.2">
      <c r="F51" s="24"/>
      <c r="H51" s="43"/>
      <c r="I51" s="44"/>
      <c r="J51" s="43"/>
      <c r="L51" s="43"/>
      <c r="M51" s="43"/>
      <c r="N51" s="43"/>
      <c r="Q51" s="43"/>
      <c r="R51" s="43"/>
    </row>
    <row r="52" spans="2:18" x14ac:dyDescent="0.2">
      <c r="F52" s="24"/>
      <c r="H52" s="43"/>
      <c r="I52" s="44"/>
      <c r="J52" s="43"/>
      <c r="L52" s="43"/>
      <c r="M52" s="43"/>
      <c r="N52" s="43"/>
      <c r="Q52" s="43"/>
      <c r="R52" s="43"/>
    </row>
    <row r="53" spans="2:18" x14ac:dyDescent="0.2">
      <c r="H53" s="43"/>
      <c r="I53" s="44"/>
      <c r="J53" s="43"/>
      <c r="L53" s="43"/>
      <c r="M53" s="43"/>
      <c r="N53" s="43"/>
      <c r="Q53" s="43"/>
      <c r="R53" s="43"/>
    </row>
    <row r="54" spans="2:18" x14ac:dyDescent="0.2">
      <c r="H54" s="43"/>
      <c r="I54" s="44"/>
      <c r="J54" s="43"/>
      <c r="L54" s="43"/>
      <c r="M54" s="43"/>
      <c r="N54" s="43"/>
      <c r="Q54" s="43"/>
      <c r="R54" s="43"/>
    </row>
    <row r="55" spans="2:18" x14ac:dyDescent="0.2">
      <c r="H55" s="43"/>
      <c r="I55" s="44"/>
      <c r="J55" s="43"/>
      <c r="L55" s="43"/>
      <c r="M55" s="43"/>
      <c r="N55" s="43"/>
      <c r="Q55" s="43"/>
      <c r="R55" s="43"/>
    </row>
    <row r="56" spans="2:18" x14ac:dyDescent="0.2">
      <c r="H56" s="43"/>
      <c r="I56" s="44"/>
      <c r="J56" s="43"/>
      <c r="L56" s="43"/>
      <c r="M56" s="43"/>
      <c r="N56" s="43"/>
      <c r="Q56" s="43"/>
      <c r="R56" s="43"/>
    </row>
    <row r="57" spans="2:18" x14ac:dyDescent="0.2">
      <c r="C57" s="24"/>
      <c r="H57" s="43"/>
      <c r="I57" s="44"/>
      <c r="J57" s="43"/>
      <c r="L57" s="43"/>
      <c r="M57" s="43"/>
      <c r="N57" s="43"/>
      <c r="Q57" s="43"/>
      <c r="R57" s="43"/>
    </row>
    <row r="58" spans="2:18" x14ac:dyDescent="0.2">
      <c r="H58" s="43"/>
      <c r="I58" s="44"/>
      <c r="J58" s="43"/>
      <c r="L58" s="43"/>
      <c r="M58" s="43"/>
      <c r="N58" s="43"/>
      <c r="Q58" s="43"/>
      <c r="R58" s="43"/>
    </row>
    <row r="59" spans="2:18" x14ac:dyDescent="0.2">
      <c r="B59" s="31"/>
      <c r="H59" s="43"/>
      <c r="I59" s="44"/>
      <c r="J59" s="43"/>
      <c r="L59" s="43"/>
      <c r="M59" s="43"/>
      <c r="N59" s="43"/>
      <c r="Q59" s="43"/>
      <c r="R59" s="43"/>
    </row>
    <row r="60" spans="2:18" x14ac:dyDescent="0.2">
      <c r="B60" s="31"/>
      <c r="H60" s="43"/>
      <c r="I60" s="44"/>
      <c r="J60" s="43"/>
      <c r="L60" s="43"/>
      <c r="M60" s="43"/>
      <c r="N60" s="43"/>
      <c r="Q60" s="43"/>
      <c r="R60" s="43"/>
    </row>
    <row r="61" spans="2:18" x14ac:dyDescent="0.2">
      <c r="B61" s="31"/>
      <c r="H61" s="43"/>
      <c r="I61" s="44"/>
      <c r="J61" s="43"/>
      <c r="L61" s="43"/>
      <c r="M61" s="43"/>
      <c r="N61" s="43"/>
      <c r="Q61" s="43"/>
      <c r="R61" s="43"/>
    </row>
    <row r="62" spans="2:18" x14ac:dyDescent="0.2">
      <c r="B62" s="31"/>
      <c r="H62" s="43"/>
      <c r="I62" s="44"/>
      <c r="J62" s="43"/>
      <c r="L62" s="43"/>
      <c r="M62" s="43"/>
      <c r="N62" s="43"/>
      <c r="Q62" s="43"/>
      <c r="R62" s="43"/>
    </row>
    <row r="63" spans="2:18" x14ac:dyDescent="0.2">
      <c r="B63" s="31"/>
      <c r="H63" s="43"/>
      <c r="I63" s="44"/>
      <c r="J63" s="43"/>
      <c r="L63" s="43"/>
      <c r="M63" s="43"/>
      <c r="N63" s="43"/>
      <c r="Q63" s="43"/>
      <c r="R63" s="43"/>
    </row>
    <row r="64" spans="2:18" x14ac:dyDescent="0.2">
      <c r="B64" s="31"/>
      <c r="H64" s="43"/>
      <c r="I64" s="44"/>
      <c r="J64" s="43"/>
      <c r="L64" s="43"/>
      <c r="M64" s="43"/>
      <c r="N64" s="43"/>
      <c r="Q64" s="43"/>
      <c r="R64" s="43"/>
    </row>
    <row r="65" spans="2:18" x14ac:dyDescent="0.2">
      <c r="B65" s="31"/>
      <c r="H65" s="43"/>
      <c r="I65" s="44"/>
      <c r="J65" s="43"/>
      <c r="L65" s="43"/>
      <c r="M65" s="43"/>
      <c r="N65" s="43"/>
      <c r="Q65" s="43"/>
      <c r="R65" s="43"/>
    </row>
    <row r="66" spans="2:18" x14ac:dyDescent="0.2">
      <c r="B66" s="31"/>
      <c r="H66" s="43"/>
      <c r="I66" s="44"/>
      <c r="J66" s="43"/>
      <c r="L66" s="43"/>
      <c r="M66" s="43"/>
      <c r="N66" s="43"/>
      <c r="Q66" s="43"/>
      <c r="R66" s="43"/>
    </row>
    <row r="67" spans="2:18" x14ac:dyDescent="0.2">
      <c r="B67" s="31"/>
      <c r="H67" s="43"/>
      <c r="I67" s="44"/>
      <c r="J67" s="43"/>
      <c r="L67" s="43"/>
      <c r="M67" s="43"/>
      <c r="N67" s="43"/>
      <c r="Q67" s="43"/>
      <c r="R67" s="43"/>
    </row>
    <row r="68" spans="2:18" x14ac:dyDescent="0.2">
      <c r="C68" s="24"/>
      <c r="H68" s="43"/>
      <c r="I68" s="44"/>
      <c r="J68" s="43"/>
      <c r="L68" s="43"/>
      <c r="M68" s="43"/>
      <c r="N68" s="43"/>
      <c r="Q68" s="43"/>
      <c r="R68" s="43"/>
    </row>
    <row r="69" spans="2:18" x14ac:dyDescent="0.2">
      <c r="C69" s="24"/>
      <c r="H69" s="43"/>
      <c r="I69" s="44"/>
      <c r="J69" s="43"/>
      <c r="L69" s="43"/>
      <c r="M69" s="43"/>
      <c r="N69" s="43"/>
      <c r="Q69" s="43"/>
      <c r="R69" s="43"/>
    </row>
    <row r="70" spans="2:18" x14ac:dyDescent="0.2">
      <c r="C70" s="24"/>
      <c r="H70" s="43"/>
      <c r="I70" s="44"/>
      <c r="J70" s="43"/>
      <c r="L70" s="43"/>
      <c r="M70" s="43"/>
      <c r="N70" s="43"/>
      <c r="Q70" s="43"/>
      <c r="R70" s="43"/>
    </row>
    <row r="71" spans="2:18" x14ac:dyDescent="0.2">
      <c r="C71" s="24"/>
      <c r="H71" s="43"/>
      <c r="I71" s="44"/>
      <c r="J71" s="43"/>
      <c r="L71" s="43"/>
      <c r="M71" s="43"/>
      <c r="N71" s="43"/>
      <c r="Q71" s="43"/>
      <c r="R71" s="43"/>
    </row>
    <row r="72" spans="2:18" x14ac:dyDescent="0.2">
      <c r="C72" s="24"/>
      <c r="H72" s="43"/>
      <c r="I72" s="44"/>
      <c r="J72" s="43"/>
      <c r="L72" s="43"/>
      <c r="M72" s="43"/>
      <c r="N72" s="43"/>
      <c r="Q72" s="43"/>
      <c r="R72" s="43"/>
    </row>
    <row r="73" spans="2:18" x14ac:dyDescent="0.2">
      <c r="C73" s="24"/>
      <c r="H73" s="43"/>
      <c r="I73" s="44"/>
      <c r="J73" s="43"/>
      <c r="L73" s="43"/>
      <c r="M73" s="43"/>
      <c r="N73" s="43"/>
      <c r="Q73" s="43"/>
      <c r="R73" s="43"/>
    </row>
    <row r="74" spans="2:18" x14ac:dyDescent="0.2">
      <c r="C74" s="24"/>
      <c r="H74" s="43"/>
      <c r="I74" s="44"/>
      <c r="J74" s="43"/>
      <c r="L74" s="43"/>
      <c r="M74" s="43"/>
      <c r="N74" s="43"/>
      <c r="Q74" s="43"/>
      <c r="R74" s="43"/>
    </row>
    <row r="75" spans="2:18" x14ac:dyDescent="0.2">
      <c r="C75" s="24"/>
      <c r="H75" s="43"/>
      <c r="I75" s="44"/>
      <c r="J75" s="43"/>
      <c r="L75" s="43"/>
      <c r="M75" s="43"/>
      <c r="N75" s="43"/>
      <c r="Q75" s="43"/>
      <c r="R75" s="43"/>
    </row>
    <row r="76" spans="2:18" x14ac:dyDescent="0.2">
      <c r="C76" s="24"/>
      <c r="H76" s="43"/>
      <c r="I76" s="44"/>
      <c r="J76" s="43"/>
      <c r="L76" s="43"/>
      <c r="M76" s="43"/>
      <c r="N76" s="43"/>
      <c r="Q76" s="43"/>
      <c r="R76" s="43"/>
    </row>
    <row r="77" spans="2:18" x14ac:dyDescent="0.2">
      <c r="C77" s="24"/>
      <c r="H77" s="43"/>
      <c r="I77" s="44"/>
      <c r="J77" s="43"/>
      <c r="L77" s="43"/>
      <c r="M77" s="43"/>
      <c r="N77" s="43"/>
      <c r="Q77" s="43"/>
      <c r="R77" s="43"/>
    </row>
    <row r="78" spans="2:18" x14ac:dyDescent="0.2">
      <c r="C78" s="24"/>
      <c r="H78" s="43"/>
      <c r="I78" s="44"/>
      <c r="J78" s="43"/>
      <c r="L78" s="43"/>
      <c r="M78" s="43"/>
      <c r="N78" s="43"/>
      <c r="Q78" s="43"/>
      <c r="R78" s="43"/>
    </row>
    <row r="79" spans="2:18" x14ac:dyDescent="0.2">
      <c r="C79" s="24"/>
      <c r="H79" s="43"/>
      <c r="I79" s="44"/>
      <c r="J79" s="43"/>
      <c r="L79" s="43"/>
      <c r="M79" s="43"/>
      <c r="N79" s="43"/>
      <c r="Q79" s="43"/>
      <c r="R79" s="43"/>
    </row>
    <row r="80" spans="2:18" x14ac:dyDescent="0.2">
      <c r="C80" s="24"/>
      <c r="H80" s="43"/>
      <c r="I80" s="44"/>
      <c r="J80" s="43"/>
      <c r="L80" s="43"/>
      <c r="M80" s="43"/>
      <c r="N80" s="43"/>
      <c r="Q80" s="43"/>
      <c r="R80" s="43"/>
    </row>
    <row r="81" spans="2:18" x14ac:dyDescent="0.2">
      <c r="C81" s="24"/>
      <c r="H81" s="43"/>
      <c r="I81" s="44"/>
      <c r="J81" s="43"/>
      <c r="L81" s="43"/>
      <c r="M81" s="43"/>
      <c r="N81" s="43"/>
      <c r="Q81" s="43"/>
      <c r="R81" s="43"/>
    </row>
    <row r="82" spans="2:18" x14ac:dyDescent="0.2">
      <c r="C82" s="24"/>
      <c r="H82" s="43"/>
      <c r="I82" s="44"/>
      <c r="J82" s="43"/>
      <c r="L82" s="43"/>
      <c r="M82" s="43"/>
      <c r="N82" s="43"/>
      <c r="Q82" s="43"/>
      <c r="R82" s="43"/>
    </row>
    <row r="83" spans="2:18" x14ac:dyDescent="0.2">
      <c r="C83" s="24"/>
      <c r="H83" s="43"/>
      <c r="I83" s="44"/>
      <c r="J83" s="43"/>
      <c r="L83" s="43"/>
      <c r="M83" s="43"/>
      <c r="N83" s="43"/>
      <c r="Q83" s="43"/>
      <c r="R83" s="43"/>
    </row>
    <row r="84" spans="2:18" x14ac:dyDescent="0.2">
      <c r="C84" s="24"/>
      <c r="H84" s="43"/>
      <c r="I84" s="44"/>
      <c r="J84" s="43"/>
      <c r="L84" s="43"/>
      <c r="M84" s="43"/>
      <c r="N84" s="43"/>
      <c r="Q84" s="43"/>
      <c r="R84" s="43"/>
    </row>
    <row r="85" spans="2:18" x14ac:dyDescent="0.2">
      <c r="C85" s="24"/>
      <c r="H85" s="43"/>
      <c r="I85" s="44"/>
      <c r="J85" s="43"/>
      <c r="L85" s="43"/>
      <c r="M85" s="43"/>
      <c r="N85" s="43"/>
      <c r="Q85" s="43"/>
      <c r="R85" s="43"/>
    </row>
    <row r="86" spans="2:18" x14ac:dyDescent="0.2">
      <c r="C86" s="24"/>
      <c r="H86" s="43"/>
      <c r="I86" s="44"/>
      <c r="J86" s="43"/>
      <c r="L86" s="43"/>
      <c r="M86" s="43"/>
      <c r="N86" s="43"/>
      <c r="Q86" s="43"/>
      <c r="R86" s="43"/>
    </row>
    <row r="87" spans="2:18" x14ac:dyDescent="0.2">
      <c r="C87" s="24"/>
      <c r="H87" s="43"/>
      <c r="I87" s="44"/>
      <c r="J87" s="43"/>
      <c r="L87" s="43"/>
      <c r="M87" s="43"/>
      <c r="N87" s="43"/>
      <c r="Q87" s="43"/>
      <c r="R87" s="43"/>
    </row>
    <row r="88" spans="2:18" x14ac:dyDescent="0.2">
      <c r="C88" s="24"/>
      <c r="H88" s="43"/>
      <c r="I88" s="44"/>
      <c r="J88" s="43"/>
      <c r="L88" s="43"/>
      <c r="M88" s="43"/>
      <c r="N88" s="43"/>
      <c r="Q88" s="43"/>
      <c r="R88" s="43"/>
    </row>
    <row r="89" spans="2:18" x14ac:dyDescent="0.2">
      <c r="C89" s="24"/>
      <c r="H89" s="43"/>
      <c r="I89" s="44"/>
      <c r="J89" s="43"/>
      <c r="L89" s="43"/>
      <c r="M89" s="43"/>
      <c r="N89" s="43"/>
      <c r="Q89" s="43"/>
      <c r="R89" s="43"/>
    </row>
    <row r="90" spans="2:18" x14ac:dyDescent="0.2">
      <c r="C90" s="24"/>
      <c r="H90" s="43"/>
      <c r="I90" s="44"/>
      <c r="J90" s="43"/>
      <c r="L90" s="43"/>
      <c r="M90" s="43"/>
      <c r="N90" s="43"/>
      <c r="Q90" s="43"/>
      <c r="R90" s="43"/>
    </row>
    <row r="91" spans="2:18" x14ac:dyDescent="0.2">
      <c r="C91" s="24"/>
      <c r="H91" s="43"/>
      <c r="I91" s="44"/>
      <c r="J91" s="43"/>
      <c r="L91" s="43"/>
      <c r="M91" s="43"/>
      <c r="N91" s="43"/>
      <c r="Q91" s="43"/>
      <c r="R91" s="43"/>
    </row>
    <row r="92" spans="2:18" x14ac:dyDescent="0.2">
      <c r="B92" s="24" t="str">
        <f>IF(Lang="Français","Textes pour les listes déroulantes et graphiques :",IF(Lang="English","Texts for drop-down lists &amp; graphics :",""))</f>
        <v>Textes pour les listes déroulantes et graphiques :</v>
      </c>
      <c r="H92" s="43"/>
      <c r="I92" s="44"/>
      <c r="J92" s="43"/>
      <c r="L92" s="43"/>
      <c r="M92" s="43"/>
      <c r="N92" s="43"/>
      <c r="Q92" s="43"/>
      <c r="R92" s="43"/>
    </row>
    <row r="93" spans="2:18" x14ac:dyDescent="0.2">
      <c r="H93" s="43"/>
      <c r="I93" s="44"/>
      <c r="J93" s="43"/>
      <c r="L93" s="43"/>
      <c r="M93" s="43"/>
      <c r="N93" s="43"/>
      <c r="Q93" s="43"/>
      <c r="R93" s="43"/>
    </row>
    <row r="94" spans="2:18" x14ac:dyDescent="0.2">
      <c r="B94" s="26" t="s">
        <v>1</v>
      </c>
      <c r="H94" s="43"/>
      <c r="I94" s="44"/>
      <c r="J94" s="43"/>
      <c r="L94" s="43"/>
      <c r="M94" s="43"/>
      <c r="N94" s="43"/>
      <c r="Q94" s="43"/>
      <c r="R94" s="43"/>
    </row>
    <row r="95" spans="2:18" x14ac:dyDescent="0.2">
      <c r="B95" s="26" t="s">
        <v>67</v>
      </c>
      <c r="H95" s="43"/>
      <c r="I95" s="44"/>
      <c r="J95" s="43"/>
      <c r="L95" s="43"/>
      <c r="M95" s="43"/>
      <c r="N95" s="43"/>
      <c r="Q95" s="43"/>
      <c r="R95" s="43"/>
    </row>
    <row r="96" spans="2:18" x14ac:dyDescent="0.2">
      <c r="B96" s="26"/>
      <c r="H96" s="43"/>
      <c r="I96" s="44"/>
      <c r="J96" s="43"/>
      <c r="L96" s="43"/>
      <c r="M96" s="43"/>
      <c r="N96" s="43"/>
      <c r="Q96" s="43"/>
      <c r="R96" s="43"/>
    </row>
    <row r="97" spans="2:18" x14ac:dyDescent="0.2">
      <c r="B97" s="26" t="str">
        <f>IF(Lang="Français","Fusée à eau  ",IF(Lang="English","Water-rocket  ",""))</f>
        <v xml:space="preserve">Fusée à eau  </v>
      </c>
      <c r="H97" s="43"/>
      <c r="I97" s="44"/>
      <c r="J97" s="43"/>
      <c r="L97" s="43"/>
      <c r="M97" s="43"/>
      <c r="N97" s="43"/>
      <c r="Q97" s="43"/>
      <c r="R97" s="43"/>
    </row>
    <row r="98" spans="2:18" x14ac:dyDescent="0.2">
      <c r="B98" s="26" t="str">
        <f>IF(Lang="Français","Microfusée",IF(Lang="English","Micro-rocket",""))</f>
        <v>Microfusée</v>
      </c>
      <c r="H98" s="43"/>
      <c r="I98" s="44"/>
      <c r="J98" s="43"/>
      <c r="L98" s="43"/>
      <c r="M98" s="43"/>
      <c r="N98" s="43"/>
      <c r="Q98" s="43"/>
      <c r="R98" s="43"/>
    </row>
    <row r="99" spans="2:18" x14ac:dyDescent="0.2">
      <c r="B99" s="26" t="str">
        <f>IF(Lang="Français","Minifusée",IF(Lang="English","Mini-rocket",""))</f>
        <v>Minifusée</v>
      </c>
      <c r="H99" s="43"/>
      <c r="I99" s="44"/>
      <c r="J99" s="43"/>
      <c r="L99" s="43"/>
      <c r="M99" s="43"/>
      <c r="N99" s="43"/>
      <c r="Q99" s="43"/>
      <c r="R99" s="43"/>
    </row>
    <row r="100" spans="2:18" x14ac:dyDescent="0.2">
      <c r="B100" s="26" t="str">
        <f>IF(Lang="Français","Fusée expérimentale.",IF(Lang="English","Experimental Rocket.",""))</f>
        <v>Fusée expérimentale.</v>
      </c>
      <c r="H100" s="43"/>
      <c r="I100" s="44"/>
      <c r="J100" s="43"/>
      <c r="L100" s="43"/>
      <c r="M100" s="43"/>
      <c r="N100" s="43"/>
      <c r="Q100" s="43"/>
      <c r="R100" s="43"/>
    </row>
    <row r="101" spans="2:18" x14ac:dyDescent="0.2">
      <c r="B101" s="26" t="s">
        <v>398</v>
      </c>
      <c r="H101" s="43"/>
      <c r="I101" s="44"/>
      <c r="J101" s="43"/>
      <c r="L101" s="43"/>
      <c r="M101" s="43"/>
      <c r="N101" s="43"/>
      <c r="Q101" s="43"/>
      <c r="R101" s="43"/>
    </row>
    <row r="102" spans="2:18" x14ac:dyDescent="0.2">
      <c r="B102" s="26"/>
      <c r="H102" s="43"/>
      <c r="I102" s="44"/>
      <c r="J102" s="43"/>
      <c r="L102" s="43"/>
      <c r="M102" s="43"/>
      <c r="N102" s="43"/>
      <c r="Q102" s="43"/>
      <c r="R102" s="43"/>
    </row>
    <row r="103" spans="2:18" x14ac:dyDescent="0.2">
      <c r="B103" s="26" t="str">
        <f>IF(Lang="Français","sans propu",IF(Lang="English","without motor",""))</f>
        <v>sans propu</v>
      </c>
      <c r="H103" s="43"/>
      <c r="I103" s="44"/>
      <c r="J103" s="43"/>
      <c r="L103" s="43"/>
      <c r="M103" s="43"/>
      <c r="N103" s="43"/>
      <c r="Q103" s="43"/>
      <c r="R103" s="43"/>
    </row>
    <row r="104" spans="2:18" x14ac:dyDescent="0.2">
      <c r="B104" s="26" t="str">
        <f>IF(Lang="Français","avec propu vide",IF(Lang="English","with empty motor",""))</f>
        <v>avec propu vide</v>
      </c>
      <c r="H104" s="43"/>
      <c r="I104" s="44"/>
      <c r="J104" s="43"/>
      <c r="L104" s="43"/>
      <c r="M104" s="43"/>
      <c r="N104" s="43"/>
      <c r="Q104" s="43"/>
      <c r="R104" s="43"/>
    </row>
    <row r="105" spans="2:18" x14ac:dyDescent="0.2">
      <c r="B105" s="26" t="str">
        <f>IF(Lang="Français","avec propu plein",IF(Lang="English","with loaded motor",""))</f>
        <v>avec propu plein</v>
      </c>
      <c r="H105" s="43"/>
      <c r="I105" s="44"/>
      <c r="J105" s="43"/>
      <c r="L105" s="43"/>
      <c r="M105" s="43"/>
      <c r="N105" s="43"/>
      <c r="Q105" s="43"/>
      <c r="R105" s="43"/>
    </row>
    <row r="106" spans="2:18" x14ac:dyDescent="0.2">
      <c r="B106" s="26"/>
      <c r="H106" s="43"/>
      <c r="I106" s="44"/>
      <c r="J106" s="43"/>
      <c r="L106" s="43"/>
      <c r="M106" s="43"/>
      <c r="N106" s="43"/>
      <c r="Q106" s="43"/>
      <c r="R106" s="43"/>
    </row>
    <row r="107" spans="2:18" x14ac:dyDescent="0.2">
      <c r="B107" s="26" t="str">
        <f>IF(Lang="Français","Parabolique (arrondie)",IF(Lang="English","Parabola (rounded)",""))</f>
        <v>Parabolique (arrondie)</v>
      </c>
      <c r="H107" s="43"/>
      <c r="I107" s="44"/>
      <c r="J107" s="43"/>
      <c r="L107" s="43"/>
      <c r="M107" s="43"/>
      <c r="N107" s="43"/>
      <c r="Q107" s="43"/>
      <c r="R107" s="43"/>
    </row>
    <row r="108" spans="2:18" x14ac:dyDescent="0.2">
      <c r="B108" s="26" t="str">
        <f>IF(Lang="Français","Ogivale (pointue)",IF(Lang="English","Ogive (sharp)",""))</f>
        <v>Ogivale (pointue)</v>
      </c>
      <c r="H108" s="43"/>
      <c r="I108" s="44"/>
      <c r="J108" s="43"/>
      <c r="L108" s="43"/>
      <c r="M108" s="43"/>
      <c r="N108" s="43"/>
      <c r="Q108" s="43"/>
      <c r="R108" s="43"/>
    </row>
    <row r="109" spans="2:18" x14ac:dyDescent="0.2">
      <c r="B109" s="26" t="str">
        <f>IF(Lang="Français","Conique (droite)",IF(Lang="English","Cone (straight)",""))</f>
        <v>Conique (droite)</v>
      </c>
      <c r="H109" s="43"/>
      <c r="I109" s="44"/>
      <c r="J109" s="43"/>
      <c r="L109" s="43"/>
      <c r="M109" s="43"/>
      <c r="N109" s="43"/>
      <c r="Q109" s="43"/>
      <c r="R109" s="43"/>
    </row>
    <row r="110" spans="2:18" x14ac:dyDescent="0.2">
      <c r="B110" s="38"/>
      <c r="H110" s="43"/>
      <c r="I110" s="44"/>
      <c r="J110" s="43"/>
      <c r="L110" s="43"/>
      <c r="M110" s="43"/>
      <c r="N110" s="43"/>
      <c r="Q110" s="43"/>
      <c r="R110" s="43"/>
    </row>
    <row r="111" spans="2:18" x14ac:dyDescent="0.2">
      <c r="B111" s="38" t="s">
        <v>423</v>
      </c>
      <c r="H111" s="43"/>
      <c r="I111" s="44"/>
      <c r="J111" s="43"/>
      <c r="L111" s="43"/>
      <c r="M111" s="43"/>
      <c r="N111" s="43"/>
      <c r="Q111" s="43"/>
      <c r="R111" s="43"/>
    </row>
    <row r="112" spans="2:18" x14ac:dyDescent="0.2">
      <c r="B112" s="38" t="s">
        <v>424</v>
      </c>
      <c r="H112" s="43"/>
      <c r="I112" s="44"/>
      <c r="J112" s="43"/>
      <c r="L112" s="43"/>
      <c r="M112" s="43"/>
      <c r="N112" s="43"/>
      <c r="Q112" s="43"/>
      <c r="R112" s="43"/>
    </row>
    <row r="113" spans="2:18" x14ac:dyDescent="0.2">
      <c r="B113" s="38"/>
      <c r="H113" s="43"/>
      <c r="I113" s="44"/>
      <c r="J113" s="43"/>
      <c r="L113" s="43"/>
      <c r="M113" s="43"/>
      <c r="N113" s="43"/>
      <c r="Q113" s="43"/>
      <c r="R113" s="43"/>
    </row>
    <row r="114" spans="2:18" x14ac:dyDescent="0.2">
      <c r="B114" s="38" t="str">
        <f>IF(Lang="Français","Fusée mono-diamètre,",IF(Lang="English","Mono-diameter rocket,",""))</f>
        <v>Fusée mono-diamètre,</v>
      </c>
      <c r="H114" s="43"/>
      <c r="I114" s="44"/>
      <c r="J114" s="43"/>
      <c r="L114" s="43"/>
      <c r="M114" s="43"/>
      <c r="N114" s="43"/>
      <c r="Q114" s="43"/>
      <c r="R114" s="43"/>
    </row>
    <row r="115" spans="2:18" x14ac:dyDescent="0.2">
      <c r="B115" s="38" t="str">
        <f>IF(Lang="Français","Plusieurs diamètres.",IF(Lang="English","Many diameters rocket.",""))</f>
        <v>Plusieurs diamètres.</v>
      </c>
      <c r="H115" s="43"/>
      <c r="I115" s="44"/>
      <c r="J115" s="43"/>
      <c r="L115" s="43"/>
      <c r="M115" s="43"/>
      <c r="N115" s="43"/>
      <c r="Q115" s="43"/>
      <c r="R115" s="43"/>
    </row>
    <row r="116" spans="2:18" x14ac:dyDescent="0.2">
      <c r="B116" s="38"/>
      <c r="H116" s="43"/>
      <c r="I116" s="44"/>
      <c r="J116" s="43"/>
      <c r="L116" s="43"/>
      <c r="M116" s="43"/>
      <c r="N116" s="43"/>
      <c r="Q116" s="43"/>
      <c r="R116" s="43"/>
    </row>
    <row r="117" spans="2:18" x14ac:dyDescent="0.2">
      <c r="B117" s="223" t="str">
        <f>IF(Lang="Français","Diagramme des critères de stabilité","Stability criterions diagram")</f>
        <v>Diagramme des critères de stabilité</v>
      </c>
      <c r="H117" s="43"/>
      <c r="I117" s="44"/>
      <c r="J117" s="43"/>
      <c r="L117" s="43"/>
      <c r="M117" s="43"/>
      <c r="N117" s="43"/>
      <c r="Q117" s="43"/>
      <c r="R117" s="43"/>
    </row>
    <row r="118" spans="2:18" x14ac:dyDescent="0.2">
      <c r="B118" s="223" t="str">
        <f>IF(Lang="Français","Marge Statique (MS)","Static Margin")</f>
        <v>Marge Statique (MS)</v>
      </c>
      <c r="H118" s="43"/>
      <c r="I118" s="44"/>
      <c r="J118" s="43"/>
      <c r="L118" s="43"/>
      <c r="M118" s="43"/>
      <c r="N118" s="43"/>
      <c r="Q118" s="43"/>
      <c r="R118" s="43"/>
    </row>
    <row r="119" spans="2:18" x14ac:dyDescent="0.2">
      <c r="B119" s="223" t="str">
        <f>IF(Lang="Français","Portance Cnα","Lift Cnα")</f>
        <v>Portance Cnα</v>
      </c>
      <c r="H119" s="43"/>
      <c r="I119" s="44"/>
      <c r="J119" s="43"/>
      <c r="L119" s="43"/>
      <c r="M119" s="43"/>
      <c r="N119" s="43"/>
      <c r="Q119" s="43"/>
      <c r="R119" s="43"/>
    </row>
    <row r="120" spans="2:18" x14ac:dyDescent="0.2">
      <c r="B120" s="38"/>
      <c r="H120" s="43"/>
      <c r="I120" s="44"/>
      <c r="J120" s="43"/>
      <c r="L120" s="43"/>
      <c r="M120" s="43"/>
      <c r="N120" s="43"/>
      <c r="Q120" s="43"/>
      <c r="R120" s="43"/>
    </row>
    <row r="121" spans="2:18" x14ac:dyDescent="0.2">
      <c r="B121" s="24" t="str">
        <f>IF(Lang="Français","Données pour les graphiques :",IF(Lang="English","Data for plots:",""))</f>
        <v>Données pour les graphiques :</v>
      </c>
      <c r="H121" s="43"/>
      <c r="I121" s="44"/>
      <c r="J121" s="43"/>
      <c r="L121" s="43"/>
      <c r="M121" s="43"/>
      <c r="N121" s="43"/>
      <c r="Q121" s="43"/>
      <c r="R121" s="43"/>
    </row>
    <row r="122" spans="2:18" x14ac:dyDescent="0.2">
      <c r="H122" s="43"/>
      <c r="I122" s="44"/>
      <c r="J122" s="43"/>
      <c r="L122" s="43"/>
      <c r="M122" s="43"/>
      <c r="N122" s="43"/>
      <c r="Q122" s="43"/>
      <c r="R122" s="43"/>
    </row>
    <row r="123" spans="2:18" x14ac:dyDescent="0.2">
      <c r="B123" s="45"/>
      <c r="C123" s="45" t="s">
        <v>68</v>
      </c>
      <c r="D123" s="45" t="s">
        <v>69</v>
      </c>
      <c r="E123" s="92" t="s">
        <v>70</v>
      </c>
      <c r="K123" s="45"/>
    </row>
    <row r="124" spans="2:18" x14ac:dyDescent="0.2">
      <c r="B124" s="45" t="s">
        <v>72</v>
      </c>
      <c r="C124" s="46">
        <f>-Long_ogive</f>
        <v>-1</v>
      </c>
      <c r="D124" s="46">
        <v>0</v>
      </c>
      <c r="E124" s="93">
        <f t="shared" ref="E124:E136" si="0">-D124</f>
        <v>0</v>
      </c>
      <c r="K124" s="46"/>
    </row>
    <row r="125" spans="2:18" x14ac:dyDescent="0.2">
      <c r="B125" s="45" t="s">
        <v>72</v>
      </c>
      <c r="C125" s="46">
        <f>-Long_ogive</f>
        <v>-1</v>
      </c>
      <c r="D125" s="46">
        <f>D_og/2</f>
        <v>42</v>
      </c>
      <c r="E125" s="93">
        <f t="shared" si="0"/>
        <v>-42</v>
      </c>
      <c r="K125" s="46"/>
    </row>
    <row r="126" spans="2:18" x14ac:dyDescent="0.2">
      <c r="B126" s="45" t="s">
        <v>73</v>
      </c>
      <c r="C126" s="46">
        <f>IF(AND(RIGHT(Nb_diam,1)=".",X_j), -X_j, C125 )</f>
        <v>-1</v>
      </c>
      <c r="D126" s="46">
        <f>IF(AND(RIGHT(Nb_diam,1)=".",X_j), D1j/2, D125 )</f>
        <v>42</v>
      </c>
      <c r="E126" s="93">
        <f t="shared" si="0"/>
        <v>-42</v>
      </c>
      <c r="K126" s="46"/>
    </row>
    <row r="127" spans="2:18" x14ac:dyDescent="0.2">
      <c r="B127" s="45" t="s">
        <v>74</v>
      </c>
      <c r="C127" s="46">
        <f>IF(AND(RIGHT(Nb_diam,1)=".",X_j), -X_j-l_j, C126 )</f>
        <v>-61</v>
      </c>
      <c r="D127" s="46">
        <f>IF(AND(RIGHT(Nb_diam,1)=".",X_j), D2j/2, D126 )</f>
        <v>52</v>
      </c>
      <c r="E127" s="93">
        <f t="shared" si="0"/>
        <v>-52</v>
      </c>
      <c r="K127" s="46"/>
    </row>
    <row r="128" spans="2:18" x14ac:dyDescent="0.2">
      <c r="B128" s="45" t="s">
        <v>75</v>
      </c>
      <c r="C128" s="46">
        <f>IF(AND(RIGHT(Nb_diam,1)=".",X_r), -X_r, C127 )</f>
        <v>-1070</v>
      </c>
      <c r="D128" s="46">
        <f>IF(AND(RIGHT(Nb_diam,1)=".",X_r), D1r/2, D127 )</f>
        <v>52</v>
      </c>
      <c r="E128" s="93">
        <f t="shared" si="0"/>
        <v>-52</v>
      </c>
      <c r="K128" s="46"/>
    </row>
    <row r="129" spans="2:11" x14ac:dyDescent="0.2">
      <c r="B129" s="45" t="s">
        <v>76</v>
      </c>
      <c r="C129" s="46">
        <f>IF(AND(RIGHT(Nb_diam,1)=".",X_r), -X_r-l_r, C128 )</f>
        <v>-1120</v>
      </c>
      <c r="D129" s="46">
        <f>IF(AND(RIGHT(Nb_diam,1)=".",X_r), D2r/2, D128 )</f>
        <v>42</v>
      </c>
      <c r="E129" s="93">
        <f t="shared" si="0"/>
        <v>-42</v>
      </c>
      <c r="K129" s="46"/>
    </row>
    <row r="130" spans="2:11" x14ac:dyDescent="0.2">
      <c r="B130" s="45" t="s">
        <v>77</v>
      </c>
      <c r="C130" s="46">
        <f>-Long_tot</f>
        <v>-1120</v>
      </c>
      <c r="D130" s="46">
        <f>D129</f>
        <v>42</v>
      </c>
      <c r="E130" s="93">
        <f t="shared" si="0"/>
        <v>-42</v>
      </c>
      <c r="K130" s="46"/>
    </row>
    <row r="131" spans="2:11" x14ac:dyDescent="0.2">
      <c r="B131" s="45" t="s">
        <v>77</v>
      </c>
      <c r="C131" s="46">
        <f>-Long_tot</f>
        <v>-1120</v>
      </c>
      <c r="D131" s="46">
        <v>0</v>
      </c>
      <c r="E131" s="93">
        <f t="shared" si="0"/>
        <v>0</v>
      </c>
      <c r="K131" s="46"/>
    </row>
    <row r="132" spans="2:11" x14ac:dyDescent="0.2">
      <c r="B132" s="183" t="s">
        <v>78</v>
      </c>
      <c r="C132" s="197">
        <f>-X_ail+m_ail</f>
        <v>-850</v>
      </c>
      <c r="D132" s="197">
        <f>D_ail/2</f>
        <v>52</v>
      </c>
      <c r="E132" s="198">
        <f t="shared" si="0"/>
        <v>-52</v>
      </c>
      <c r="K132" s="46"/>
    </row>
    <row r="133" spans="2:11" x14ac:dyDescent="0.2">
      <c r="B133" s="185" t="s">
        <v>79</v>
      </c>
      <c r="C133" s="46">
        <f>-X_ail+m_ail-p_ail</f>
        <v>-1030</v>
      </c>
      <c r="D133" s="46">
        <f>D_ail/2+E_ail</f>
        <v>197</v>
      </c>
      <c r="E133" s="199">
        <f t="shared" si="0"/>
        <v>-197</v>
      </c>
      <c r="K133" s="46"/>
    </row>
    <row r="134" spans="2:11" x14ac:dyDescent="0.2">
      <c r="B134" s="185" t="s">
        <v>80</v>
      </c>
      <c r="C134" s="46">
        <f>-X_ail+m_ail-p_ail-n_ail</f>
        <v>-1110</v>
      </c>
      <c r="D134" s="46">
        <f>D_ail/2+E_ail</f>
        <v>197</v>
      </c>
      <c r="E134" s="199">
        <f t="shared" si="0"/>
        <v>-197</v>
      </c>
      <c r="K134" s="46"/>
    </row>
    <row r="135" spans="2:11" x14ac:dyDescent="0.2">
      <c r="B135" s="185" t="s">
        <v>81</v>
      </c>
      <c r="C135" s="46">
        <f>-X_ail</f>
        <v>-1040</v>
      </c>
      <c r="D135" s="46">
        <f>D_ail/2</f>
        <v>52</v>
      </c>
      <c r="E135" s="199">
        <f t="shared" si="0"/>
        <v>-52</v>
      </c>
      <c r="K135" s="46"/>
    </row>
    <row r="136" spans="2:11" x14ac:dyDescent="0.2">
      <c r="B136" s="187" t="s">
        <v>78</v>
      </c>
      <c r="C136" s="200">
        <f>-X_ail+m_ail</f>
        <v>-850</v>
      </c>
      <c r="D136" s="200">
        <f>D_ail/2</f>
        <v>52</v>
      </c>
      <c r="E136" s="201">
        <f t="shared" si="0"/>
        <v>-52</v>
      </c>
      <c r="K136" s="46"/>
    </row>
    <row r="137" spans="2:11" x14ac:dyDescent="0.2">
      <c r="B137" s="192" t="str">
        <f>IF(E_ail&gt;0,IF(Lang="Français","Envergure","Span"),"")</f>
        <v>Envergure</v>
      </c>
      <c r="C137" s="197">
        <f>MIN(-X_ail,-X_ail+m_ail-p_ail-n_ail)-Long_tot/30</f>
        <v>-1147.3333333333333</v>
      </c>
      <c r="D137" s="207">
        <f>-D_ail/2-E_ail</f>
        <v>-197</v>
      </c>
      <c r="E137" s="93"/>
      <c r="K137" s="46"/>
    </row>
    <row r="138" spans="2:11" x14ac:dyDescent="0.2">
      <c r="B138" s="195" t="s">
        <v>166</v>
      </c>
      <c r="C138" s="46">
        <f>MIN(-X_ail,-X_ail+m_ail-p_ail-n_ail)-Long_tot/30</f>
        <v>-1147.3333333333333</v>
      </c>
      <c r="D138" s="208">
        <f>-D_ail/2-E_ail/2</f>
        <v>-124.5</v>
      </c>
      <c r="E138" s="93"/>
      <c r="K138" s="46"/>
    </row>
    <row r="139" spans="2:11" x14ac:dyDescent="0.2">
      <c r="B139" s="212" t="s">
        <v>162</v>
      </c>
      <c r="C139" s="200">
        <f>MIN(-X_ail,-X_ail+m_ail-p_ail-n_ail)-Long_tot/30</f>
        <v>-1147.3333333333333</v>
      </c>
      <c r="D139" s="209">
        <f>-D_ail/2</f>
        <v>-52</v>
      </c>
      <c r="E139" s="93"/>
      <c r="K139" s="46"/>
    </row>
    <row r="140" spans="2:11" x14ac:dyDescent="0.2">
      <c r="B140" s="192" t="str">
        <f>IF(Lang="Français","Emplanture","Root edge")</f>
        <v>Emplanture</v>
      </c>
      <c r="C140" s="197">
        <f>-X_ail+m_ail</f>
        <v>-850</v>
      </c>
      <c r="D140" s="207">
        <f>D_ail/2+E_ail+Long_tot/20</f>
        <v>253</v>
      </c>
      <c r="E140" s="93"/>
      <c r="K140" s="46"/>
    </row>
    <row r="141" spans="2:11" x14ac:dyDescent="0.2">
      <c r="B141" s="195" t="s">
        <v>168</v>
      </c>
      <c r="C141" s="46">
        <f>-X_ail+m_ail/2</f>
        <v>-945</v>
      </c>
      <c r="D141" s="208">
        <f>D_ail/2+E_ail+Long_tot/20</f>
        <v>253</v>
      </c>
      <c r="E141" s="93"/>
      <c r="K141" s="46"/>
    </row>
    <row r="142" spans="2:11" x14ac:dyDescent="0.2">
      <c r="B142" s="212" t="s">
        <v>169</v>
      </c>
      <c r="C142" s="200">
        <f>-X_ail</f>
        <v>-1040</v>
      </c>
      <c r="D142" s="209">
        <f>D_ail/2+E_ail+Long_tot/20</f>
        <v>253</v>
      </c>
      <c r="E142" s="93"/>
      <c r="K142" s="46"/>
    </row>
    <row r="143" spans="2:11" x14ac:dyDescent="0.2">
      <c r="B143" s="192" t="str">
        <f>IF(p_ail&lt;&gt;0,IF(Lang="Français","Flèche","Offset"),"")</f>
        <v>Flèche</v>
      </c>
      <c r="C143" s="197">
        <f>-X_ail+m_ail</f>
        <v>-850</v>
      </c>
      <c r="D143" s="207">
        <f>-D_ail/2-E_ail-Long_tot/30</f>
        <v>-234.33333333333334</v>
      </c>
      <c r="E143" s="93"/>
      <c r="K143" s="46"/>
    </row>
    <row r="144" spans="2:11" x14ac:dyDescent="0.2">
      <c r="B144" s="195" t="s">
        <v>165</v>
      </c>
      <c r="C144" s="46">
        <f>-X_ail+m_ail-p_ail/2</f>
        <v>-940</v>
      </c>
      <c r="D144" s="208">
        <f>-D_ail/2-E_ail-Long_tot/30</f>
        <v>-234.33333333333334</v>
      </c>
      <c r="E144" s="93"/>
      <c r="K144" s="46"/>
    </row>
    <row r="145" spans="2:11" x14ac:dyDescent="0.2">
      <c r="B145" s="212" t="s">
        <v>163</v>
      </c>
      <c r="C145" s="200">
        <f>-X_ail+m_ail-p_ail</f>
        <v>-1030</v>
      </c>
      <c r="D145" s="209">
        <f>-D_ail/2-E_ail-Long_tot/30</f>
        <v>-234.33333333333334</v>
      </c>
      <c r="E145" s="93"/>
      <c r="K145" s="46"/>
    </row>
    <row r="146" spans="2:11" x14ac:dyDescent="0.2">
      <c r="B146" s="192" t="str">
        <f>IF(n_ail&gt;0,IF(Lang="Français","Saumon","Tip edge"),"")</f>
        <v>Saumon</v>
      </c>
      <c r="C146" s="197">
        <f>-X_ail+m_ail-p_ail</f>
        <v>-1030</v>
      </c>
      <c r="D146" s="207">
        <f>-D_ail/2-E_ail-Long_tot/20</f>
        <v>-253</v>
      </c>
      <c r="E146" s="93"/>
      <c r="K146" s="46"/>
    </row>
    <row r="147" spans="2:11" x14ac:dyDescent="0.2">
      <c r="B147" s="195" t="s">
        <v>167</v>
      </c>
      <c r="C147" s="46">
        <f>-X_ail+m_ail-p_ail-n_ail/2</f>
        <v>-1070</v>
      </c>
      <c r="D147" s="208">
        <f>-D_ail/2-E_ail-Long_tot/20</f>
        <v>-253</v>
      </c>
      <c r="E147" s="93"/>
      <c r="K147" s="46"/>
    </row>
    <row r="148" spans="2:11" x14ac:dyDescent="0.2">
      <c r="B148" s="212" t="s">
        <v>164</v>
      </c>
      <c r="C148" s="200">
        <f>-X_ail+m_ail-p_ail-n_ail</f>
        <v>-1110</v>
      </c>
      <c r="D148" s="209">
        <f>-D_ail/2-E_ail-Long_tot/20</f>
        <v>-253</v>
      </c>
      <c r="E148" s="93"/>
      <c r="K148" s="46"/>
    </row>
    <row r="149" spans="2:11" x14ac:dyDescent="0.2">
      <c r="B149" s="183" t="s">
        <v>82</v>
      </c>
      <c r="C149" s="197">
        <f ca="1">-XcgPlein</f>
        <v>-561.77403531720086</v>
      </c>
      <c r="D149" s="207">
        <v>0</v>
      </c>
      <c r="E149" s="93"/>
      <c r="K149" s="46"/>
    </row>
    <row r="150" spans="2:11" x14ac:dyDescent="0.2">
      <c r="B150" s="187" t="s">
        <v>83</v>
      </c>
      <c r="C150" s="200">
        <f ca="1">-XcgVide</f>
        <v>-495.41294511115484</v>
      </c>
      <c r="D150" s="209">
        <v>0</v>
      </c>
      <c r="E150" s="93"/>
      <c r="K150" s="46"/>
    </row>
    <row r="151" spans="2:11" x14ac:dyDescent="0.2">
      <c r="B151" s="183" t="s">
        <v>84</v>
      </c>
      <c r="C151" s="197">
        <f>-XCp</f>
        <v>-836.17122860587619</v>
      </c>
      <c r="D151" s="207">
        <v>0</v>
      </c>
      <c r="E151" s="93"/>
      <c r="K151" s="46"/>
    </row>
    <row r="152" spans="2:11" x14ac:dyDescent="0.2">
      <c r="B152" s="187" t="s">
        <v>84</v>
      </c>
      <c r="C152" s="200">
        <f>-XCp</f>
        <v>-836.17122860587619</v>
      </c>
      <c r="D152" s="209">
        <f>Cn*D_ref/CritCnmin</f>
        <v>108.6951459173211</v>
      </c>
      <c r="E152" s="93"/>
      <c r="K152" s="46"/>
    </row>
    <row r="153" spans="2:11" x14ac:dyDescent="0.2">
      <c r="B153" s="185" t="s">
        <v>422</v>
      </c>
      <c r="C153" s="46">
        <f>-XCp0</f>
        <v>-836.17122860587619</v>
      </c>
      <c r="D153" s="208">
        <f>Cn0*D_ref/CritCnmin</f>
        <v>108.6951459173211</v>
      </c>
      <c r="E153" s="93"/>
      <c r="K153" s="46"/>
    </row>
    <row r="154" spans="2:11" x14ac:dyDescent="0.2">
      <c r="B154" s="185" t="s">
        <v>422</v>
      </c>
      <c r="C154" s="46">
        <f>-XCp0</f>
        <v>-836.17122860587619</v>
      </c>
      <c r="D154" s="208">
        <v>0</v>
      </c>
      <c r="E154" s="93"/>
      <c r="K154" s="46"/>
    </row>
    <row r="155" spans="2:11" x14ac:dyDescent="0.2">
      <c r="B155" s="192" t="str">
        <f>IF(n_ail&gt;0,IF(Lang="Français","Marge Statique","Static Margin"),"")</f>
        <v>Marge Statique</v>
      </c>
      <c r="C155" s="197">
        <f ca="1">(-XcgPlein-XcgVide)/2</f>
        <v>-528.59349021417779</v>
      </c>
      <c r="D155" s="207">
        <f>-D_ail/2-E_ail-Long_tot/20</f>
        <v>-253</v>
      </c>
      <c r="E155" s="93"/>
      <c r="K155" s="46"/>
    </row>
    <row r="156" spans="2:11" x14ac:dyDescent="0.2">
      <c r="B156" s="195" t="s">
        <v>170</v>
      </c>
      <c r="C156" s="46">
        <f ca="1">(C155+C157)/2</f>
        <v>-682.38235941002699</v>
      </c>
      <c r="D156" s="208">
        <f>-D_ail/2-E_ail-Long_tot/20</f>
        <v>-253</v>
      </c>
      <c r="E156" s="93"/>
      <c r="K156" s="46"/>
    </row>
    <row r="157" spans="2:11" x14ac:dyDescent="0.2">
      <c r="B157" s="212" t="s">
        <v>171</v>
      </c>
      <c r="C157" s="200">
        <f>-XCp</f>
        <v>-836.17122860587619</v>
      </c>
      <c r="D157" s="209">
        <f>-D_ail/2-E_ail-Long_tot/20</f>
        <v>-253</v>
      </c>
      <c r="E157" s="93"/>
      <c r="K157" s="46"/>
    </row>
    <row r="158" spans="2:11" x14ac:dyDescent="0.2">
      <c r="B158" s="183" t="s">
        <v>85</v>
      </c>
      <c r="C158" s="197">
        <f>IF(LEFT(Type_masquage,1)="M",0,-X_can+m_can)</f>
        <v>0</v>
      </c>
      <c r="D158" s="197">
        <f>IF(LEFT(Type_masquage,1)="M",0,D_ail/2)</f>
        <v>0</v>
      </c>
      <c r="E158" s="198">
        <f t="shared" ref="E158:E167" si="1">-D158</f>
        <v>0</v>
      </c>
      <c r="K158" s="46"/>
    </row>
    <row r="159" spans="2:11" x14ac:dyDescent="0.2">
      <c r="B159" s="185" t="s">
        <v>86</v>
      </c>
      <c r="C159" s="46">
        <f>IF(LEFT(Type_masquage,1)="M",0,-X_can+m_can-p_can)</f>
        <v>0</v>
      </c>
      <c r="D159" s="46">
        <f>IF(LEFT(Type_masquage,1)="M",0,D_ail/2+E_can)</f>
        <v>0</v>
      </c>
      <c r="E159" s="199">
        <f t="shared" si="1"/>
        <v>0</v>
      </c>
      <c r="K159" s="46"/>
    </row>
    <row r="160" spans="2:11" x14ac:dyDescent="0.2">
      <c r="B160" s="185" t="s">
        <v>87</v>
      </c>
      <c r="C160" s="46">
        <f>IF(LEFT(Type_masquage,1)="M",0,-X_can+m_can-p_can-n_can)</f>
        <v>0</v>
      </c>
      <c r="D160" s="46">
        <f>IF(LEFT(Type_masquage,1)="M",0,D_ail/2+E_can)</f>
        <v>0</v>
      </c>
      <c r="E160" s="199">
        <f t="shared" si="1"/>
        <v>0</v>
      </c>
      <c r="K160" s="46"/>
    </row>
    <row r="161" spans="2:11" x14ac:dyDescent="0.2">
      <c r="B161" s="185" t="s">
        <v>88</v>
      </c>
      <c r="C161" s="46">
        <f>IF(LEFT(Type_masquage,1)="M",0,-X_can)</f>
        <v>0</v>
      </c>
      <c r="D161" s="46">
        <f>IF(LEFT(Type_masquage,1)="M",0,D_ail/2)</f>
        <v>0</v>
      </c>
      <c r="E161" s="199">
        <f t="shared" si="1"/>
        <v>0</v>
      </c>
      <c r="K161" s="46"/>
    </row>
    <row r="162" spans="2:11" x14ac:dyDescent="0.2">
      <c r="B162" s="187" t="s">
        <v>85</v>
      </c>
      <c r="C162" s="200">
        <f>IF(LEFT(Type_masquage,1)="M",0,-X_can+m_can)</f>
        <v>0</v>
      </c>
      <c r="D162" s="200">
        <f>IF(LEFT(Type_masquage,1)="M",0,D_ail/2)</f>
        <v>0</v>
      </c>
      <c r="E162" s="201">
        <f t="shared" si="1"/>
        <v>0</v>
      </c>
      <c r="K162" s="46"/>
    </row>
    <row r="163" spans="2:11" x14ac:dyDescent="0.2">
      <c r="B163" s="183" t="s">
        <v>89</v>
      </c>
      <c r="C163" s="197">
        <f>IF(LEFT(Type_masquage,1)="B",-X_int+m_int,0)</f>
        <v>0</v>
      </c>
      <c r="D163" s="197">
        <f>IF(LEFT(Type_masquage,1)="B",D_int/2,0)</f>
        <v>0</v>
      </c>
      <c r="E163" s="198">
        <f t="shared" si="1"/>
        <v>0</v>
      </c>
      <c r="K163" s="46"/>
    </row>
    <row r="164" spans="2:11" x14ac:dyDescent="0.2">
      <c r="B164" s="185" t="s">
        <v>90</v>
      </c>
      <c r="C164" s="46">
        <f>IF(LEFT(Type_masquage,1)="B",-X_int+m_int-p_int,0)</f>
        <v>0</v>
      </c>
      <c r="D164" s="46">
        <f>IF(LEFT(Type_masquage,1)="B",D_int/2+E_int,0)</f>
        <v>0</v>
      </c>
      <c r="E164" s="199">
        <f t="shared" si="1"/>
        <v>0</v>
      </c>
      <c r="K164" s="46"/>
    </row>
    <row r="165" spans="2:11" x14ac:dyDescent="0.2">
      <c r="B165" s="185" t="s">
        <v>91</v>
      </c>
      <c r="C165" s="46">
        <f>IF(LEFT(Type_masquage,1)="B",-X_int+m_int-p_int-n_int,0)</f>
        <v>0</v>
      </c>
      <c r="D165" s="46">
        <f>IF(LEFT(Type_masquage,1)="B",D_int/2+E_int,0)</f>
        <v>0</v>
      </c>
      <c r="E165" s="199">
        <f t="shared" si="1"/>
        <v>0</v>
      </c>
      <c r="K165" s="46"/>
    </row>
    <row r="166" spans="2:11" x14ac:dyDescent="0.2">
      <c r="B166" s="185" t="s">
        <v>92</v>
      </c>
      <c r="C166" s="46">
        <f>IF(LEFT(Type_masquage,1)="B",-X_int,0)</f>
        <v>0</v>
      </c>
      <c r="D166" s="46">
        <f>IF(LEFT(Type_masquage,1)="B",D_int/2,0)</f>
        <v>0</v>
      </c>
      <c r="E166" s="199">
        <f t="shared" si="1"/>
        <v>0</v>
      </c>
      <c r="K166" s="46"/>
    </row>
    <row r="167" spans="2:11" x14ac:dyDescent="0.2">
      <c r="B167" s="187" t="s">
        <v>89</v>
      </c>
      <c r="C167" s="200">
        <f>IF(LEFT(Type_masquage,1)="B",-X_int+m_int,0)</f>
        <v>0</v>
      </c>
      <c r="D167" s="200">
        <f>IF(LEFT(Type_masquage,1)="B",D_int/2,0)</f>
        <v>0</v>
      </c>
      <c r="E167" s="201">
        <f t="shared" si="1"/>
        <v>0</v>
      </c>
      <c r="K167" s="46"/>
    </row>
    <row r="168" spans="2:11" x14ac:dyDescent="0.2">
      <c r="B168" s="45" t="s">
        <v>93</v>
      </c>
      <c r="C168" s="46">
        <f>-MAX(Long_tot, X_ail-m_ail+p_ail+n_ail, (E_ail+D_ail/2)*3.2)*1.01</f>
        <v>-1131.2</v>
      </c>
      <c r="D168" s="46">
        <f>MAX(E_ail+D_ail/2, Long_tot/3)</f>
        <v>373.33333333333331</v>
      </c>
      <c r="E168" s="93"/>
      <c r="K168" s="46"/>
    </row>
    <row r="169" spans="2:11" x14ac:dyDescent="0.2">
      <c r="B169" s="45" t="s">
        <v>93</v>
      </c>
      <c r="C169" s="46">
        <f>C168</f>
        <v>-1131.2</v>
      </c>
      <c r="D169" s="46">
        <f>-D168</f>
        <v>-373.33333333333331</v>
      </c>
      <c r="E169" s="93"/>
      <c r="K169" s="46"/>
    </row>
    <row r="170" spans="2:11" x14ac:dyDescent="0.2">
      <c r="B170" s="183" t="s">
        <v>94</v>
      </c>
      <c r="C170" s="197">
        <f ca="1">-XpropuRef+Long_propu</f>
        <v>-632</v>
      </c>
      <c r="D170" s="207">
        <f ca="1">-Diam_propu/2</f>
        <v>-27</v>
      </c>
      <c r="E170" s="93"/>
      <c r="K170" s="46"/>
    </row>
    <row r="171" spans="2:11" x14ac:dyDescent="0.2">
      <c r="B171" s="185" t="s">
        <v>95</v>
      </c>
      <c r="C171" s="46">
        <f ca="1">-XpropuRef+Long_propu</f>
        <v>-632</v>
      </c>
      <c r="D171" s="208">
        <f ca="1">Diam_propu/2</f>
        <v>27</v>
      </c>
      <c r="E171" s="93"/>
      <c r="K171" s="46"/>
    </row>
    <row r="172" spans="2:11" x14ac:dyDescent="0.2">
      <c r="B172" s="185" t="s">
        <v>96</v>
      </c>
      <c r="C172" s="46">
        <f>-XpropuRef</f>
        <v>-1120</v>
      </c>
      <c r="D172" s="208">
        <f ca="1">Diam_propu/2</f>
        <v>27</v>
      </c>
      <c r="E172" s="93"/>
      <c r="K172" s="46"/>
    </row>
    <row r="173" spans="2:11" x14ac:dyDescent="0.2">
      <c r="B173" s="185" t="s">
        <v>97</v>
      </c>
      <c r="C173" s="46">
        <f>-XpropuRef</f>
        <v>-1120</v>
      </c>
      <c r="D173" s="208">
        <f ca="1">-Diam_propu/2</f>
        <v>-27</v>
      </c>
      <c r="E173" s="93"/>
      <c r="K173" s="46"/>
    </row>
    <row r="174" spans="2:11" x14ac:dyDescent="0.2">
      <c r="B174" s="187" t="s">
        <v>98</v>
      </c>
      <c r="C174" s="200">
        <f ca="1">-XpropuRef+Long_propu</f>
        <v>-632</v>
      </c>
      <c r="D174" s="209">
        <f ca="1">-Diam_propu/2</f>
        <v>-27</v>
      </c>
      <c r="E174" s="93"/>
      <c r="F174" s="192" t="s">
        <v>159</v>
      </c>
      <c r="G174" s="193" t="s">
        <v>160</v>
      </c>
      <c r="H174" s="194" t="s">
        <v>161</v>
      </c>
      <c r="K174" s="46"/>
    </row>
    <row r="175" spans="2:11" x14ac:dyDescent="0.2">
      <c r="B175" s="183" t="s">
        <v>71</v>
      </c>
      <c r="C175" s="197">
        <v>0</v>
      </c>
      <c r="D175" s="197">
        <v>0</v>
      </c>
      <c r="E175" s="198">
        <f t="shared" ref="E175:E180" si="2">-D175</f>
        <v>0</v>
      </c>
      <c r="F175" s="195">
        <v>0</v>
      </c>
      <c r="G175" s="45">
        <v>0</v>
      </c>
      <c r="H175" s="189">
        <v>0</v>
      </c>
      <c r="K175" s="46"/>
    </row>
    <row r="176" spans="2:11" x14ac:dyDescent="0.2">
      <c r="B176" s="185" t="s">
        <v>72</v>
      </c>
      <c r="C176" s="46">
        <f>-Long_ogive*0.1</f>
        <v>-0.1</v>
      </c>
      <c r="D176" s="46">
        <f>IF(LEFT(Forme_ogive,5)="Parab",H176,IF(LEFT(Forme_ogive,4)="Ogiv",G176,IF(LEFT(Forme_ogive,3)="Con",F176)))</f>
        <v>4.2</v>
      </c>
      <c r="E176" s="199">
        <f t="shared" si="2"/>
        <v>-4.2</v>
      </c>
      <c r="F176" s="185">
        <f>D_og/2*0.1</f>
        <v>4.2</v>
      </c>
      <c r="G176" s="45">
        <f>D_og/2*0.2</f>
        <v>8.4</v>
      </c>
      <c r="H176" s="189">
        <f>D_og/2*0.5</f>
        <v>21</v>
      </c>
      <c r="K176" s="46"/>
    </row>
    <row r="177" spans="2:11" x14ac:dyDescent="0.2">
      <c r="B177" s="185" t="s">
        <v>72</v>
      </c>
      <c r="C177" s="46">
        <f>-Long_ogive/4</f>
        <v>-0.25</v>
      </c>
      <c r="D177" s="46">
        <f>IF(LEFT(Forme_ogive,5)="Parab",H177,IF(LEFT(Forme_ogive,4)="Ogiv",G177,IF(LEFT(Forme_ogive,3)="Con",F177)))</f>
        <v>10.5</v>
      </c>
      <c r="E177" s="199">
        <f t="shared" si="2"/>
        <v>-10.5</v>
      </c>
      <c r="F177" s="185">
        <f>D_og/2*1/4</f>
        <v>10.5</v>
      </c>
      <c r="G177" s="45">
        <f>D_og/2/2</f>
        <v>21</v>
      </c>
      <c r="H177" s="189">
        <f>D_og/2*0.7</f>
        <v>29.4</v>
      </c>
      <c r="K177" s="46"/>
    </row>
    <row r="178" spans="2:11" x14ac:dyDescent="0.2">
      <c r="B178" s="185" t="s">
        <v>72</v>
      </c>
      <c r="C178" s="46">
        <f>-Long_ogive/2</f>
        <v>-0.5</v>
      </c>
      <c r="D178" s="46">
        <f>IF(LEFT(Forme_ogive,5)="Parab",H178,IF(LEFT(Forme_ogive,4)="Ogiv",G178,IF(LEFT(Forme_ogive,3)="Con",F178)))</f>
        <v>21</v>
      </c>
      <c r="E178" s="199">
        <f t="shared" si="2"/>
        <v>-21</v>
      </c>
      <c r="F178" s="185">
        <f>D_og/2/2</f>
        <v>21</v>
      </c>
      <c r="G178" s="45">
        <f>D_og/2*3/4</f>
        <v>31.5</v>
      </c>
      <c r="H178" s="189">
        <f>D_og/2*0.88</f>
        <v>36.96</v>
      </c>
      <c r="K178" s="46"/>
    </row>
    <row r="179" spans="2:11" x14ac:dyDescent="0.2">
      <c r="B179" s="185" t="s">
        <v>72</v>
      </c>
      <c r="C179" s="46">
        <f>-Long_ogive*3/4</f>
        <v>-0.75</v>
      </c>
      <c r="D179" s="46">
        <f>IF(LEFT(Forme_ogive,5)="Parab",H179,IF(LEFT(Forme_ogive,4)="Ogiv",G179,IF(LEFT(Forme_ogive,3)="Con",F179)))</f>
        <v>31.5</v>
      </c>
      <c r="E179" s="199">
        <f t="shared" si="2"/>
        <v>-31.5</v>
      </c>
      <c r="F179" s="185">
        <f>D_og/2*3/4</f>
        <v>31.5</v>
      </c>
      <c r="G179" s="45">
        <f>D_og/2*0.9</f>
        <v>37.800000000000004</v>
      </c>
      <c r="H179" s="189">
        <f>D_og/2*0.95</f>
        <v>39.9</v>
      </c>
      <c r="K179" s="46"/>
    </row>
    <row r="180" spans="2:11" x14ac:dyDescent="0.2">
      <c r="B180" s="187" t="s">
        <v>72</v>
      </c>
      <c r="C180" s="200">
        <f>-Long_ogive</f>
        <v>-1</v>
      </c>
      <c r="D180" s="200">
        <f>D_og/2</f>
        <v>42</v>
      </c>
      <c r="E180" s="201">
        <f t="shared" si="2"/>
        <v>-42</v>
      </c>
      <c r="F180" s="187">
        <f>D_og/2</f>
        <v>42</v>
      </c>
      <c r="G180" s="196">
        <f>D_og/2</f>
        <v>42</v>
      </c>
      <c r="H180" s="190">
        <f>D_og/2</f>
        <v>42</v>
      </c>
      <c r="K180" s="26"/>
    </row>
    <row r="181" spans="2:11" x14ac:dyDescent="0.2">
      <c r="B181" s="45" t="s">
        <v>99</v>
      </c>
      <c r="C181" s="45" t="s">
        <v>100</v>
      </c>
      <c r="D181" s="183" t="s">
        <v>99</v>
      </c>
      <c r="E181" s="204" t="s">
        <v>100</v>
      </c>
      <c r="K181" s="45"/>
    </row>
    <row r="182" spans="2:11" x14ac:dyDescent="0.2">
      <c r="B182" s="183">
        <v>0</v>
      </c>
      <c r="C182" s="202">
        <f>CritCnmin</f>
        <v>15</v>
      </c>
      <c r="D182" s="185">
        <v>0.5</v>
      </c>
      <c r="E182" s="205">
        <f t="shared" ref="E182:E187" si="3">CritMsCnmin/D182</f>
        <v>80</v>
      </c>
      <c r="K182" s="45"/>
    </row>
    <row r="183" spans="2:11" x14ac:dyDescent="0.2">
      <c r="B183" s="187">
        <v>7</v>
      </c>
      <c r="C183" s="196">
        <f>CritCnmin</f>
        <v>15</v>
      </c>
      <c r="D183" s="185">
        <v>1</v>
      </c>
      <c r="E183" s="205">
        <f t="shared" si="3"/>
        <v>40</v>
      </c>
      <c r="K183" s="45"/>
    </row>
    <row r="184" spans="2:11" x14ac:dyDescent="0.2">
      <c r="B184" s="183">
        <v>0</v>
      </c>
      <c r="C184" s="202">
        <f>CritCnmax</f>
        <v>40</v>
      </c>
      <c r="D184" s="185">
        <v>2</v>
      </c>
      <c r="E184" s="205">
        <f t="shared" si="3"/>
        <v>20</v>
      </c>
      <c r="K184" s="45"/>
    </row>
    <row r="185" spans="2:11" x14ac:dyDescent="0.2">
      <c r="B185" s="187">
        <v>7</v>
      </c>
      <c r="C185" s="196">
        <f>CritCnmax</f>
        <v>40</v>
      </c>
      <c r="D185" s="185">
        <v>3</v>
      </c>
      <c r="E185" s="205">
        <f t="shared" si="3"/>
        <v>13.333333333333334</v>
      </c>
      <c r="K185" s="45"/>
    </row>
    <row r="186" spans="2:11" x14ac:dyDescent="0.2">
      <c r="B186" s="183">
        <f>CritMsmin</f>
        <v>2</v>
      </c>
      <c r="C186" s="202">
        <v>0</v>
      </c>
      <c r="D186" s="185">
        <v>5</v>
      </c>
      <c r="E186" s="205">
        <f t="shared" si="3"/>
        <v>8</v>
      </c>
      <c r="K186" s="45"/>
    </row>
    <row r="187" spans="2:11" x14ac:dyDescent="0.2">
      <c r="B187" s="187">
        <f>CritMsmin</f>
        <v>2</v>
      </c>
      <c r="C187" s="196">
        <v>55</v>
      </c>
      <c r="D187" s="185">
        <v>7</v>
      </c>
      <c r="E187" s="205">
        <f t="shared" si="3"/>
        <v>5.7142857142857144</v>
      </c>
      <c r="K187" s="45"/>
    </row>
    <row r="188" spans="2:11" x14ac:dyDescent="0.2">
      <c r="B188" s="183">
        <f>CritMsmax</f>
        <v>6</v>
      </c>
      <c r="C188" s="202">
        <v>0</v>
      </c>
      <c r="D188" s="185">
        <v>1</v>
      </c>
      <c r="E188" s="205">
        <f t="shared" ref="E188:E193" si="4">CritMsCnmax/D188</f>
        <v>100</v>
      </c>
      <c r="K188" s="45"/>
    </row>
    <row r="189" spans="2:11" x14ac:dyDescent="0.2">
      <c r="B189" s="187">
        <f>CritMsmax</f>
        <v>6</v>
      </c>
      <c r="C189" s="196">
        <v>55</v>
      </c>
      <c r="D189" s="185">
        <v>2</v>
      </c>
      <c r="E189" s="205">
        <f t="shared" si="4"/>
        <v>50</v>
      </c>
      <c r="K189" s="45"/>
    </row>
    <row r="190" spans="2:11" x14ac:dyDescent="0.2">
      <c r="B190" s="191">
        <f ca="1">MS_min</f>
        <v>2.6384345508526477</v>
      </c>
      <c r="C190" s="203">
        <f>Cn</f>
        <v>15.677184507305929</v>
      </c>
      <c r="D190" s="185">
        <v>3</v>
      </c>
      <c r="E190" s="205">
        <f t="shared" si="4"/>
        <v>33.333333333333336</v>
      </c>
      <c r="K190" s="45"/>
    </row>
    <row r="191" spans="2:11" x14ac:dyDescent="0.2">
      <c r="B191" s="512">
        <f ca="1">(XCp0-XcgPlein)/D_ref</f>
        <v>2.6384345508526477</v>
      </c>
      <c r="C191" s="513">
        <f>Cn0</f>
        <v>15.677184507305929</v>
      </c>
      <c r="D191" s="185">
        <v>4</v>
      </c>
      <c r="E191" s="205">
        <f t="shared" si="4"/>
        <v>25</v>
      </c>
      <c r="K191" s="45"/>
    </row>
    <row r="192" spans="2:11" x14ac:dyDescent="0.2">
      <c r="B192" s="512">
        <f ca="1">(XCp0-XcgVide)/D_ref</f>
        <v>3.2765219566800132</v>
      </c>
      <c r="C192" s="513">
        <f>Cn0</f>
        <v>15.677184507305929</v>
      </c>
      <c r="D192" s="185">
        <v>6</v>
      </c>
      <c r="E192" s="205">
        <f t="shared" si="4"/>
        <v>16.666666666666668</v>
      </c>
      <c r="K192" s="45"/>
    </row>
    <row r="193" spans="2:11" x14ac:dyDescent="0.2">
      <c r="B193" s="512">
        <f ca="1">(XCp-XcgVide)/D_ref</f>
        <v>3.2765219566800132</v>
      </c>
      <c r="C193" s="513">
        <f>Cn</f>
        <v>15.677184507305929</v>
      </c>
      <c r="D193" s="187">
        <v>7</v>
      </c>
      <c r="E193" s="206">
        <f t="shared" si="4"/>
        <v>14.285714285714286</v>
      </c>
      <c r="K193" s="45"/>
    </row>
    <row r="194" spans="2:11" x14ac:dyDescent="0.2">
      <c r="B194" s="512">
        <f ca="1">MS_min</f>
        <v>2.6384345508526477</v>
      </c>
      <c r="C194" s="514">
        <f>Cn</f>
        <v>15.677184507305929</v>
      </c>
      <c r="D194" s="45"/>
      <c r="E194" s="92"/>
      <c r="K194" s="45"/>
    </row>
    <row r="195" spans="2:11" x14ac:dyDescent="0.2">
      <c r="B195" s="183">
        <v>0</v>
      </c>
      <c r="C195" s="202">
        <f>(CritCnmin+CritCnmax)/2</f>
        <v>27.5</v>
      </c>
      <c r="D195" s="26"/>
      <c r="E195" s="90"/>
      <c r="K195" s="26"/>
    </row>
    <row r="196" spans="2:11" x14ac:dyDescent="0.2">
      <c r="B196" s="185">
        <f>MAX(CritMsmin,CritMsCnmin/C196)</f>
        <v>2</v>
      </c>
      <c r="C196" s="45">
        <f>(CritCnmin+CritCnmax)/2</f>
        <v>27.5</v>
      </c>
      <c r="D196" s="26"/>
      <c r="E196" s="90"/>
      <c r="K196" s="26"/>
    </row>
    <row r="197" spans="2:11" x14ac:dyDescent="0.2">
      <c r="B197" s="185">
        <f>MIN(CritMsmax,CritMsCnmax/C197)</f>
        <v>3.6363636363636362</v>
      </c>
      <c r="C197" s="189">
        <f>(CritCnmin+CritCnmax)/2</f>
        <v>27.5</v>
      </c>
    </row>
    <row r="198" spans="2:11" x14ac:dyDescent="0.2">
      <c r="B198" s="187">
        <v>7</v>
      </c>
      <c r="C198" s="190">
        <f>(CritCnmin+CritCnmax)/2</f>
        <v>27.5</v>
      </c>
    </row>
    <row r="199" spans="2:11" x14ac:dyDescent="0.2">
      <c r="B199" s="183">
        <f>(CritMsmin+CritMsmax)/2</f>
        <v>4</v>
      </c>
      <c r="C199" s="184">
        <v>0</v>
      </c>
    </row>
    <row r="200" spans="2:11" x14ac:dyDescent="0.2">
      <c r="B200" s="185">
        <f>(CritMsmin+CritMsmax)/2</f>
        <v>4</v>
      </c>
      <c r="C200" s="186">
        <f>MAX(CritCnmin,CritMsCnmin/B200)</f>
        <v>15</v>
      </c>
    </row>
    <row r="201" spans="2:11" x14ac:dyDescent="0.2">
      <c r="B201" s="185">
        <f>(CritMsmin+CritMsmax)/2</f>
        <v>4</v>
      </c>
      <c r="C201" s="186">
        <f>MIN(CritCnmax,CritMsCnmax/B201)</f>
        <v>25</v>
      </c>
    </row>
    <row r="202" spans="2:11" x14ac:dyDescent="0.2">
      <c r="B202" s="187">
        <f>(CritMsmin+CritMsmax)/2</f>
        <v>4</v>
      </c>
      <c r="C202" s="188">
        <v>55</v>
      </c>
    </row>
    <row r="203" spans="2:11" x14ac:dyDescent="0.2">
      <c r="D203" s="474"/>
    </row>
    <row r="204" spans="2:11" x14ac:dyDescent="0.2">
      <c r="B204" s="476" t="s">
        <v>405</v>
      </c>
      <c r="C204" s="31" t="b">
        <f ca="1">(OR(C205:C210))</f>
        <v>1</v>
      </c>
      <c r="D204" s="474"/>
    </row>
    <row r="205" spans="2:11" x14ac:dyDescent="0.2">
      <c r="B205" s="475" t="s">
        <v>402</v>
      </c>
      <c r="C205" s="474" t="b">
        <f ca="1">AND(Type_propu="H2O",RIGHT(Type_fusee,1)=" ")</f>
        <v>0</v>
      </c>
      <c r="D205" s="474"/>
    </row>
    <row r="206" spans="2:11" x14ac:dyDescent="0.2">
      <c r="B206" s="475" t="s">
        <v>118</v>
      </c>
      <c r="C206" s="474" t="b">
        <f ca="1">AND(Type_propu="Fusex",RIGHT(Type_fusee,1)=".")</f>
        <v>1</v>
      </c>
      <c r="D206" s="474"/>
    </row>
    <row r="207" spans="2:11" x14ac:dyDescent="0.2">
      <c r="B207" s="475" t="s">
        <v>403</v>
      </c>
      <c r="C207" s="474" t="b">
        <f ca="1">LEFT(Type_propu,5)=LEFT(Type_fusee,5)</f>
        <v>0</v>
      </c>
      <c r="D207" s="474"/>
    </row>
    <row r="208" spans="2:11" x14ac:dyDescent="0.2">
      <c r="B208" s="475" t="s">
        <v>404</v>
      </c>
      <c r="C208" s="474" t="b">
        <f ca="1">AND(RIGHT(Type_propu,1)="N",LEFT(Type_fusee,4)="Mini")</f>
        <v>0</v>
      </c>
      <c r="D208" s="474"/>
    </row>
    <row r="209" spans="1:3" x14ac:dyDescent="0.2">
      <c r="B209" s="475" t="s">
        <v>406</v>
      </c>
      <c r="C209" s="474" t="b">
        <f ca="1">AND(LEFT(Type_propu,5)="MiniR",LEFT(Type_fusee,1)="R")</f>
        <v>0</v>
      </c>
    </row>
    <row r="210" spans="1:3" x14ac:dyDescent="0.2">
      <c r="B210" s="475" t="s">
        <v>396</v>
      </c>
      <c r="C210" s="474" t="b">
        <f ca="1">AND(LEFT(Type_propu,4)="Mini",LEFT(Type_fusee,1)=",")</f>
        <v>0</v>
      </c>
    </row>
    <row r="223" spans="1:3" x14ac:dyDescent="0.2">
      <c r="A223" s="24" t="s">
        <v>462</v>
      </c>
    </row>
    <row r="226" spans="1:1" x14ac:dyDescent="0.2">
      <c r="A226" s="24" t="s">
        <v>475</v>
      </c>
    </row>
    <row r="228" spans="1:1" x14ac:dyDescent="0.2">
      <c r="A228" s="24" t="s">
        <v>476</v>
      </c>
    </row>
    <row r="230" spans="1:1" x14ac:dyDescent="0.2">
      <c r="A230" s="24" t="s">
        <v>477</v>
      </c>
    </row>
    <row r="232" spans="1:1" x14ac:dyDescent="0.2">
      <c r="A232" s="24" t="s">
        <v>478</v>
      </c>
    </row>
    <row r="233" spans="1:1" x14ac:dyDescent="0.2">
      <c r="A233" s="24" t="s">
        <v>479</v>
      </c>
    </row>
    <row r="234" spans="1:1" x14ac:dyDescent="0.2">
      <c r="A234" s="24" t="s">
        <v>480</v>
      </c>
    </row>
    <row r="235" spans="1:1" x14ac:dyDescent="0.2">
      <c r="A235" s="24" t="s">
        <v>481</v>
      </c>
    </row>
    <row r="236" spans="1:1" x14ac:dyDescent="0.2">
      <c r="A236" s="24" t="s">
        <v>482</v>
      </c>
    </row>
    <row r="237" spans="1:1" x14ac:dyDescent="0.2">
      <c r="A237" s="24" t="s">
        <v>483</v>
      </c>
    </row>
    <row r="238" spans="1:1" x14ac:dyDescent="0.2">
      <c r="A238" s="24" t="s">
        <v>183</v>
      </c>
    </row>
    <row r="239" spans="1:1" x14ac:dyDescent="0.2">
      <c r="A239" s="24" t="s">
        <v>484</v>
      </c>
    </row>
    <row r="240" spans="1:1" x14ac:dyDescent="0.2">
      <c r="A240" s="24" t="s">
        <v>485</v>
      </c>
    </row>
    <row r="241" spans="1:1" x14ac:dyDescent="0.2">
      <c r="A241" s="24" t="s">
        <v>183</v>
      </c>
    </row>
    <row r="242" spans="1:1" x14ac:dyDescent="0.2">
      <c r="A242" s="24" t="s">
        <v>486</v>
      </c>
    </row>
    <row r="244" spans="1:1" x14ac:dyDescent="0.2">
      <c r="A244" s="24" t="s">
        <v>487</v>
      </c>
    </row>
    <row r="246" spans="1:1" x14ac:dyDescent="0.2">
      <c r="A246" s="24" t="s">
        <v>488</v>
      </c>
    </row>
    <row r="248" spans="1:1" x14ac:dyDescent="0.2">
      <c r="A248" s="24" t="s">
        <v>489</v>
      </c>
    </row>
    <row r="249" spans="1:1" x14ac:dyDescent="0.2">
      <c r="A249" s="24" t="s">
        <v>490</v>
      </c>
    </row>
    <row r="250" spans="1:1" x14ac:dyDescent="0.2">
      <c r="A250" s="24" t="s">
        <v>491</v>
      </c>
    </row>
    <row r="251" spans="1:1" x14ac:dyDescent="0.2">
      <c r="A251" s="24" t="s">
        <v>492</v>
      </c>
    </row>
    <row r="252" spans="1:1" x14ac:dyDescent="0.2">
      <c r="A252" s="24" t="s">
        <v>493</v>
      </c>
    </row>
    <row r="254" spans="1:1" x14ac:dyDescent="0.2">
      <c r="A254" s="24" t="s">
        <v>494</v>
      </c>
    </row>
    <row r="255" spans="1:1" x14ac:dyDescent="0.2">
      <c r="A255" s="24" t="s">
        <v>495</v>
      </c>
    </row>
    <row r="256" spans="1:1" x14ac:dyDescent="0.2">
      <c r="A256" s="24" t="s">
        <v>496</v>
      </c>
    </row>
    <row r="257" spans="1:1" x14ac:dyDescent="0.2">
      <c r="A257" s="24" t="s">
        <v>497</v>
      </c>
    </row>
    <row r="258" spans="1:1" x14ac:dyDescent="0.2">
      <c r="A258" s="24" t="s">
        <v>498</v>
      </c>
    </row>
    <row r="261" spans="1:1" x14ac:dyDescent="0.2">
      <c r="A261" s="24" t="s">
        <v>499</v>
      </c>
    </row>
    <row r="262" spans="1:1" x14ac:dyDescent="0.2">
      <c r="A262" s="24" t="s">
        <v>500</v>
      </c>
    </row>
    <row r="263" spans="1:1" x14ac:dyDescent="0.2">
      <c r="A263" s="24" t="s">
        <v>501</v>
      </c>
    </row>
    <row r="264" spans="1:1" x14ac:dyDescent="0.2">
      <c r="A264" s="24" t="s">
        <v>502</v>
      </c>
    </row>
    <row r="265" spans="1:1" x14ac:dyDescent="0.2">
      <c r="A265" s="24" t="s">
        <v>503</v>
      </c>
    </row>
    <row r="267" spans="1:1" x14ac:dyDescent="0.2">
      <c r="A267" s="24" t="s">
        <v>496</v>
      </c>
    </row>
    <row r="268" spans="1:1" x14ac:dyDescent="0.2">
      <c r="A268" s="24" t="s">
        <v>497</v>
      </c>
    </row>
    <row r="269" spans="1:1" x14ac:dyDescent="0.2">
      <c r="A269" s="24" t="s">
        <v>504</v>
      </c>
    </row>
    <row r="272" spans="1:1" x14ac:dyDescent="0.2">
      <c r="A272" s="24" t="s">
        <v>464</v>
      </c>
    </row>
    <row r="273" spans="1:1" x14ac:dyDescent="0.2">
      <c r="A273" s="24" t="s">
        <v>465</v>
      </c>
    </row>
    <row r="275" spans="1:1" x14ac:dyDescent="0.2">
      <c r="A275" s="24" t="s">
        <v>505</v>
      </c>
    </row>
    <row r="277" spans="1:1" x14ac:dyDescent="0.2">
      <c r="A277" s="24" t="s">
        <v>504</v>
      </c>
    </row>
    <row r="280" spans="1:1" x14ac:dyDescent="0.2">
      <c r="A280" s="24" t="s">
        <v>466</v>
      </c>
    </row>
    <row r="281" spans="1:1" x14ac:dyDescent="0.2">
      <c r="A281" s="24" t="s">
        <v>467</v>
      </c>
    </row>
    <row r="282" spans="1:1" x14ac:dyDescent="0.2">
      <c r="A282" s="24" t="s">
        <v>506</v>
      </c>
    </row>
    <row r="283" spans="1:1" x14ac:dyDescent="0.2">
      <c r="A283" s="24" t="s">
        <v>507</v>
      </c>
    </row>
    <row r="284" spans="1:1" x14ac:dyDescent="0.2">
      <c r="A284" s="24" t="s">
        <v>504</v>
      </c>
    </row>
    <row r="285" spans="1:1" x14ac:dyDescent="0.2">
      <c r="A285" s="24" t="s">
        <v>468</v>
      </c>
    </row>
    <row r="287" spans="1:1" x14ac:dyDescent="0.2">
      <c r="A287" s="24" t="s">
        <v>508</v>
      </c>
    </row>
    <row r="288" spans="1:1" x14ac:dyDescent="0.2">
      <c r="A288" s="24" t="s">
        <v>506</v>
      </c>
    </row>
    <row r="289" spans="1:1" x14ac:dyDescent="0.2">
      <c r="A289" s="24" t="s">
        <v>509</v>
      </c>
    </row>
    <row r="291" spans="1:1" x14ac:dyDescent="0.2">
      <c r="A291" s="24" t="s">
        <v>504</v>
      </c>
    </row>
    <row r="294" spans="1:1" x14ac:dyDescent="0.2">
      <c r="A294" s="24" t="s">
        <v>510</v>
      </c>
    </row>
    <row r="295" spans="1:1" x14ac:dyDescent="0.2">
      <c r="A295" s="24" t="s">
        <v>511</v>
      </c>
    </row>
    <row r="296" spans="1:1" x14ac:dyDescent="0.2">
      <c r="A296" s="24" t="s">
        <v>512</v>
      </c>
    </row>
    <row r="298" spans="1:1" x14ac:dyDescent="0.2">
      <c r="A298" s="24" t="s">
        <v>504</v>
      </c>
    </row>
    <row r="301" spans="1:1" x14ac:dyDescent="0.2">
      <c r="A301" s="24" t="s">
        <v>513</v>
      </c>
    </row>
    <row r="302" spans="1:1" x14ac:dyDescent="0.2">
      <c r="A302" s="24" t="s">
        <v>514</v>
      </c>
    </row>
    <row r="304" spans="1:1" x14ac:dyDescent="0.2">
      <c r="A304" s="24" t="s">
        <v>515</v>
      </c>
    </row>
    <row r="305" spans="1:1" x14ac:dyDescent="0.2">
      <c r="A305" s="24" t="s">
        <v>516</v>
      </c>
    </row>
    <row r="306" spans="1:1" x14ac:dyDescent="0.2">
      <c r="A306" s="24" t="s">
        <v>504</v>
      </c>
    </row>
    <row r="309" spans="1:1" x14ac:dyDescent="0.2">
      <c r="A309" s="24" t="s">
        <v>513</v>
      </c>
    </row>
    <row r="310" spans="1:1" x14ac:dyDescent="0.2">
      <c r="A310" s="24" t="s">
        <v>517</v>
      </c>
    </row>
    <row r="311" spans="1:1" x14ac:dyDescent="0.2">
      <c r="A311" s="24" t="s">
        <v>513</v>
      </c>
    </row>
    <row r="312" spans="1:1" x14ac:dyDescent="0.2">
      <c r="A312" s="24" t="s">
        <v>518</v>
      </c>
    </row>
    <row r="314" spans="1:1" x14ac:dyDescent="0.2">
      <c r="A314" s="24" t="s">
        <v>519</v>
      </c>
    </row>
    <row r="316" spans="1:1" x14ac:dyDescent="0.2">
      <c r="A316" s="24" t="s">
        <v>504</v>
      </c>
    </row>
    <row r="319" spans="1:1" x14ac:dyDescent="0.2">
      <c r="A319" s="24" t="s">
        <v>513</v>
      </c>
    </row>
    <row r="320" spans="1:1" x14ac:dyDescent="0.2">
      <c r="A320" s="24" t="s">
        <v>520</v>
      </c>
    </row>
    <row r="321" spans="1:1" x14ac:dyDescent="0.2">
      <c r="A321" s="24" t="s">
        <v>521</v>
      </c>
    </row>
    <row r="322" spans="1:1" x14ac:dyDescent="0.2">
      <c r="A322" s="24" t="s">
        <v>522</v>
      </c>
    </row>
    <row r="324" spans="1:1" x14ac:dyDescent="0.2">
      <c r="A324" s="24" t="s">
        <v>504</v>
      </c>
    </row>
    <row r="326" spans="1:1" x14ac:dyDescent="0.2">
      <c r="A326" s="24" t="s">
        <v>463</v>
      </c>
    </row>
    <row r="329" spans="1:1" x14ac:dyDescent="0.2">
      <c r="A329" s="24" t="s">
        <v>469</v>
      </c>
    </row>
    <row r="330" spans="1:1" x14ac:dyDescent="0.2">
      <c r="A330" s="24" t="s">
        <v>470</v>
      </c>
    </row>
    <row r="331" spans="1:1" x14ac:dyDescent="0.2">
      <c r="A331" s="24" t="s">
        <v>523</v>
      </c>
    </row>
    <row r="332" spans="1:1" x14ac:dyDescent="0.2">
      <c r="A332" s="24" t="s">
        <v>524</v>
      </c>
    </row>
    <row r="333" spans="1:1" x14ac:dyDescent="0.2">
      <c r="A333" s="24" t="s">
        <v>525</v>
      </c>
    </row>
    <row r="334" spans="1:1" x14ac:dyDescent="0.2">
      <c r="A334" s="24" t="s">
        <v>526</v>
      </c>
    </row>
    <row r="335" spans="1:1" x14ac:dyDescent="0.2">
      <c r="A335" s="24" t="s">
        <v>527</v>
      </c>
    </row>
    <row r="336" spans="1:1" x14ac:dyDescent="0.2">
      <c r="A336" s="24" t="s">
        <v>480</v>
      </c>
    </row>
    <row r="337" spans="1:1" x14ac:dyDescent="0.2">
      <c r="A337" s="24" t="s">
        <v>471</v>
      </c>
    </row>
    <row r="340" spans="1:1" x14ac:dyDescent="0.2">
      <c r="A340" s="24" t="s">
        <v>472</v>
      </c>
    </row>
    <row r="342" spans="1:1" x14ac:dyDescent="0.2">
      <c r="A342" s="24" t="s">
        <v>528</v>
      </c>
    </row>
    <row r="343" spans="1:1" x14ac:dyDescent="0.2">
      <c r="A343" s="24" t="s">
        <v>529</v>
      </c>
    </row>
    <row r="344" spans="1:1" x14ac:dyDescent="0.2">
      <c r="A344" s="24" t="s">
        <v>530</v>
      </c>
    </row>
    <row r="345" spans="1:1" x14ac:dyDescent="0.2">
      <c r="A345" s="24" t="s">
        <v>531</v>
      </c>
    </row>
    <row r="346" spans="1:1" x14ac:dyDescent="0.2">
      <c r="A346" s="24" t="s">
        <v>532</v>
      </c>
    </row>
    <row r="347" spans="1:1" x14ac:dyDescent="0.2">
      <c r="A347" s="24" t="s">
        <v>480</v>
      </c>
    </row>
    <row r="348" spans="1:1" x14ac:dyDescent="0.2">
      <c r="A348" s="24" t="s">
        <v>473</v>
      </c>
    </row>
    <row r="349" spans="1:1" x14ac:dyDescent="0.2">
      <c r="A349" s="24" t="s">
        <v>533</v>
      </c>
    </row>
    <row r="350" spans="1:1" x14ac:dyDescent="0.2">
      <c r="A350" s="24" t="s">
        <v>534</v>
      </c>
    </row>
    <row r="352" spans="1:1" x14ac:dyDescent="0.2">
      <c r="A352" s="24" t="s">
        <v>504</v>
      </c>
    </row>
    <row r="355" spans="1:1" x14ac:dyDescent="0.2">
      <c r="A355" s="24" t="s">
        <v>463</v>
      </c>
    </row>
    <row r="361" spans="1:1" x14ac:dyDescent="0.2">
      <c r="A361" s="24" t="s">
        <v>474</v>
      </c>
    </row>
  </sheetData>
  <dataConsolidate/>
  <mergeCells count="56">
    <mergeCell ref="C5:D5"/>
    <mergeCell ref="H26:I26"/>
    <mergeCell ref="C17:D17"/>
    <mergeCell ref="C18:D18"/>
    <mergeCell ref="O21:P21"/>
    <mergeCell ref="M21:N21"/>
    <mergeCell ref="O19:P19"/>
    <mergeCell ref="O22:P22"/>
    <mergeCell ref="C21:D21"/>
    <mergeCell ref="C6:D6"/>
    <mergeCell ref="C14:D14"/>
    <mergeCell ref="C8:D8"/>
    <mergeCell ref="C9:D9"/>
    <mergeCell ref="O20:P20"/>
    <mergeCell ref="M23:N23"/>
    <mergeCell ref="M24:N24"/>
    <mergeCell ref="C2:D3"/>
    <mergeCell ref="C4:D4"/>
    <mergeCell ref="M22:N22"/>
    <mergeCell ref="M19:N19"/>
    <mergeCell ref="M9:N9"/>
    <mergeCell ref="M7:N7"/>
    <mergeCell ref="M8:N8"/>
    <mergeCell ref="C7:D7"/>
    <mergeCell ref="C11:D11"/>
    <mergeCell ref="M5:N5"/>
    <mergeCell ref="M6:N6"/>
    <mergeCell ref="M20:N20"/>
    <mergeCell ref="N14:O14"/>
    <mergeCell ref="N15:O15"/>
    <mergeCell ref="M17:N17"/>
    <mergeCell ref="C15:D15"/>
    <mergeCell ref="C27:D27"/>
    <mergeCell ref="C19:D19"/>
    <mergeCell ref="C20:D20"/>
    <mergeCell ref="O23:P23"/>
    <mergeCell ref="O24:P24"/>
    <mergeCell ref="C23:D23"/>
    <mergeCell ref="C22:D22"/>
    <mergeCell ref="C24:D24"/>
    <mergeCell ref="H33:I34"/>
    <mergeCell ref="M4:P4"/>
    <mergeCell ref="M2:P2"/>
    <mergeCell ref="N13:O13"/>
    <mergeCell ref="N12:O12"/>
    <mergeCell ref="O9:P9"/>
    <mergeCell ref="O8:P8"/>
    <mergeCell ref="O7:P7"/>
    <mergeCell ref="H27:I27"/>
    <mergeCell ref="M18:N18"/>
    <mergeCell ref="L3:M3"/>
    <mergeCell ref="N11:O11"/>
    <mergeCell ref="O6:P6"/>
    <mergeCell ref="O5:P5"/>
    <mergeCell ref="O17:P17"/>
    <mergeCell ref="O18:P18"/>
  </mergeCells>
  <phoneticPr fontId="8" type="noConversion"/>
  <conditionalFormatting sqref="B15:D15 B35:C35">
    <cfRule type="expression" dxfId="53" priority="21" stopIfTrue="1">
      <formula>AND(IF(RIGHT(Nb_diam,1)=",",1),IF(LEFT(Type_masquage,1)="M",1))</formula>
    </cfRule>
  </conditionalFormatting>
  <conditionalFormatting sqref="C12">
    <cfRule type="cellIs" dxfId="52" priority="25" stopIfTrue="1" operator="equal">
      <formula>359</formula>
    </cfRule>
    <cfRule type="expression" dxfId="51" priority="28" stopIfTrue="1">
      <formula>OR(MasseSans&lt;MpropuVide, MasseSans&gt;20*MpropuPlein)</formula>
    </cfRule>
  </conditionalFormatting>
  <conditionalFormatting sqref="C13">
    <cfRule type="cellIs" dxfId="50" priority="24" stopIfTrue="1" operator="equal">
      <formula>639</formula>
    </cfRule>
  </conditionalFormatting>
  <conditionalFormatting sqref="C15 C35 C24:D24">
    <cfRule type="cellIs" dxfId="49" priority="37" stopIfTrue="1" operator="equal">
      <formula>59</formula>
    </cfRule>
  </conditionalFormatting>
  <conditionalFormatting sqref="C18">
    <cfRule type="expression" dxfId="48" priority="151" stopIfTrue="1">
      <formula>C204</formula>
    </cfRule>
  </conditionalFormatting>
  <conditionalFormatting sqref="C28 C30">
    <cfRule type="cellIs" dxfId="47" priority="18" stopIfTrue="1" operator="equal">
      <formula>109</formula>
    </cfRule>
  </conditionalFormatting>
  <conditionalFormatting sqref="C29">
    <cfRule type="cellIs" dxfId="46" priority="19" stopIfTrue="1" operator="equal">
      <formula>59</formula>
    </cfRule>
  </conditionalFormatting>
  <conditionalFormatting sqref="C31">
    <cfRule type="cellIs" dxfId="45" priority="20" stopIfTrue="1" operator="equal">
      <formula>99</formula>
    </cfRule>
  </conditionalFormatting>
  <conditionalFormatting sqref="C14:D14 C19 C34">
    <cfRule type="cellIs" dxfId="44" priority="23" stopIfTrue="1" operator="equal">
      <formula>1001</formula>
    </cfRule>
  </conditionalFormatting>
  <conditionalFormatting sqref="C23:D23">
    <cfRule type="cellIs" dxfId="43" priority="22" stopIfTrue="1" operator="equal">
      <formula>199</formula>
    </cfRule>
  </conditionalFormatting>
  <conditionalFormatting sqref="D10">
    <cfRule type="expression" dxfId="42" priority="1">
      <formula>NOT(OR((LEFT(Type_fusee,4)="Mini"),(RIGHT(Type_fusee,1)=".")))</formula>
    </cfRule>
  </conditionalFormatting>
  <conditionalFormatting sqref="D18">
    <cfRule type="expression" dxfId="41" priority="11" stopIfTrue="1">
      <formula>D202</formula>
    </cfRule>
  </conditionalFormatting>
  <conditionalFormatting sqref="H28">
    <cfRule type="expression" dxfId="40" priority="47" stopIfTrue="1">
      <formula>OR(Cn&lt;CritCnmin,Cn&gt;CritCnmax)</formula>
    </cfRule>
  </conditionalFormatting>
  <conditionalFormatting sqref="H29">
    <cfRule type="expression" dxfId="39" priority="46" stopIfTrue="1">
      <formula>OR(MS_min&lt;CritMsmin,MS_min&gt;CritMsmax)</formula>
    </cfRule>
  </conditionalFormatting>
  <conditionalFormatting sqref="H30">
    <cfRule type="expression" dxfId="38" priority="44" stopIfTrue="1">
      <formula>OR(MS_Cn_min&lt;CritMsCnmin,MS_Cn_min&gt;CritMsCnmax)</formula>
    </cfRule>
  </conditionalFormatting>
  <conditionalFormatting sqref="H27:I27">
    <cfRule type="expression" dxfId="37" priority="48" stopIfTrue="1">
      <formula>OR(Finesse&lt;CritFinessemin,Finesse&gt;CritFinessemax)</formula>
    </cfRule>
  </conditionalFormatting>
  <conditionalFormatting sqref="H33:I34">
    <cfRule type="expression" dxfId="36" priority="51" stopIfTrue="1">
      <formula>$H$33="STABLE"</formula>
    </cfRule>
  </conditionalFormatting>
  <conditionalFormatting sqref="I28">
    <cfRule type="expression" dxfId="35" priority="6" stopIfTrue="1">
      <formula>OR(Cn0&lt;CritCnmin,Cn0&gt;CritCnmax)</formula>
    </cfRule>
  </conditionalFormatting>
  <conditionalFormatting sqref="I29">
    <cfRule type="expression" dxfId="34" priority="45" stopIfTrue="1">
      <formula>OR(MS_max&lt;CritMsmin,MS_max&gt;CritMsmax)</formula>
    </cfRule>
  </conditionalFormatting>
  <conditionalFormatting sqref="I30">
    <cfRule type="expression" dxfId="33" priority="43" stopIfTrue="1">
      <formula>OR(MS_Cn_max&lt;CritMsCnmin,MS_Cn_max&gt;CritMsCnmax)</formula>
    </cfRule>
  </conditionalFormatting>
  <conditionalFormatting sqref="L39:M39">
    <cfRule type="expression" dxfId="32" priority="239" stopIfTrue="1">
      <formula>OR(SUM($C$28:$C$33)=273, $H$33&lt;&gt;"STABLE")</formula>
    </cfRule>
  </conditionalFormatting>
  <conditionalFormatting sqref="L6:P9">
    <cfRule type="expression" dxfId="31" priority="49" stopIfTrue="1">
      <formula>IF(RIGHT(Nb_diam,1)=",",1)</formula>
    </cfRule>
  </conditionalFormatting>
  <conditionalFormatting sqref="L20:P22 E25 D26 E27:E35 D28:D35 B36:E36">
    <cfRule type="expression" dxfId="30" priority="84" stopIfTrue="1">
      <formula>IF(LEFT(Type_masquage,1)="M",1)</formula>
    </cfRule>
  </conditionalFormatting>
  <conditionalFormatting sqref="L23:P24">
    <cfRule type="expression" dxfId="29" priority="65" stopIfTrue="1">
      <formula>IF(RIGHT(Nb_diam,1)=",",1)</formula>
    </cfRule>
  </conditionalFormatting>
  <conditionalFormatting sqref="M37 O37">
    <cfRule type="expression" dxfId="28" priority="142" stopIfTrue="1">
      <formula>$M$37="propu NOK"</formula>
    </cfRule>
  </conditionalFormatting>
  <conditionalFormatting sqref="M5:P5">
    <cfRule type="expression" dxfId="27" priority="39" stopIfTrue="1">
      <formula>IF(RIGHT(Nb_diam,1)=",",1)</formula>
    </cfRule>
  </conditionalFormatting>
  <conditionalFormatting sqref="N37">
    <cfRule type="expression" dxfId="26" priority="27" stopIfTrue="1">
      <formula>(ROUND(SUM(C2:D35),0)=5694)</formula>
    </cfRule>
  </conditionalFormatting>
  <dataValidations count="13">
    <dataValidation type="whole" allowBlank="1" showInputMessage="1" showErrorMessage="1" error="Tapez un entier entre 3 et 6." sqref="C33:D33" xr:uid="{00000000-0002-0000-0000-000000000000}">
      <formula1>3</formula1>
      <formula2>6</formula2>
    </dataValidation>
    <dataValidation type="decimal" operator="notEqual" allowBlank="1" showInputMessage="1" showErrorMessage="1" error="Tapez uniquement la longueur, sans l'unité." sqref="C30:D30" xr:uid="{00000000-0002-0000-0000-000001000000}">
      <formula1>1E+100</formula1>
    </dataValidation>
    <dataValidation type="decimal" operator="greaterThanOrEqual" allowBlank="1" showInputMessage="1" showErrorMessage="1" error="Tapez uniquement la longueur, sans l'unité." sqref="C28:D29 C34:D35 C31:D32 M6:O9" xr:uid="{00000000-0002-0000-0000-000002000000}">
      <formula1>0</formula1>
    </dataValidation>
    <dataValidation type="list" showInputMessage="1" showErrorMessage="1" sqref="C27:D27" xr:uid="{00000000-0002-0000-0000-000003000000}">
      <formula1>Menu_Empennage</formula1>
    </dataValidation>
    <dataValidation type="list" showInputMessage="1" showErrorMessage="1" sqref="C18:D18" xr:uid="{00000000-0002-0000-0000-000004000000}">
      <formula1>Liste_propu</formula1>
    </dataValidation>
    <dataValidation type="list" showInputMessage="1" showErrorMessage="1" sqref="M2" xr:uid="{00000000-0002-0000-0000-000005000000}">
      <formula1>Menu_Lang</formula1>
    </dataValidation>
    <dataValidation type="decimal" showInputMessage="1" showErrorMessage="1" errorTitle="Masse de la Fusée" error="Tapez uniquement la masse, sans l'unité." sqref="C12" xr:uid="{00000000-0002-0000-0000-000006000000}">
      <formula1>0</formula1>
      <formula2>50000</formula2>
    </dataValidation>
    <dataValidation type="decimal" operator="greaterThan" showInputMessage="1" showErrorMessage="1" error="Tapez uniquement la longueur, sans l'unité." sqref="C13 C14:D14 C23:D24" xr:uid="{00000000-0002-0000-0000-000007000000}">
      <formula1>0</formula1>
    </dataValidation>
    <dataValidation type="list" showInputMessage="1" showErrorMessage="1" sqref="D12:D13" xr:uid="{00000000-0002-0000-0000-000008000000}">
      <formula1>Menu_with_motor</formula1>
    </dataValidation>
    <dataValidation type="list" showInputMessage="1" showErrorMessage="1" sqref="C11:D11" xr:uid="{00000000-0002-0000-0000-000009000000}">
      <formula1>Menu_Type</formula1>
    </dataValidation>
    <dataValidation type="decimal" operator="greaterThan" allowBlank="1" showInputMessage="1" showErrorMessage="1" error="Tapez uniquement la longueur, sans l'unité." sqref="C19" xr:uid="{00000000-0002-0000-0000-00000A000000}">
      <formula1>0</formula1>
    </dataValidation>
    <dataValidation type="list" showInputMessage="1" showErrorMessage="1" sqref="C22:D22" xr:uid="{00000000-0002-0000-0000-00000B000000}">
      <formula1>Menu_Ogive</formula1>
    </dataValidation>
    <dataValidation type="list" showInputMessage="1" showErrorMessage="1" sqref="M4" xr:uid="{00000000-0002-0000-0000-00000C000000}">
      <formula1>Menu_Transitions</formula1>
    </dataValidation>
  </dataValidations>
  <hyperlinks>
    <hyperlink ref="M39" location="Trajecto!C25" display="Trajecto" xr:uid="{00000000-0004-0000-0000-000000000000}"/>
  </hyperlinks>
  <printOptions horizontalCentered="1" verticalCentered="1"/>
  <pageMargins left="7.874015748031496E-2" right="7.874015748031496E-2" top="7.874015748031496E-2" bottom="7.874015748031496E-2" header="0" footer="0"/>
  <pageSetup paperSize="9" orientation="landscape" horizontalDpi="200" verticalDpi="200" r:id="rId1"/>
  <headerFooter alignWithMargins="0"/>
  <ignoredErrors>
    <ignoredError sqref="D35" unlockedFormula="1"/>
    <ignoredError sqref="E180"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36775" r:id="rId4" name="Spinner 935">
              <controlPr defaultSize="0" print="0" autoPict="0">
                <anchor moveWithCells="1" sizeWithCells="1">
                  <from>
                    <xdr:col>3</xdr:col>
                    <xdr:colOff>752475</xdr:colOff>
                    <xdr:row>22</xdr:row>
                    <xdr:rowOff>0</xdr:rowOff>
                  </from>
                  <to>
                    <xdr:col>3</xdr:col>
                    <xdr:colOff>895350</xdr:colOff>
                    <xdr:row>23</xdr:row>
                    <xdr:rowOff>0</xdr:rowOff>
                  </to>
                </anchor>
              </controlPr>
            </control>
          </mc:Choice>
        </mc:AlternateContent>
        <mc:AlternateContent xmlns:mc="http://schemas.openxmlformats.org/markup-compatibility/2006">
          <mc:Choice Requires="x14">
            <control shapeId="36781" r:id="rId5" name="Spinner 941">
              <controlPr defaultSize="0" print="0" autoPict="0">
                <anchor moveWithCells="1" sizeWithCells="1">
                  <from>
                    <xdr:col>2</xdr:col>
                    <xdr:colOff>752475</xdr:colOff>
                    <xdr:row>11</xdr:row>
                    <xdr:rowOff>0</xdr:rowOff>
                  </from>
                  <to>
                    <xdr:col>2</xdr:col>
                    <xdr:colOff>895350</xdr:colOff>
                    <xdr:row>12</xdr:row>
                    <xdr:rowOff>0</xdr:rowOff>
                  </to>
                </anchor>
              </controlPr>
            </control>
          </mc:Choice>
        </mc:AlternateContent>
        <mc:AlternateContent xmlns:mc="http://schemas.openxmlformats.org/markup-compatibility/2006">
          <mc:Choice Requires="x14">
            <control shapeId="36782" r:id="rId6" name="Spinner 942">
              <controlPr defaultSize="0" print="0" autoPict="0">
                <anchor moveWithCells="1" sizeWithCells="1">
                  <from>
                    <xdr:col>2</xdr:col>
                    <xdr:colOff>752475</xdr:colOff>
                    <xdr:row>12</xdr:row>
                    <xdr:rowOff>0</xdr:rowOff>
                  </from>
                  <to>
                    <xdr:col>2</xdr:col>
                    <xdr:colOff>895350</xdr:colOff>
                    <xdr:row>13</xdr:row>
                    <xdr:rowOff>0</xdr:rowOff>
                  </to>
                </anchor>
              </controlPr>
            </control>
          </mc:Choice>
        </mc:AlternateContent>
        <mc:AlternateContent xmlns:mc="http://schemas.openxmlformats.org/markup-compatibility/2006">
          <mc:Choice Requires="x14">
            <control shapeId="36783" r:id="rId7" name="Spinner 943">
              <controlPr defaultSize="0" print="0" autoPict="0">
                <anchor moveWithCells="1" sizeWithCells="1">
                  <from>
                    <xdr:col>3</xdr:col>
                    <xdr:colOff>752475</xdr:colOff>
                    <xdr:row>22</xdr:row>
                    <xdr:rowOff>161925</xdr:rowOff>
                  </from>
                  <to>
                    <xdr:col>3</xdr:col>
                    <xdr:colOff>895350</xdr:colOff>
                    <xdr:row>24</xdr:row>
                    <xdr:rowOff>0</xdr:rowOff>
                  </to>
                </anchor>
              </controlPr>
            </control>
          </mc:Choice>
        </mc:AlternateContent>
        <mc:AlternateContent xmlns:mc="http://schemas.openxmlformats.org/markup-compatibility/2006">
          <mc:Choice Requires="x14">
            <control shapeId="36789" r:id="rId8" name="Spinner 949">
              <controlPr defaultSize="0" print="0" autoPict="0">
                <anchor moveWithCells="1" sizeWithCells="1">
                  <from>
                    <xdr:col>2</xdr:col>
                    <xdr:colOff>752475</xdr:colOff>
                    <xdr:row>27</xdr:row>
                    <xdr:rowOff>0</xdr:rowOff>
                  </from>
                  <to>
                    <xdr:col>3</xdr:col>
                    <xdr:colOff>0</xdr:colOff>
                    <xdr:row>28</xdr:row>
                    <xdr:rowOff>9525</xdr:rowOff>
                  </to>
                </anchor>
              </controlPr>
            </control>
          </mc:Choice>
        </mc:AlternateContent>
        <mc:AlternateContent xmlns:mc="http://schemas.openxmlformats.org/markup-compatibility/2006">
          <mc:Choice Requires="x14">
            <control shapeId="36795" r:id="rId9" name="Spinner 955">
              <controlPr defaultSize="0" print="0" autoPict="0">
                <anchor moveWithCells="1" sizeWithCells="1">
                  <from>
                    <xdr:col>2</xdr:col>
                    <xdr:colOff>752475</xdr:colOff>
                    <xdr:row>28</xdr:row>
                    <xdr:rowOff>0</xdr:rowOff>
                  </from>
                  <to>
                    <xdr:col>3</xdr:col>
                    <xdr:colOff>0</xdr:colOff>
                    <xdr:row>29</xdr:row>
                    <xdr:rowOff>9525</xdr:rowOff>
                  </to>
                </anchor>
              </controlPr>
            </control>
          </mc:Choice>
        </mc:AlternateContent>
        <mc:AlternateContent xmlns:mc="http://schemas.openxmlformats.org/markup-compatibility/2006">
          <mc:Choice Requires="x14">
            <control shapeId="36796" r:id="rId10" name="Spinner 956">
              <controlPr defaultSize="0" print="0" autoPict="0">
                <anchor moveWithCells="1" sizeWithCells="1">
                  <from>
                    <xdr:col>2</xdr:col>
                    <xdr:colOff>752475</xdr:colOff>
                    <xdr:row>28</xdr:row>
                    <xdr:rowOff>161925</xdr:rowOff>
                  </from>
                  <to>
                    <xdr:col>3</xdr:col>
                    <xdr:colOff>0</xdr:colOff>
                    <xdr:row>30</xdr:row>
                    <xdr:rowOff>0</xdr:rowOff>
                  </to>
                </anchor>
              </controlPr>
            </control>
          </mc:Choice>
        </mc:AlternateContent>
        <mc:AlternateContent xmlns:mc="http://schemas.openxmlformats.org/markup-compatibility/2006">
          <mc:Choice Requires="x14">
            <control shapeId="36797" r:id="rId11" name="Spinner 957">
              <controlPr defaultSize="0" print="0" autoPict="0">
                <anchor moveWithCells="1" sizeWithCells="1">
                  <from>
                    <xdr:col>2</xdr:col>
                    <xdr:colOff>752475</xdr:colOff>
                    <xdr:row>30</xdr:row>
                    <xdr:rowOff>0</xdr:rowOff>
                  </from>
                  <to>
                    <xdr:col>3</xdr:col>
                    <xdr:colOff>0</xdr:colOff>
                    <xdr:row>30</xdr:row>
                    <xdr:rowOff>161925</xdr:rowOff>
                  </to>
                </anchor>
              </controlPr>
            </control>
          </mc:Choice>
        </mc:AlternateContent>
        <mc:AlternateContent xmlns:mc="http://schemas.openxmlformats.org/markup-compatibility/2006">
          <mc:Choice Requires="x14">
            <control shapeId="36798" r:id="rId12" name="Spinner 958">
              <controlPr defaultSize="0" print="0" autoPict="0">
                <anchor moveWithCells="1" sizeWithCells="1">
                  <from>
                    <xdr:col>2</xdr:col>
                    <xdr:colOff>752475</xdr:colOff>
                    <xdr:row>31</xdr:row>
                    <xdr:rowOff>0</xdr:rowOff>
                  </from>
                  <to>
                    <xdr:col>2</xdr:col>
                    <xdr:colOff>895350</xdr:colOff>
                    <xdr:row>32</xdr:row>
                    <xdr:rowOff>0</xdr:rowOff>
                  </to>
                </anchor>
              </controlPr>
            </control>
          </mc:Choice>
        </mc:AlternateContent>
        <mc:AlternateContent xmlns:mc="http://schemas.openxmlformats.org/markup-compatibility/2006">
          <mc:Choice Requires="x14">
            <control shapeId="36799" r:id="rId13" name="Spinner 959">
              <controlPr defaultSize="0" print="0" autoPict="0">
                <anchor moveWithCells="1" sizeWithCells="1">
                  <from>
                    <xdr:col>2</xdr:col>
                    <xdr:colOff>752475</xdr:colOff>
                    <xdr:row>32</xdr:row>
                    <xdr:rowOff>0</xdr:rowOff>
                  </from>
                  <to>
                    <xdr:col>3</xdr:col>
                    <xdr:colOff>0</xdr:colOff>
                    <xdr:row>33</xdr:row>
                    <xdr:rowOff>0</xdr:rowOff>
                  </to>
                </anchor>
              </controlPr>
            </control>
          </mc:Choice>
        </mc:AlternateContent>
        <mc:AlternateContent xmlns:mc="http://schemas.openxmlformats.org/markup-compatibility/2006">
          <mc:Choice Requires="x14">
            <control shapeId="36801" r:id="rId14" name="Spinner 961">
              <controlPr defaultSize="0" print="0" autoPict="0">
                <anchor moveWithCells="1" sizeWithCells="1">
                  <from>
                    <xdr:col>3</xdr:col>
                    <xdr:colOff>752475</xdr:colOff>
                    <xdr:row>12</xdr:row>
                    <xdr:rowOff>161925</xdr:rowOff>
                  </from>
                  <to>
                    <xdr:col>4</xdr:col>
                    <xdr:colOff>0</xdr:colOff>
                    <xdr:row>13</xdr:row>
                    <xdr:rowOff>161925</xdr:rowOff>
                  </to>
                </anchor>
              </controlPr>
            </control>
          </mc:Choice>
        </mc:AlternateContent>
        <mc:AlternateContent xmlns:mc="http://schemas.openxmlformats.org/markup-compatibility/2006">
          <mc:Choice Requires="x14">
            <control shapeId="5096691" r:id="rId15" name="Spinner 3315">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mc:AlternateContent xmlns:mc="http://schemas.openxmlformats.org/markup-compatibility/2006">
          <mc:Choice Requires="x14">
            <control shapeId="5096692" r:id="rId16" name="Spinner 3316">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pageSetUpPr fitToPage="1"/>
  </sheetPr>
  <dimension ref="A1:R201"/>
  <sheetViews>
    <sheetView showGridLines="0" zoomScaleNormal="100" workbookViewId="0">
      <selection activeCell="C28" sqref="C28"/>
    </sheetView>
  </sheetViews>
  <sheetFormatPr baseColWidth="10" defaultColWidth="11.42578125" defaultRowHeight="12.75" x14ac:dyDescent="0.2"/>
  <cols>
    <col min="1" max="1" width="2.140625" style="1" customWidth="1"/>
    <col min="2" max="2" width="16.140625" style="1" customWidth="1"/>
    <col min="3" max="4" width="12.85546875" style="1" customWidth="1"/>
    <col min="5" max="5" width="2.85546875" style="1" customWidth="1"/>
    <col min="6" max="7" width="12.85546875" style="1" customWidth="1"/>
    <col min="8" max="13" width="10.85546875" style="1" customWidth="1"/>
    <col min="14" max="15" width="2.140625" style="1" customWidth="1"/>
    <col min="16" max="17" width="14.140625" style="1" customWidth="1"/>
    <col min="18" max="16384" width="11.42578125" style="1"/>
  </cols>
  <sheetData>
    <row r="1" spans="1:14" x14ac:dyDescent="0.2">
      <c r="A1" s="51"/>
      <c r="B1" s="52"/>
      <c r="C1" s="53"/>
      <c r="D1" s="52"/>
      <c r="E1" s="54"/>
      <c r="F1" s="54"/>
      <c r="G1" s="54"/>
      <c r="H1" s="54"/>
      <c r="I1" s="54"/>
      <c r="J1" s="54"/>
      <c r="K1" s="54"/>
      <c r="L1" s="54"/>
      <c r="M1" s="54"/>
      <c r="N1" s="55"/>
    </row>
    <row r="2" spans="1:14" ht="12.75" customHeight="1" x14ac:dyDescent="0.2">
      <c r="A2" s="56"/>
      <c r="B2" s="2"/>
      <c r="C2" s="598" t="s">
        <v>0</v>
      </c>
      <c r="D2" s="598"/>
      <c r="F2" s="3"/>
      <c r="J2" s="4"/>
      <c r="N2" s="57"/>
    </row>
    <row r="3" spans="1:14" ht="12.75" customHeight="1" x14ac:dyDescent="0.2">
      <c r="A3" s="56"/>
      <c r="B3" s="2"/>
      <c r="C3" s="598"/>
      <c r="D3" s="598"/>
      <c r="H3" s="5"/>
      <c r="J3" s="4"/>
      <c r="N3" s="57"/>
    </row>
    <row r="4" spans="1:14" ht="12.75" customHeight="1" x14ac:dyDescent="0.2">
      <c r="A4" s="56"/>
      <c r="B4" s="2"/>
      <c r="C4" s="603" t="str">
        <f>IF(Lang="Français","Trajectographie de fusée",IF(Lang="English","Rocket Trajectography",""))</f>
        <v>Trajectographie de fusée</v>
      </c>
      <c r="D4" s="603"/>
      <c r="H4" s="5"/>
      <c r="J4" s="4"/>
      <c r="N4" s="57"/>
    </row>
    <row r="5" spans="1:14" ht="12.75" customHeight="1" x14ac:dyDescent="0.2">
      <c r="A5" s="56"/>
      <c r="B5" s="2"/>
      <c r="C5" s="597"/>
      <c r="D5" s="597"/>
      <c r="J5" s="4"/>
      <c r="N5" s="57"/>
    </row>
    <row r="6" spans="1:14" ht="12.95" customHeight="1" x14ac:dyDescent="0.2">
      <c r="A6" s="56"/>
      <c r="B6" s="87"/>
      <c r="C6" s="602" t="str">
        <f>IF(Lang="Français","Remplir les cases jaunes",IF(Lang="English","Fill-in yellow cells only",""))</f>
        <v>Remplir les cases jaunes</v>
      </c>
      <c r="D6" s="602"/>
      <c r="J6" s="4"/>
      <c r="N6" s="57"/>
    </row>
    <row r="7" spans="1:14" x14ac:dyDescent="0.2">
      <c r="A7" s="56"/>
      <c r="B7" s="6"/>
      <c r="C7" s="599" t="str">
        <f>IF(Lang="Français","Fusée",IF(Lang="English","Rocket",""))</f>
        <v>Fusée</v>
      </c>
      <c r="D7" s="599"/>
      <c r="N7" s="58"/>
    </row>
    <row r="8" spans="1:14" ht="12.75" customHeight="1" x14ac:dyDescent="0.25">
      <c r="A8" s="56"/>
      <c r="B8" s="140" t="str">
        <f>IF(Lang="Français","Nom",IF(Lang="English","Name",""))</f>
        <v>Nom</v>
      </c>
      <c r="C8" s="600" t="str">
        <f>Nom</f>
        <v>SP02</v>
      </c>
      <c r="D8" s="600"/>
      <c r="E8" s="5"/>
      <c r="F8" s="5"/>
      <c r="J8" s="4"/>
      <c r="N8" s="57"/>
    </row>
    <row r="9" spans="1:14" ht="12.75" customHeight="1" x14ac:dyDescent="0.25">
      <c r="A9" s="59"/>
      <c r="B9" s="140" t="s">
        <v>4</v>
      </c>
      <c r="C9" s="601" t="str">
        <f>Club</f>
        <v>L'AéroIPSA</v>
      </c>
      <c r="D9" s="601"/>
      <c r="F9" s="5"/>
      <c r="N9" s="58"/>
    </row>
    <row r="10" spans="1:14" ht="12.75" customHeight="1" x14ac:dyDescent="0.25">
      <c r="A10" s="59"/>
      <c r="B10" s="141" t="s">
        <v>562</v>
      </c>
      <c r="C10" s="596" t="str">
        <f>Matricule</f>
        <v>FX0</v>
      </c>
      <c r="D10" s="596"/>
      <c r="F10" s="5"/>
      <c r="N10" s="58"/>
    </row>
    <row r="11" spans="1:14" ht="12.75" customHeight="1" x14ac:dyDescent="0.2">
      <c r="A11" s="59"/>
      <c r="B11" s="140" t="str">
        <f>IF(Lang="Français","Masse totale",IF(Lang="English","Total Mass",""))</f>
        <v>Masse totale</v>
      </c>
      <c r="C11" s="625">
        <f ca="1">MassePlein</f>
        <v>6.1159999999999997</v>
      </c>
      <c r="D11" s="625"/>
      <c r="F11" s="5"/>
      <c r="N11" s="58"/>
    </row>
    <row r="12" spans="1:14" ht="12.75" customHeight="1" x14ac:dyDescent="0.2">
      <c r="A12" s="59"/>
      <c r="B12" s="227" t="str">
        <f>IF(Lang="Français","Propulseur",IF(Lang="English","Motor",""))</f>
        <v>Propulseur</v>
      </c>
      <c r="C12" s="628" t="str">
        <f>Propu</f>
        <v>Barasinga (Pro54-5G C)</v>
      </c>
      <c r="D12" s="629"/>
      <c r="F12" s="5"/>
      <c r="N12" s="58"/>
    </row>
    <row r="13" spans="1:14" ht="12.75" customHeight="1" x14ac:dyDescent="0.2">
      <c r="A13" s="59"/>
      <c r="N13" s="58"/>
    </row>
    <row r="14" spans="1:14" ht="12.75" customHeight="1" x14ac:dyDescent="0.2">
      <c r="A14" s="59"/>
      <c r="B14"/>
      <c r="C14" s="599" t="str">
        <f>IF(Lang="Français","Traînée Aérdynamique",IF(Lang="English","Drag",""))</f>
        <v>Traînée Aérdynamique</v>
      </c>
      <c r="D14" s="599"/>
      <c r="N14" s="58"/>
    </row>
    <row r="15" spans="1:14" ht="12.75" customHeight="1" x14ac:dyDescent="0.2">
      <c r="A15" s="59"/>
      <c r="B15" s="140" t="s">
        <v>40</v>
      </c>
      <c r="C15" s="630">
        <f>(PI()*D_ref^2/4+E_ail*ep_ail*Q_ail)/10^6</f>
        <v>1.0234866535306801E-2</v>
      </c>
      <c r="D15" s="630"/>
      <c r="N15" s="58"/>
    </row>
    <row r="16" spans="1:14" ht="12.75" customHeight="1" x14ac:dyDescent="0.2">
      <c r="A16" s="59"/>
      <c r="B16" s="141" t="s">
        <v>5</v>
      </c>
      <c r="C16" s="623">
        <v>0.6</v>
      </c>
      <c r="D16" s="624"/>
      <c r="N16" s="58"/>
    </row>
    <row r="17" spans="1:18" ht="12.75" customHeight="1" x14ac:dyDescent="0.2">
      <c r="A17" s="59"/>
      <c r="N17" s="58"/>
    </row>
    <row r="18" spans="1:18" ht="12.75" customHeight="1" x14ac:dyDescent="0.2">
      <c r="A18" s="59"/>
      <c r="B18"/>
      <c r="C18" s="599" t="str">
        <f>IF(Lang="Français","Rampe de Lancement",IF(Lang="English","Launch Pad",""))</f>
        <v>Rampe de Lancement</v>
      </c>
      <c r="D18" s="599"/>
      <c r="N18" s="58"/>
    </row>
    <row r="19" spans="1:18" ht="12.75" customHeight="1" x14ac:dyDescent="0.2">
      <c r="A19" s="59"/>
      <c r="B19" s="140" t="str">
        <f>IF(Lang="Français","Longueur",IF(Lang="English","Length",""))</f>
        <v>Longueur</v>
      </c>
      <c r="C19" s="627">
        <f>IF(RIGHT(Type_fusee,1)=".",4, IF(LEFT(Type_fusee,4)="Mini",2.5, IF(LEFT(Type_fusee,5)="Micro",1, IF(RIGHT(Type_fusee,1)=" ",0.1,IF(LEFT(Type_fusee,1)="R",3, 2.5)))))</f>
        <v>4</v>
      </c>
      <c r="D19" s="627"/>
      <c r="N19" s="58"/>
    </row>
    <row r="20" spans="1:18" ht="12.75" customHeight="1" x14ac:dyDescent="0.2">
      <c r="A20" s="59"/>
      <c r="B20" s="140" t="str">
        <f>IF(Lang="Français","Élévation",IF(Lang="English","Angle /horizon",""))</f>
        <v>Élévation</v>
      </c>
      <c r="C20" s="626">
        <v>80</v>
      </c>
      <c r="D20" s="626"/>
      <c r="N20" s="58"/>
    </row>
    <row r="21" spans="1:18" ht="12.75" customHeight="1" x14ac:dyDescent="0.2">
      <c r="A21" s="59"/>
      <c r="B21" s="140" t="s">
        <v>6</v>
      </c>
      <c r="C21" s="627">
        <v>0</v>
      </c>
      <c r="D21" s="627"/>
      <c r="N21" s="58"/>
    </row>
    <row r="22" spans="1:18" x14ac:dyDescent="0.2">
      <c r="A22" s="59"/>
      <c r="F22" s="384" t="str">
        <f ca="1">IF( OR( AND(Vsortie_de_rampe&lt;18, RIGHT(Type_fusee,1)=";"), AND(Vsortie_de_rampe&lt;20, RIGHT(Type_fusee,1)=".")), IF(Lang="Français","Vitesse en Sortie de Rampe trop faible, alléger la fusée ou choisir un propu plus puissant.","Speed at Launch Pad Exit too low, lighten the rocket or choose a bigger motor."), "")</f>
        <v/>
      </c>
      <c r="N22" s="58"/>
    </row>
    <row r="23" spans="1:18" x14ac:dyDescent="0.2">
      <c r="A23" s="59"/>
      <c r="C23" s="613" t="str">
        <f>IF(Lang="Français","DescenteSousParachute",IF(Lang="English","Over Parachute",""))</f>
        <v>DescenteSousParachute</v>
      </c>
      <c r="D23" s="614"/>
      <c r="F23" s="4"/>
      <c r="G23" s="50">
        <f ca="1">TODAY()</f>
        <v>45968</v>
      </c>
      <c r="H23" s="489" t="str">
        <f>IF(Lang="Français","Temps",IF(Lang="English","Time",""))</f>
        <v>Temps</v>
      </c>
      <c r="I23" s="489" t="s">
        <v>12</v>
      </c>
      <c r="J23" s="489" t="str">
        <f>IF(Lang="Français","Portée x",IF(Lang="English","Range x",""))</f>
        <v>Portée x</v>
      </c>
      <c r="K23" s="489" t="str">
        <f>IF(Lang="Français","Vitesse",IF(Lang="English","Velocity",""))</f>
        <v>Vitesse</v>
      </c>
      <c r="L23" s="490" t="s">
        <v>13</v>
      </c>
      <c r="M23" s="499" t="s">
        <v>421</v>
      </c>
      <c r="N23" s="58"/>
    </row>
    <row r="24" spans="1:18" x14ac:dyDescent="0.2">
      <c r="A24" s="59"/>
      <c r="B24"/>
      <c r="C24" s="142" t="str">
        <f>C7</f>
        <v>Fusée</v>
      </c>
      <c r="D24" s="220" t="s">
        <v>120</v>
      </c>
      <c r="E24" s="18" t="str">
        <f>IF(ABS(T_satellite-0.11-T_para)&lt;0.1,"Pb!","")</f>
        <v/>
      </c>
      <c r="F24" s="615" t="str">
        <f>IF(Lang="Français","Sortie de Rampe",IF(Lang="English","Launch-Pad Exit",""))</f>
        <v>Sortie de Rampe</v>
      </c>
      <c r="G24" s="616"/>
      <c r="H24" s="491"/>
      <c r="I24" s="491"/>
      <c r="J24" s="491"/>
      <c r="K24" s="492">
        <f ca="1">INDEX(vit_xz,MATCH("Sortie de rampe",Event,0))</f>
        <v>100.8400272144367</v>
      </c>
      <c r="L24" s="493"/>
      <c r="M24" s="500"/>
      <c r="N24" s="58"/>
    </row>
    <row r="25" spans="1:18" x14ac:dyDescent="0.2">
      <c r="A25" s="59"/>
      <c r="B25" s="466" t="str">
        <f>IF(Lang="Français","Masse",IF(Lang="English","Mass",""))</f>
        <v>Masse</v>
      </c>
      <c r="C25" s="467">
        <f ca="1">IF(Nb_sat="0 satellite",MasseVide,MasseVide-m_satellite)</f>
        <v>5.0830000000000002</v>
      </c>
      <c r="D25" s="480">
        <f>IF(RIGHT(Type_fusee,1)=".",1,0.15)</f>
        <v>1</v>
      </c>
      <c r="F25" s="619" t="str">
        <f>IF(Lang="Français","Vit max &amp; Acc max",IF(Lang="English","Max Velocity &amp; Acc",""))</f>
        <v>Vit max &amp; Acc max</v>
      </c>
      <c r="G25" s="620"/>
      <c r="H25" s="115"/>
      <c r="I25" s="115"/>
      <c r="J25" s="115"/>
      <c r="K25" s="158">
        <f ca="1">MAX(vit_xz)</f>
        <v>304.56632264466219</v>
      </c>
      <c r="L25" s="494">
        <f ca="1">MAX(acc_xz)</f>
        <v>130.04294260444212</v>
      </c>
      <c r="M25" s="500"/>
      <c r="N25" s="58"/>
    </row>
    <row r="26" spans="1:18" x14ac:dyDescent="0.2">
      <c r="A26" s="59"/>
      <c r="B26" s="469" t="str">
        <f>IF(Lang="Français","Dépotage",IF(Lang="English","Delay",""))</f>
        <v>Dépotage</v>
      </c>
      <c r="C26" s="505" t="s">
        <v>407</v>
      </c>
      <c r="D26" s="535"/>
      <c r="F26" s="621" t="str">
        <f>IF(Lang="Français","Largage du satellite",IF(Lang="English","Satellite separation",""))</f>
        <v>Largage du satellite</v>
      </c>
      <c r="G26" s="622"/>
      <c r="H26" s="152">
        <f>IF(T_satellite&lt;&gt;0,T_satellite,"")</f>
        <v>4.7</v>
      </c>
      <c r="I26" s="156">
        <f ca="1">IF(T_satellite&lt;&gt;0,INDEX(pos_z,MATCH("Satellite",Event_sat,0)),"")</f>
        <v>1128.7642719871212</v>
      </c>
      <c r="J26" s="154">
        <f ca="1">IF(T_satellite&lt;&gt;0,INDEX(pos_x,MATCH("Satellite",Event_sat,0)),"")</f>
        <v>224.67771113979319</v>
      </c>
      <c r="K26" s="159">
        <f ca="1">IF(T_satellite&lt;&gt;0,INDEX(vit_xz,MATCH("Satellite",Event_sat,0)),"")</f>
        <v>224.82071735532693</v>
      </c>
      <c r="L26" s="495"/>
      <c r="M26" s="485">
        <f ca="1">1/2*Rho_moyen*1*V_ouv_sat^2*S_satellite</f>
        <v>3095.841740820033</v>
      </c>
      <c r="N26" s="58"/>
    </row>
    <row r="27" spans="1:18" x14ac:dyDescent="0.2">
      <c r="A27" s="59"/>
      <c r="B27" s="468" t="str">
        <f>IF(Lang="Français","Ouverture para",IF(Lang="English","Opening time",""))</f>
        <v>Ouverture para</v>
      </c>
      <c r="C27" s="507">
        <v>16.399999999999999</v>
      </c>
      <c r="D27" s="507">
        <v>4.7</v>
      </c>
      <c r="F27" s="619" t="s">
        <v>15</v>
      </c>
      <c r="G27" s="620"/>
      <c r="H27" s="153">
        <f ca="1">INDEX(t,MATCH("Apogée",Event,0))</f>
        <v>17.79999999999994</v>
      </c>
      <c r="I27" s="157">
        <f ca="1">INDEX(pos_z,MATCH("Apogée",Event,0))</f>
        <v>2217.1304653508096</v>
      </c>
      <c r="J27" s="155">
        <f ca="1">INDEX(pos_x,MATCH("Apogée",Event,0))</f>
        <v>606.85741010931326</v>
      </c>
      <c r="K27" s="160">
        <f ca="1">INDEX(vit_xz,MATCH("Apogée",Event,0))</f>
        <v>22.506519519835731</v>
      </c>
      <c r="L27" s="496"/>
      <c r="M27" s="500"/>
      <c r="N27" s="58"/>
    </row>
    <row r="28" spans="1:18" x14ac:dyDescent="0.2">
      <c r="A28" s="59"/>
      <c r="B28" s="534" t="s">
        <v>557</v>
      </c>
      <c r="C28" s="507" t="s">
        <v>559</v>
      </c>
      <c r="D28" s="507"/>
      <c r="F28" s="617" t="str">
        <f>IF(Lang="Français","Ouverture parachute fusée",IF(Lang="English","Rocket parachute opening",""))</f>
        <v>Ouverture parachute fusée</v>
      </c>
      <c r="G28" s="618"/>
      <c r="H28" s="152">
        <f>T_para</f>
        <v>16.399999999999999</v>
      </c>
      <c r="I28" s="156">
        <f ca="1">INDEX(pos_z,MATCH("Para",Event_para,0))</f>
        <v>2206.7119513863536</v>
      </c>
      <c r="J28" s="486">
        <f ca="1">INDEX(pos_x,MATCH("Para",Event_para,0))</f>
        <v>575.04664390968333</v>
      </c>
      <c r="K28" s="159">
        <f ca="1">INDEX(vit_xz,MATCH("Para",Event_para,0))</f>
        <v>27.11181737711048</v>
      </c>
      <c r="L28" s="495"/>
      <c r="M28" s="485">
        <f ca="1">1/2*Rho_moyen*1*V_ouverture^2*S_para</f>
        <v>216.32999785695446</v>
      </c>
      <c r="N28" s="58"/>
      <c r="P28" s="384" t="str">
        <f ca="1">IF(V_para&lt;5, IF(Lang="Français","Parachute fusée trop grand !","Parachute too big!"), IF( V_para&gt;15, IF(Lang="Français","Parachute fusée trop petit !","Parachute too small!"), ""))</f>
        <v/>
      </c>
      <c r="R28" s="384" t="str">
        <f>IF(AND(Nb_sat="1 satellite", OR(V_satellite&lt;5)), IF(Lang="Français","Parachute satéllite trop grand !","Parachute too big"), IF(AND(Nb_sat="1 satellite",OR(V_satellite&gt;15)), IF(Lang="Français","Parachute satéllite trop petit !","Parachute too small!"), ""))</f>
        <v/>
      </c>
    </row>
    <row r="29" spans="1:18" x14ac:dyDescent="0.2">
      <c r="A29" s="59"/>
      <c r="B29" s="141" t="s">
        <v>9</v>
      </c>
      <c r="C29" s="225">
        <f>IF(C28="rond",S_para_rond,IF(C28="Croix",S_para_croix,0.5))</f>
        <v>0.48049999999999998</v>
      </c>
      <c r="D29" s="17">
        <f>IF(RIGHT(Type_fusee,1)=".",0.1,0.02)</f>
        <v>0.1</v>
      </c>
      <c r="F29" s="606" t="str">
        <f>IF(Lang="Français","Impact balistique",IF(Lang="English","Balistic Impact",""))</f>
        <v>Impact balistique</v>
      </c>
      <c r="G29" s="607"/>
      <c r="H29" s="497">
        <f ca="1">INDEX(t,MATCH("Impact balistique",Event,0))</f>
        <v>44.600000000000321</v>
      </c>
      <c r="I29" s="517" t="s">
        <v>427</v>
      </c>
      <c r="J29" s="487">
        <f ca="1">INDEX(pos_x,MATCH("Impact balistique",Event,0))</f>
        <v>976.66817413190017</v>
      </c>
      <c r="K29" s="501">
        <f ca="1">K47</f>
        <v>115.54212959776774</v>
      </c>
      <c r="L29" s="498"/>
      <c r="M29" s="502">
        <f ca="1">0.5*m_vide*K29^2</f>
        <v>33928.983604015863</v>
      </c>
      <c r="N29" s="58"/>
      <c r="P29" s="384" t="str">
        <f ca="1">IF( OR( V_para&lt;5, V_para&gt;15, AND(Nb_sat="1 satellite", OR(V_satellite&lt;5, V_satellite&gt;15))), IF(Lang="Français","La Vitesse de descente sous parachute doit être comprise entre 5 &amp; 15 m/s.","Fall Velocity with parachute must be between 5 &amp; 15 m/s."), "")</f>
        <v/>
      </c>
    </row>
    <row r="30" spans="1:18" x14ac:dyDescent="0.2">
      <c r="A30" s="59"/>
      <c r="B30" s="141" t="s">
        <v>10</v>
      </c>
      <c r="C30" s="143">
        <v>1</v>
      </c>
      <c r="D30" s="143">
        <v>1</v>
      </c>
      <c r="E30" s="18" t="str">
        <f>IF(AND(T_satellite=0,m_satellite&lt;&gt;0),"Erreur !","")</f>
        <v/>
      </c>
      <c r="G30" s="483"/>
      <c r="H30" s="484"/>
      <c r="I30" s="488"/>
      <c r="N30" s="58"/>
      <c r="P30" s="384" t="str">
        <f ca="1">IF(AND(Portee_balistique&gt;200,LEFT(Type_propu,4)="Mini"),IF(Lang="Français","Fusée trop lègère !","Rocket too light"),"")</f>
        <v/>
      </c>
    </row>
    <row r="31" spans="1:18" x14ac:dyDescent="0.2">
      <c r="A31" s="59"/>
      <c r="B31" s="141" t="str">
        <f>IF(Lang="Français","Vitesse du vent",IF(Lang="English","Wind speed",""))</f>
        <v>Vitesse du vent</v>
      </c>
      <c r="C31" s="144">
        <v>5</v>
      </c>
      <c r="D31" s="144">
        <f>V_vent</f>
        <v>5</v>
      </c>
      <c r="G31" s="483"/>
      <c r="H31" s="484"/>
      <c r="I31" s="488"/>
      <c r="N31" s="58"/>
      <c r="P31" s="384" t="str">
        <f ca="1">IF(OR(AND(Vsortie_de_rampe&lt;20,LEFT(Type_fusee,1)="F"),AND(Vsortie_de_rampe&lt;18, OR(LEFT(Type_fusee,1)=",",LEFT(Type_fusee,4)="Mini",LEFT(Type_fusee,1)="R"))),IF(Lang="Français","Fusée trop lourde ou rampe trop courte !","Rocket too heavy or launch pad too small!"),"")</f>
        <v/>
      </c>
    </row>
    <row r="32" spans="1:18" x14ac:dyDescent="0.2">
      <c r="A32" s="59"/>
      <c r="B32" s="133" t="str">
        <f>IF(Lang="Français","Vitesse descente",IF(Lang="English","Fall velocity",""))</f>
        <v>Vitesse descente</v>
      </c>
      <c r="C32" s="424">
        <f ca="1">SQRT(2*m_vide*g/Rho_moyen/S_para/Cx_para)</f>
        <v>13.016517782506746</v>
      </c>
      <c r="D32" s="424">
        <f>SQRT(2*m_satellite*g/Rho_moyen/S_satellite/Cx_satellite)</f>
        <v>12.655562623057198</v>
      </c>
      <c r="F32" s="384"/>
      <c r="K32" s="388"/>
      <c r="N32" s="395"/>
      <c r="P32" s="384" t="str">
        <f ca="1">IF(Temps_culmi-T_para&gt;2,IF(Lang="Français","Ouverture parachute fusée précoce.","Early rocket parachute opening."),IF(Temps_culmi-T_para&lt;-2,IF(Lang="Français","Ouverture parachute fusée tardive.","Late rocket parachute opening."),""))</f>
        <v/>
      </c>
    </row>
    <row r="33" spans="1:16" x14ac:dyDescent="0.2">
      <c r="A33" s="59"/>
      <c r="B33" s="133" t="str">
        <f>IF(Lang="Français","Durée descente",IF(Lang="English","Fall duration",""))</f>
        <v>Durée descente</v>
      </c>
      <c r="C33" s="132">
        <f ca="1">Alt_para/V_para</f>
        <v>169.53166647626864</v>
      </c>
      <c r="D33" s="132">
        <f ca="1">IF(V_satellite&lt;&gt;0,Alt_sat/V_satellite,0)</f>
        <v>89.191156932890763</v>
      </c>
      <c r="H33" s="608" t="str">
        <f>IF(Lang="Français","Pour localiser la fusée","To locate the rocket")</f>
        <v>Pour localiser la fusée</v>
      </c>
      <c r="I33" s="608"/>
      <c r="J33" s="482"/>
      <c r="N33" s="395"/>
      <c r="P33" s="384" t="str">
        <f ca="1">IF(ABS(Temps_culmi-T_para)&gt;2,IF(Lang="Français","Attention, aux efforts sur le parachute lors de l'ouverture !","Becarefull to the opening chute efforts!"),"")</f>
        <v/>
      </c>
    </row>
    <row r="34" spans="1:16" customFormat="1" x14ac:dyDescent="0.2">
      <c r="A34" s="59"/>
      <c r="B34" s="133" t="str">
        <f>IF(Lang="Français","Durée du vol",IF(Lang="English","Fligth duration",""))</f>
        <v>Durée du vol</v>
      </c>
      <c r="C34" s="132">
        <f ca="1">T_para+Dt_para</f>
        <v>185.93166647626865</v>
      </c>
      <c r="D34" s="132">
        <f ca="1">T_satellite+Dt_satellite</f>
        <v>93.891156932890766</v>
      </c>
      <c r="F34" s="608" t="str">
        <f>IF(Lang="Français","Couleur fuselage/coiffe","Body/Nose color")</f>
        <v>Couleur fuselage/coiffe</v>
      </c>
      <c r="G34" s="608"/>
      <c r="H34" s="604" t="s">
        <v>266</v>
      </c>
      <c r="I34" s="605"/>
      <c r="J34" s="1"/>
      <c r="K34" s="1"/>
      <c r="L34" s="1"/>
      <c r="M34" s="1"/>
      <c r="N34" s="394"/>
    </row>
    <row r="35" spans="1:16" x14ac:dyDescent="0.2">
      <c r="A35" s="74"/>
      <c r="B35" s="133" t="str">
        <f>IF(Lang="Français","Déport latéral",IF(Lang="English","Lateral shift",""))</f>
        <v>Déport latéral</v>
      </c>
      <c r="C35" s="151">
        <f ca="1">Alt_para*V_vent/V_para</f>
        <v>847.65833238134326</v>
      </c>
      <c r="D35" s="151">
        <f ca="1">IF(V_satellite&lt;&gt;0,Alt_sat*V_vent_sat/V_satellite,0)</f>
        <v>445.9557846644538</v>
      </c>
      <c r="F35" s="608" t="str">
        <f>IF(Lang="Français","Couleur parachute fusée","Rocket parachute color")</f>
        <v>Couleur parachute fusée</v>
      </c>
      <c r="G35" s="608"/>
      <c r="H35" s="604" t="s">
        <v>267</v>
      </c>
      <c r="I35" s="605"/>
      <c r="J35"/>
      <c r="K35"/>
      <c r="L35"/>
      <c r="M35"/>
      <c r="N35" s="394" t="str">
        <f>IF(Lang="Français","fichier initial","Initial file")</f>
        <v>fichier initial</v>
      </c>
      <c r="P35"/>
    </row>
    <row r="36" spans="1:16" x14ac:dyDescent="0.2">
      <c r="A36" s="59"/>
      <c r="F36" s="608" t="str">
        <f>IF(Lang="Français","Couleur parachute satellite","Satellite parachute color")</f>
        <v>Couleur parachute satellite</v>
      </c>
      <c r="G36" s="608"/>
      <c r="H36" s="612" t="s">
        <v>158</v>
      </c>
      <c r="I36" s="612"/>
      <c r="N36" s="393" t="str">
        <f>IF(ROUND(SUM(Propu!5:1228),0)=437735,"propu OK","propu NOK")</f>
        <v>propu OK</v>
      </c>
      <c r="P36"/>
    </row>
    <row r="37" spans="1:16" ht="13.5" thickBot="1" x14ac:dyDescent="0.25">
      <c r="A37" s="60"/>
      <c r="B37" s="181" t="str">
        <f>IF(Lang="Français","Commentaire libre :",IF(Lang="English","Free comment:",""))</f>
        <v>Commentaire libre :</v>
      </c>
      <c r="C37" s="61"/>
      <c r="D37" s="61"/>
      <c r="E37" s="61"/>
      <c r="F37" s="61"/>
      <c r="G37" s="61"/>
      <c r="H37" s="61"/>
      <c r="I37" s="61"/>
      <c r="J37" s="61"/>
      <c r="K37" s="61"/>
      <c r="L37" s="61"/>
      <c r="M37" s="61"/>
      <c r="N37" s="290" t="s">
        <v>566</v>
      </c>
    </row>
    <row r="40" spans="1:16" x14ac:dyDescent="0.2">
      <c r="A40" s="609" t="str">
        <f>IF(Lang="Français","Calcul de la surface d'un parachute","Parachute surface calculation")</f>
        <v>Calcul de la surface d'un parachute</v>
      </c>
      <c r="B40" s="610"/>
      <c r="C40" s="610"/>
      <c r="D40" s="611"/>
      <c r="F40" s="609" t="str">
        <f>IF(Lang="Français","Résultats détaillés","Detailled results")</f>
        <v>Résultats détaillés</v>
      </c>
      <c r="G40" s="611"/>
      <c r="H40" s="170" t="str">
        <f>IF(Lang="Français","Temps",IF(Lang="English","Time",""))</f>
        <v>Temps</v>
      </c>
      <c r="I40" s="134" t="s">
        <v>12</v>
      </c>
      <c r="J40" s="134" t="str">
        <f>IF(Lang="Français","Portée x",IF(Lang="English","Range x",""))</f>
        <v>Portée x</v>
      </c>
      <c r="K40" s="134" t="str">
        <f>IF(Lang="Français","Vitesse",IF(Lang="English","Velocity",""))</f>
        <v>Vitesse</v>
      </c>
      <c r="L40" s="135" t="s">
        <v>13</v>
      </c>
      <c r="M40" s="134" t="s">
        <v>41</v>
      </c>
    </row>
    <row r="41" spans="1:16" x14ac:dyDescent="0.2">
      <c r="A41" s="161"/>
      <c r="D41" s="162"/>
      <c r="F41" s="172"/>
      <c r="G41" s="173"/>
      <c r="H41" s="171" t="s">
        <v>153</v>
      </c>
      <c r="I41" s="136" t="s">
        <v>38</v>
      </c>
      <c r="J41" s="136" t="s">
        <v>38</v>
      </c>
      <c r="K41" s="136" t="s">
        <v>154</v>
      </c>
      <c r="L41" s="136" t="s">
        <v>7</v>
      </c>
      <c r="M41" s="136" t="s">
        <v>155</v>
      </c>
    </row>
    <row r="42" spans="1:16" x14ac:dyDescent="0.2">
      <c r="A42" s="161"/>
      <c r="D42" s="162"/>
      <c r="F42" s="633" t="str">
        <f>IF(Lang="Français","Décollage",IF(Lang="English","Lift-Off",""))</f>
        <v>Décollage</v>
      </c>
      <c r="G42" s="633"/>
      <c r="H42" s="150">
        <v>0</v>
      </c>
      <c r="I42" s="150">
        <v>0</v>
      </c>
      <c r="J42" s="150">
        <v>0</v>
      </c>
      <c r="K42" s="150">
        <v>100</v>
      </c>
      <c r="L42" s="148" t="s">
        <v>14</v>
      </c>
      <c r="M42" s="149">
        <f>Beta_rampe</f>
        <v>80</v>
      </c>
    </row>
    <row r="43" spans="1:16" x14ac:dyDescent="0.2">
      <c r="A43" s="161"/>
      <c r="B43" s="166" t="str">
        <f>IF(Lang="Français","Bord   'a'","Side length 'a'")</f>
        <v>Bord   'a'</v>
      </c>
      <c r="D43" s="162"/>
      <c r="F43" s="620" t="str">
        <f>IF(Lang="Français","Sortie de Rampe",IF(Lang="English","Launch-Pad Exit",""))</f>
        <v>Sortie de Rampe</v>
      </c>
      <c r="G43" s="620"/>
      <c r="H43" s="115">
        <f ca="1">INDEX(t,MATCH("Sortie de rampe",Event,0))</f>
        <v>0.03</v>
      </c>
      <c r="I43" s="115">
        <f ca="1">INDEX(pos_z,MATCH("Sortie de rampe",Event,0))</f>
        <v>2.961079418210022</v>
      </c>
      <c r="J43" s="115">
        <f ca="1">INDEX(pos_x,MATCH("Sortie de rampe",Event,0))</f>
        <v>0.52211807299830937</v>
      </c>
      <c r="K43" s="116">
        <f ca="1">INDEX(vit_xz,MATCH("Sortie de rampe",Event,0))</f>
        <v>100.8400272144367</v>
      </c>
      <c r="L43" s="116">
        <f ca="1">INDEX(acc_xz,MATCH("Sortie de rampe",Event,0))</f>
        <v>57.206624849080654</v>
      </c>
      <c r="M43" s="116">
        <f ca="1">INDEX(BetaD,MATCH("Sortie de rampe",Event,0))</f>
        <v>80</v>
      </c>
    </row>
    <row r="44" spans="1:16" x14ac:dyDescent="0.2">
      <c r="A44" s="161"/>
      <c r="B44" s="167">
        <v>310</v>
      </c>
      <c r="D44" s="162"/>
      <c r="F44" s="620" t="str">
        <f>IF(Lang="Français","Vit max &amp; Acc max",IF(Lang="English","Max Velocity &amp; Acc",""))</f>
        <v>Vit max &amp; Acc max</v>
      </c>
      <c r="G44" s="620"/>
      <c r="H44" s="115" t="s">
        <v>14</v>
      </c>
      <c r="I44" s="115" t="s">
        <v>14</v>
      </c>
      <c r="J44" s="115" t="s">
        <v>14</v>
      </c>
      <c r="K44" s="117">
        <f ca="1">MAX(vit_xz)</f>
        <v>304.56632264466219</v>
      </c>
      <c r="L44" s="118">
        <f ca="1">MAX(acc_xz)</f>
        <v>130.04294260444212</v>
      </c>
      <c r="M44" s="116" t="s">
        <v>14</v>
      </c>
    </row>
    <row r="45" spans="1:16" x14ac:dyDescent="0.2">
      <c r="A45" s="161"/>
      <c r="B45" s="166" t="str">
        <f>IF(Lang="Français","Coté   'b'","Side width 'b'")</f>
        <v>Coté   'b'</v>
      </c>
      <c r="D45" s="162"/>
      <c r="F45" s="620" t="str">
        <f>IF(Lang="Français","Fin de Propulsion",IF(Lang="English","Motor Burn-Out",""))</f>
        <v>Fin de Propulsion</v>
      </c>
      <c r="G45" s="620"/>
      <c r="H45" s="116">
        <f ca="1">INDEX(t,MATCH("Fin de propulsion",Event,0))</f>
        <v>3.5999999999999672</v>
      </c>
      <c r="I45" s="119">
        <f ca="1">INDEX(pos_z,MATCH("Fin de propulsion",Event,0))</f>
        <v>857.37674818526625</v>
      </c>
      <c r="J45" s="119">
        <f ca="1">INDEX(pos_x,MATCH("Fin de propulsion",Event,0))</f>
        <v>167.47444399432734</v>
      </c>
      <c r="K45" s="119">
        <f ca="1">INDEX(vit_xz,MATCH("Fin de propulsion",Event,0))</f>
        <v>283.1028916324891</v>
      </c>
      <c r="L45" s="116">
        <f ca="1">INDEX(acc_xz,MATCH("Fin de propulsion",Event,0))</f>
        <v>64.332172195626626</v>
      </c>
      <c r="M45" s="116">
        <f ca="1">INDEX(BetaD,MATCH("Fin de propulsion",Event,0))</f>
        <v>78.331421323325728</v>
      </c>
    </row>
    <row r="46" spans="1:16" x14ac:dyDescent="0.2">
      <c r="A46" s="161"/>
      <c r="B46" s="168">
        <v>310</v>
      </c>
      <c r="D46" s="162"/>
      <c r="F46" s="620" t="s">
        <v>15</v>
      </c>
      <c r="G46" s="620"/>
      <c r="H46" s="118">
        <f ca="1">INDEX(t,MATCH("Apogée",Event,0))</f>
        <v>17.79999999999994</v>
      </c>
      <c r="I46" s="117">
        <f ca="1">INDEX(pos_z,MATCH("Apogée",Event,0))</f>
        <v>2217.1304653508096</v>
      </c>
      <c r="J46" s="120">
        <f ca="1">INDEX(pos_x,MATCH("Apogée",Event,0))</f>
        <v>606.85741010931326</v>
      </c>
      <c r="K46" s="120">
        <f ca="1">INDEX(vit_xz,MATCH("Apogée",Event,0))</f>
        <v>22.506519519835731</v>
      </c>
      <c r="L46" s="116">
        <f ca="1">INDEX(acc_xz,MATCH("Apogée",Event,0))</f>
        <v>9.8346982399248173</v>
      </c>
      <c r="M46" s="121">
        <f ca="1">INDEX(BetaD,MATCH("Apogée",Event,0))</f>
        <v>1.3198859978491122</v>
      </c>
    </row>
    <row r="47" spans="1:16" x14ac:dyDescent="0.2">
      <c r="A47" s="161"/>
      <c r="B47" s="169" t="s">
        <v>9</v>
      </c>
      <c r="D47" s="162"/>
      <c r="F47" s="635" t="str">
        <f>IF(Lang="Français","Impact balistique",IF(Lang="English","Balistic Impact",""))</f>
        <v>Impact balistique</v>
      </c>
      <c r="G47" s="635"/>
      <c r="H47" s="116">
        <f ca="1">INDEX(t,MATCH("Impact balistique",Event,0))</f>
        <v>44.600000000000321</v>
      </c>
      <c r="I47" s="148" t="s">
        <v>16</v>
      </c>
      <c r="J47" s="117">
        <f ca="1">INDEX(pos_x,MATCH("Impact balistique",Event,0))</f>
        <v>976.66817413190017</v>
      </c>
      <c r="K47" s="119">
        <f ca="1">INDEX(vit_xz,MATCH("Impact balistique",Event,0))</f>
        <v>115.54212959776774</v>
      </c>
      <c r="L47" s="116">
        <f ca="1">INDEX(acc_xz,MATCH("Impact balistique",Event,0))</f>
        <v>0.42657674862013661</v>
      </c>
      <c r="M47" s="116">
        <f ca="1">INDEX(BetaD,MATCH("Impact balistique",Event,0))</f>
        <v>-87.570490391551331</v>
      </c>
    </row>
    <row r="48" spans="1:16" x14ac:dyDescent="0.2">
      <c r="A48" s="161"/>
      <c r="B48" s="174">
        <f>(4*B44*B46+B44^2)/10^6</f>
        <v>0.48049999999999998</v>
      </c>
      <c r="D48" s="162"/>
      <c r="F48" s="618" t="str">
        <f>IF(Lang="Français","Ouverture parachute fusée",IF(Lang="English","Rocket parachute opening",""))</f>
        <v>Ouverture parachute fusée</v>
      </c>
      <c r="G48" s="618"/>
      <c r="H48" s="122">
        <f>T_para</f>
        <v>16.399999999999999</v>
      </c>
      <c r="I48" s="123">
        <f ca="1">INDEX(pos_z,MATCH("Para",Event_para,0))</f>
        <v>2206.7119513863536</v>
      </c>
      <c r="J48" s="123">
        <f ca="1">INDEX(pos_x,MATCH("Para",Event_para,0))</f>
        <v>575.04664390968333</v>
      </c>
      <c r="K48" s="123">
        <f ca="1">INDEX(vit_xz,MATCH("Para",Event_para,0))</f>
        <v>27.11181737711048</v>
      </c>
      <c r="L48" s="122">
        <f ca="1">INDEX(acc_xz,MATCH("Para",Event_para,0))</f>
        <v>10.070362953185313</v>
      </c>
      <c r="M48" s="124">
        <f ca="1">INDEX(BetaD,MATCH("Para",Event_para,0))</f>
        <v>32.126133210493428</v>
      </c>
    </row>
    <row r="49" spans="1:13" x14ac:dyDescent="0.2">
      <c r="A49" s="161"/>
      <c r="D49" s="162"/>
      <c r="F49" s="636" t="str">
        <f>IF(Lang="Français","Impact fusée sous para.",IF(Lang="English","Impact of rocket with para. ",""))</f>
        <v>Impact fusée sous para.</v>
      </c>
      <c r="G49" s="636"/>
      <c r="H49" s="125">
        <f ca="1">T_para+Dt_para</f>
        <v>185.93166647626865</v>
      </c>
      <c r="I49" s="127" t="s">
        <v>16</v>
      </c>
      <c r="J49" s="126" t="str">
        <f ca="1">CONCATENATE(TEXT(X_para-Dx_para,"0")," | ",TEXT(X_para+Dx_para,"0"))</f>
        <v>-273 | 1423</v>
      </c>
      <c r="K49" s="126">
        <f ca="1">V_para</f>
        <v>13.016517782506746</v>
      </c>
      <c r="L49" s="128">
        <f>g</f>
        <v>9.81</v>
      </c>
      <c r="M49" s="128" t="s">
        <v>14</v>
      </c>
    </row>
    <row r="50" spans="1:13" x14ac:dyDescent="0.2">
      <c r="A50" s="161"/>
      <c r="D50" s="162"/>
      <c r="F50" s="634" t="str">
        <f>IF(Lang="Français","Largage du satellite",IF(Lang="English","Satellite separation",""))</f>
        <v>Largage du satellite</v>
      </c>
      <c r="G50" s="622"/>
      <c r="H50" s="122">
        <f>IF(T_satellite&lt;&gt;0,T_satellite,"")</f>
        <v>4.7</v>
      </c>
      <c r="I50" s="123">
        <f ca="1">IF(T_satellite&lt;&gt;0,INDEX(pos_z,MATCH("Satellite",Event_sat,0)),"")</f>
        <v>1128.7642719871212</v>
      </c>
      <c r="J50" s="129">
        <f ca="1">IF(T_satellite&lt;&gt;0,INDEX(pos_x,MATCH("Satellite",Event_sat,0)),"")</f>
        <v>224.67771113979319</v>
      </c>
      <c r="K50" s="123">
        <f ca="1">IF(T_satellite&lt;&gt;0,INDEX(vit_xz,MATCH("Satellite",Event_sat,0)),"")</f>
        <v>224.82071735532693</v>
      </c>
      <c r="L50" s="122">
        <f ca="1">IF(T_satellite&lt;&gt;0,INDEX(acc_xz,MATCH("Satellite",Event_sat,0)),"")</f>
        <v>44.454470992401497</v>
      </c>
      <c r="M50" s="124">
        <f ca="1">IF(T_satellite&lt;&gt;0,INDEX(BetaD,MATCH("Satellite",Event_sat,0)),"")</f>
        <v>77.819650259127556</v>
      </c>
    </row>
    <row r="51" spans="1:13" x14ac:dyDescent="0.2">
      <c r="A51" s="161"/>
      <c r="B51" s="166" t="str">
        <f>IF(Lang="Français","Rayon exterieur","Half-diameter ext")</f>
        <v>Rayon exterieur</v>
      </c>
      <c r="D51" s="162"/>
      <c r="F51" s="631" t="str">
        <f>IF(Lang="Français","Impact du satellite",IF(Lang="English","Satellite impact",""))</f>
        <v>Impact du satellite</v>
      </c>
      <c r="G51" s="632"/>
      <c r="H51" s="125">
        <f ca="1">IF(T_satellite&lt;&gt;0,T_satellite+Dt_satellite,"")</f>
        <v>93.891156932890766</v>
      </c>
      <c r="I51" s="130" t="str">
        <f>IF(T_satellite&lt;&gt;0,"~0","")</f>
        <v>~0</v>
      </c>
      <c r="J51" s="130" t="str">
        <f ca="1">IF(T_satellite&lt;&gt;0,CONCATENATE(TEXT(X_satellite-Dx_sat,"0")," | ",TEXT(X_satellite+Dx_sat,"0")),"")</f>
        <v>-221 | 671</v>
      </c>
      <c r="K51" s="130">
        <f>IF(T_satellite&lt;&gt;0,V_satellite,"")</f>
        <v>12.655562623057198</v>
      </c>
      <c r="L51" s="128">
        <f>IF(T_satellite&lt;&gt;0,g,"")</f>
        <v>9.81</v>
      </c>
      <c r="M51" s="131" t="str">
        <f>IF(T_satellite&lt;&gt;0,"-","")</f>
        <v>-</v>
      </c>
    </row>
    <row r="52" spans="1:13" x14ac:dyDescent="0.2">
      <c r="A52" s="161"/>
      <c r="B52" s="168">
        <v>299</v>
      </c>
      <c r="D52" s="162"/>
    </row>
    <row r="53" spans="1:13" x14ac:dyDescent="0.2">
      <c r="A53" s="161"/>
      <c r="B53" s="166" t="str">
        <f>IF(Lang="Français","Rayon intérieur","Half-diameter int")</f>
        <v>Rayon intérieur</v>
      </c>
      <c r="D53" s="162"/>
    </row>
    <row r="54" spans="1:13" x14ac:dyDescent="0.2">
      <c r="A54" s="161"/>
      <c r="B54" s="168">
        <v>29</v>
      </c>
      <c r="D54" s="162"/>
    </row>
    <row r="55" spans="1:13" x14ac:dyDescent="0.2">
      <c r="A55" s="161"/>
      <c r="B55" s="169" t="s">
        <v>9</v>
      </c>
      <c r="D55" s="162"/>
    </row>
    <row r="56" spans="1:13" x14ac:dyDescent="0.2">
      <c r="A56" s="161"/>
      <c r="B56" s="174">
        <f>PI()*(B52^2-B54^2)/10^6</f>
        <v>0.27821944540191207</v>
      </c>
      <c r="D56" s="162"/>
    </row>
    <row r="57" spans="1:13" x14ac:dyDescent="0.2">
      <c r="A57" s="163"/>
      <c r="B57" s="164"/>
      <c r="C57" s="164"/>
      <c r="D57" s="165"/>
    </row>
    <row r="94" spans="2:2" x14ac:dyDescent="0.2">
      <c r="B94" s="24" t="str">
        <f>IF(Lang="Français","Vitesse de descente sous parachute :",IF(Lang="English","Fall velocity over parachute:",""))</f>
        <v>Vitesse de descente sous parachute :</v>
      </c>
    </row>
    <row r="103" spans="2:9" x14ac:dyDescent="0.2">
      <c r="B103" s="24" t="str">
        <f>IF(Lang="Français","Textes pour les listes déroulantes et graphiques :","Texts for drop-down lists &amp; graphics :")</f>
        <v>Textes pour les listes déroulantes et graphiques :</v>
      </c>
    </row>
    <row r="104" spans="2:9" x14ac:dyDescent="0.2">
      <c r="F104" s="221" t="s">
        <v>407</v>
      </c>
      <c r="G104" s="1" t="s">
        <v>414</v>
      </c>
      <c r="I104" s="1" t="s">
        <v>558</v>
      </c>
    </row>
    <row r="105" spans="2:9" x14ac:dyDescent="0.2">
      <c r="B105" s="1" t="s">
        <v>120</v>
      </c>
      <c r="F105" s="477">
        <f ca="1">Combustion+Depotage-9</f>
        <v>-9</v>
      </c>
      <c r="G105" s="478" t="s">
        <v>409</v>
      </c>
      <c r="I105" s="1" t="s">
        <v>559</v>
      </c>
    </row>
    <row r="106" spans="2:9" x14ac:dyDescent="0.2">
      <c r="B106" s="1" t="s">
        <v>121</v>
      </c>
      <c r="F106" s="477">
        <f ca="1">Combustion+Depotage-7</f>
        <v>-7</v>
      </c>
      <c r="G106" s="478" t="s">
        <v>410</v>
      </c>
      <c r="I106" s="1" t="s">
        <v>560</v>
      </c>
    </row>
    <row r="107" spans="2:9" x14ac:dyDescent="0.2">
      <c r="B107" s="1" t="str">
        <f>IF(T_para&gt;0,IF(Lang="Français","Phase ascendante","Climbing phase"),"")</f>
        <v>Phase ascendante</v>
      </c>
      <c r="F107" s="477">
        <f ca="1">Combustion+Depotage-5</f>
        <v>-5</v>
      </c>
      <c r="G107" s="478" t="s">
        <v>411</v>
      </c>
    </row>
    <row r="108" spans="2:9" x14ac:dyDescent="0.2">
      <c r="B108" s="1" t="str">
        <f>IF(Lang="Français","Descente balistique","Balistic fall")</f>
        <v>Descente balistique</v>
      </c>
      <c r="F108" s="477">
        <f ca="1">Combustion+Depotage-3</f>
        <v>-3</v>
      </c>
      <c r="G108" s="478" t="s">
        <v>412</v>
      </c>
    </row>
    <row r="109" spans="2:9" x14ac:dyDescent="0.2">
      <c r="B109" s="1" t="str">
        <f>IF(T_para&gt;0,IF(Lang="Français","Fusée sous parachute","Rocket under parachute"),"")</f>
        <v>Fusée sous parachute</v>
      </c>
      <c r="F109" s="477">
        <f ca="1">Combustion+Depotage</f>
        <v>0</v>
      </c>
      <c r="G109" s="478" t="s">
        <v>413</v>
      </c>
    </row>
    <row r="110" spans="2:9" x14ac:dyDescent="0.2">
      <c r="B110" s="1" t="str">
        <f>IF(AND(Nb_sat="1 satellite",T_satellite&gt;0),IF(Lang="Français","Satellite sous parachute","Satellite over parachute"),"")</f>
        <v/>
      </c>
      <c r="F110" s="479" t="str">
        <f>IF(Lang="Français","autre",IF(Lang="English","other",""))</f>
        <v>autre</v>
      </c>
    </row>
    <row r="111" spans="2:9" x14ac:dyDescent="0.2">
      <c r="B111" s="1" t="str">
        <f>IF(Lang="Français","Trajectoire (x z)","Trajectory (x z)")</f>
        <v>Trajectoire (x z)</v>
      </c>
    </row>
    <row r="112" spans="2:9" x14ac:dyDescent="0.2">
      <c r="B112" s="1" t="str">
        <f>IF(Lang="Français","Portée x [m]","Range x [m]")</f>
        <v>Portée x [m]</v>
      </c>
    </row>
    <row r="113" spans="2:3" x14ac:dyDescent="0.2">
      <c r="B113" s="1" t="str">
        <f>IF(Lang="Français","Temps [s]","Time [s]")</f>
        <v>Temps [s]</v>
      </c>
    </row>
    <row r="114" spans="2:3" x14ac:dyDescent="0.2">
      <c r="B114" s="1" t="str">
        <f>IF(Lang="Français","Altitude z  /  Temps","Altitude z  /  Time")</f>
        <v>Altitude z  /  Temps</v>
      </c>
      <c r="C114" s="1">
        <f>IF(OR(C26=F104,C26=F110),C27,C26)</f>
        <v>16.399999999999999</v>
      </c>
    </row>
    <row r="116" spans="2:3" x14ac:dyDescent="0.2">
      <c r="B116" s="1" t="s">
        <v>408</v>
      </c>
    </row>
    <row r="118" spans="2:3" x14ac:dyDescent="0.2">
      <c r="B118" s="24" t="str">
        <f>IF(Lang="Français","Données pour les graphiques :","Data for plots:")</f>
        <v>Données pour les graphiques :</v>
      </c>
    </row>
    <row r="120" spans="2:3" x14ac:dyDescent="0.2">
      <c r="B120" s="210" t="s">
        <v>47</v>
      </c>
      <c r="C120" s="211" t="s">
        <v>47</v>
      </c>
    </row>
    <row r="121" spans="2:3" x14ac:dyDescent="0.2">
      <c r="B121" s="218">
        <f ca="1">MAX(Altitude_culmi,Portee_balistique)</f>
        <v>2217.1304653508096</v>
      </c>
      <c r="C121" s="216">
        <f ca="1">MAX(Altitude_culmi,Portee_balistique)</f>
        <v>2217.1304653508096</v>
      </c>
    </row>
    <row r="123" spans="2:3" x14ac:dyDescent="0.2">
      <c r="B123" s="210" t="s">
        <v>49</v>
      </c>
      <c r="C123" s="211" t="s">
        <v>45</v>
      </c>
    </row>
    <row r="124" spans="2:3" x14ac:dyDescent="0.2">
      <c r="B124" s="217">
        <f ca="1">X_para</f>
        <v>575.04664390968333</v>
      </c>
      <c r="C124" s="214">
        <f ca="1">Alt_para</f>
        <v>2206.7119513863536</v>
      </c>
    </row>
    <row r="125" spans="2:3" x14ac:dyDescent="0.2">
      <c r="B125" s="217">
        <f ca="1">X_para</f>
        <v>575.04664390968333</v>
      </c>
      <c r="C125" s="214">
        <f ca="1">Alt_para/2</f>
        <v>1103.3559756931768</v>
      </c>
    </row>
    <row r="126" spans="2:3" x14ac:dyDescent="0.2">
      <c r="B126" s="217">
        <f ca="1">X_para</f>
        <v>575.04664390968333</v>
      </c>
      <c r="C126" s="214">
        <v>0</v>
      </c>
    </row>
    <row r="127" spans="2:3" x14ac:dyDescent="0.2">
      <c r="B127" s="217">
        <f ca="1">X_para+Alt_para/40</f>
        <v>630.21444269434221</v>
      </c>
      <c r="C127" s="214">
        <f ca="1">Alt_para/20</f>
        <v>110.33559756931768</v>
      </c>
    </row>
    <row r="128" spans="2:3" x14ac:dyDescent="0.2">
      <c r="B128" s="217">
        <f ca="1">X_para</f>
        <v>575.04664390968333</v>
      </c>
      <c r="C128" s="214">
        <v>0</v>
      </c>
    </row>
    <row r="129" spans="2:6" x14ac:dyDescent="0.2">
      <c r="B129" s="217">
        <f ca="1">X_para-Alt_para/40</f>
        <v>519.87884512502444</v>
      </c>
      <c r="C129" s="214">
        <f ca="1">Alt_para/20</f>
        <v>110.33559756931768</v>
      </c>
    </row>
    <row r="130" spans="2:6" x14ac:dyDescent="0.2">
      <c r="B130" s="218">
        <f ca="1">X_para</f>
        <v>575.04664390968333</v>
      </c>
      <c r="C130" s="219">
        <v>0</v>
      </c>
    </row>
    <row r="131" spans="2:6" x14ac:dyDescent="0.2">
      <c r="B131" s="210" t="s">
        <v>48</v>
      </c>
      <c r="C131" s="211" t="s">
        <v>45</v>
      </c>
    </row>
    <row r="132" spans="2:6" x14ac:dyDescent="0.2">
      <c r="B132" s="213">
        <f>T_para</f>
        <v>16.399999999999999</v>
      </c>
      <c r="C132" s="214">
        <f ca="1">Alt_para</f>
        <v>2206.7119513863536</v>
      </c>
    </row>
    <row r="133" spans="2:6" x14ac:dyDescent="0.2">
      <c r="B133" s="213">
        <f ca="1">(B132+B134)/2</f>
        <v>101.16583323813433</v>
      </c>
      <c r="C133" s="214">
        <f ca="1">(C132+C134)/2</f>
        <v>1103.3559756931768</v>
      </c>
      <c r="E133" s="232">
        <v>1</v>
      </c>
      <c r="F133" s="233" t="s">
        <v>175</v>
      </c>
    </row>
    <row r="134" spans="2:6" x14ac:dyDescent="0.2">
      <c r="B134" s="213">
        <f ca="1">H49</f>
        <v>185.93166647626865</v>
      </c>
      <c r="C134" s="214">
        <f>0</f>
        <v>0</v>
      </c>
      <c r="E134" s="161">
        <v>1</v>
      </c>
      <c r="F134" s="234" t="s">
        <v>176</v>
      </c>
    </row>
    <row r="135" spans="2:6" x14ac:dyDescent="0.2">
      <c r="B135" s="213">
        <f ca="1">H49+E133*sS/2*zZ_fus-E134*sS*tT_fus</f>
        <v>184.09505831417451</v>
      </c>
      <c r="C135" s="214">
        <f ca="1">Alt_para-V_para*(H49-T_para)+E133*sS*Altitude_culmi/H49*zZ_fus+E134*sS/2*Altitude_culmi/H49*tT_fus</f>
        <v>77.428996209818806</v>
      </c>
      <c r="E135" s="161"/>
      <c r="F135" s="241" t="s">
        <v>177</v>
      </c>
    </row>
    <row r="136" spans="2:6" x14ac:dyDescent="0.2">
      <c r="B136" s="213">
        <f ca="1">H49</f>
        <v>185.93166647626865</v>
      </c>
      <c r="C136" s="214">
        <f ca="1">Alt_para-V_para*(H49-T_para)</f>
        <v>0</v>
      </c>
      <c r="E136" s="235" t="s">
        <v>172</v>
      </c>
      <c r="F136" s="236">
        <f ca="1">T_balistique/10</f>
        <v>4.4600000000000319</v>
      </c>
    </row>
    <row r="137" spans="2:6" x14ac:dyDescent="0.2">
      <c r="B137" s="213">
        <f ca="1">H49-E133*sS/2*zZ_fus-E134*sS*tT_fus</f>
        <v>179.63505831417447</v>
      </c>
      <c r="C137" s="214">
        <f ca="1">Alt_para-V_para*(H49-T_para)+E133*sS*Altitude_culmi/H49*zZ_fus-E134*sS/2*Altitude_culmi/H49*tT_fus</f>
        <v>28.936982892797236</v>
      </c>
      <c r="E137" s="235" t="s">
        <v>173</v>
      </c>
      <c r="F137" s="236">
        <f ca="1">(H49-T_para)/H49</f>
        <v>0.91179555203904328</v>
      </c>
    </row>
    <row r="138" spans="2:6" x14ac:dyDescent="0.2">
      <c r="B138" s="215">
        <f ca="1">H49</f>
        <v>185.93166647626865</v>
      </c>
      <c r="C138" s="216">
        <f ca="1">Alt_para-V_para*(H49-T_para)</f>
        <v>0</v>
      </c>
      <c r="E138" s="237" t="s">
        <v>174</v>
      </c>
      <c r="F138" s="238">
        <f ca="1">V_para*(H49-T_para)/Alt_para</f>
        <v>1</v>
      </c>
    </row>
    <row r="140" spans="2:6" x14ac:dyDescent="0.2">
      <c r="B140" s="210" t="s">
        <v>51</v>
      </c>
      <c r="C140" s="211" t="s">
        <v>46</v>
      </c>
    </row>
    <row r="141" spans="2:6" x14ac:dyDescent="0.2">
      <c r="B141" s="217" t="b">
        <f>IF(Nb_sat="1 satellite",X_satellite)</f>
        <v>0</v>
      </c>
      <c r="C141" s="214" t="b">
        <f>IF(Nb_sat="1 satellite",Alt_sat)</f>
        <v>0</v>
      </c>
    </row>
    <row r="142" spans="2:6" x14ac:dyDescent="0.2">
      <c r="B142" s="217" t="b">
        <f>IF(Nb_sat="1 satellite",X_satellite)</f>
        <v>0</v>
      </c>
      <c r="C142" s="214" t="b">
        <f>IF(Nb_sat="1 satellite",Alt_sat*1/4)</f>
        <v>0</v>
      </c>
    </row>
    <row r="143" spans="2:6" x14ac:dyDescent="0.2">
      <c r="B143" s="217" t="b">
        <f>IF(Nb_sat="1 satellite",X_satellite)</f>
        <v>0</v>
      </c>
      <c r="C143" s="214" t="b">
        <f>IF(Nb_sat="1 satellite",0)</f>
        <v>0</v>
      </c>
    </row>
    <row r="144" spans="2:6" x14ac:dyDescent="0.2">
      <c r="B144" s="217" t="b">
        <f>IF(Nb_sat="1 satellite",X_satellite+Alt_sat/40)</f>
        <v>0</v>
      </c>
      <c r="C144" s="214" t="b">
        <f>IF(Nb_sat="1 satellite",Alt_sat/20)</f>
        <v>0</v>
      </c>
    </row>
    <row r="145" spans="2:6" x14ac:dyDescent="0.2">
      <c r="B145" s="217" t="b">
        <f>IF(Nb_sat="1 satellite",X_satellite)</f>
        <v>0</v>
      </c>
      <c r="C145" s="214" t="b">
        <f>IF(Nb_sat="1 satellite",0)</f>
        <v>0</v>
      </c>
    </row>
    <row r="146" spans="2:6" x14ac:dyDescent="0.2">
      <c r="B146" s="217" t="b">
        <f>IF(Nb_sat="1 satellite",X_satellite-Alt_sat/40)</f>
        <v>0</v>
      </c>
      <c r="C146" s="214" t="b">
        <f>IF(Nb_sat="1 satellite",Alt_sat/20)</f>
        <v>0</v>
      </c>
    </row>
    <row r="147" spans="2:6" x14ac:dyDescent="0.2">
      <c r="B147" s="218" t="b">
        <f>IF(Nb_sat="1 satellite",X_satellite)</f>
        <v>0</v>
      </c>
      <c r="C147" s="214" t="b">
        <f>IF(Nb_sat="1 satellite",0)</f>
        <v>0</v>
      </c>
    </row>
    <row r="148" spans="2:6" x14ac:dyDescent="0.2">
      <c r="B148" s="210" t="s">
        <v>50</v>
      </c>
      <c r="C148" s="211" t="s">
        <v>46</v>
      </c>
    </row>
    <row r="149" spans="2:6" x14ac:dyDescent="0.2">
      <c r="B149" s="213" t="b">
        <f>IF(Nb_sat="1 satellite",T_satellite)</f>
        <v>0</v>
      </c>
      <c r="C149" s="214" t="b">
        <f>IF(Nb_sat="1 satellite",Alt_sat)</f>
        <v>0</v>
      </c>
      <c r="D149" s="221"/>
    </row>
    <row r="150" spans="2:6" x14ac:dyDescent="0.2">
      <c r="B150" s="213">
        <f>(B149+B151)/2</f>
        <v>0</v>
      </c>
      <c r="C150" s="214">
        <f>(C149+C151)/2</f>
        <v>0</v>
      </c>
      <c r="D150" s="221"/>
    </row>
    <row r="151" spans="2:6" x14ac:dyDescent="0.2">
      <c r="B151" s="213" t="b">
        <f>IF(Nb_sat="1 satellite",H51)</f>
        <v>0</v>
      </c>
      <c r="C151" s="214" t="b">
        <f>IF(Nb_sat="1 satellite",0)</f>
        <v>0</v>
      </c>
    </row>
    <row r="152" spans="2:6" x14ac:dyDescent="0.2">
      <c r="B152" s="213" t="b">
        <f>IF(Nb_sat="1 satellite",H51+E133*sS/2*zZ_sat-E134*sS*tT_sat)</f>
        <v>0</v>
      </c>
      <c r="C152" s="214" t="b">
        <f>IF(Nb_sat="1 satellite",Alt_sat-V_satellite*(H51-T_satellite)+E133*sS*Altitude_culmi/H51*zZ_sat+E134*sS/2*Altitude_culmi/H51*tT_sat)</f>
        <v>0</v>
      </c>
      <c r="D152" s="221"/>
    </row>
    <row r="153" spans="2:6" x14ac:dyDescent="0.2">
      <c r="B153" s="213" t="b">
        <f>IF(Nb_sat="1 satellite",H51)</f>
        <v>0</v>
      </c>
      <c r="C153" s="214" t="b">
        <f>IF(Nb_sat="1 satellite",0)</f>
        <v>0</v>
      </c>
    </row>
    <row r="154" spans="2:6" x14ac:dyDescent="0.2">
      <c r="B154" s="213" t="b">
        <f>IF(Nb_sat="1 satellite",H51-sS/2*zZ_sat-E134*sS*tT_sat)</f>
        <v>0</v>
      </c>
      <c r="C154" s="214" t="b">
        <f>IF(Nb_sat="1 satellite",Alt_sat-V_satellite*(H51-T_satellite)+E133*sS*Altitude_culmi/H51*zZ_sat-E134*sS/2*Altitude_culmi/H51*tT_sat)</f>
        <v>0</v>
      </c>
      <c r="E154" s="239" t="s">
        <v>173</v>
      </c>
      <c r="F154" s="240">
        <f ca="1">(T_balistique-T_satellite)/T_balistique</f>
        <v>0.89461883408071818</v>
      </c>
    </row>
    <row r="155" spans="2:6" x14ac:dyDescent="0.2">
      <c r="B155" s="215" t="b">
        <f>IF(Nb_sat="1 satellite",H51)</f>
        <v>0</v>
      </c>
      <c r="C155" s="216" t="b">
        <f>IF(Nb_sat="1 satellite",0)</f>
        <v>0</v>
      </c>
      <c r="E155" s="237" t="s">
        <v>174</v>
      </c>
      <c r="F155" s="238">
        <f ca="1">V_satellite*(T_balistique-T_satellite)/Alt_sat</f>
        <v>0.44735376658497539</v>
      </c>
    </row>
    <row r="157" spans="2:6" x14ac:dyDescent="0.2">
      <c r="B157" s="210" t="s">
        <v>2</v>
      </c>
      <c r="C157" s="228" t="s">
        <v>29</v>
      </c>
      <c r="D157" s="211" t="s">
        <v>3</v>
      </c>
    </row>
    <row r="158" spans="2:6" x14ac:dyDescent="0.2">
      <c r="B158" s="231">
        <f>T_para/4</f>
        <v>4.0999999999999996</v>
      </c>
      <c r="C158" s="82">
        <f ca="1">Alt_para/2</f>
        <v>1103.3559756931768</v>
      </c>
      <c r="D158" s="214">
        <f ca="1">X_para/4</f>
        <v>143.76166097742083</v>
      </c>
    </row>
    <row r="159" spans="2:6" x14ac:dyDescent="0.2">
      <c r="B159" s="229">
        <f ca="1">Temps_culmi + (T_balistique-Temps_culmi)/2</f>
        <v>31.200000000000131</v>
      </c>
      <c r="C159" s="230">
        <f ca="1">Altitude_culmi/2</f>
        <v>1108.5652326754048</v>
      </c>
      <c r="D159" s="216">
        <f ca="1">X_culmi+(Portee_balistique-X_culmi)*2/3</f>
        <v>853.39791945770457</v>
      </c>
    </row>
    <row r="161" spans="2:6" x14ac:dyDescent="0.2">
      <c r="B161" s="210" t="s">
        <v>304</v>
      </c>
      <c r="C161" s="228" t="s">
        <v>303</v>
      </c>
      <c r="D161" s="422" t="s">
        <v>305</v>
      </c>
    </row>
    <row r="162" spans="2:6" x14ac:dyDescent="0.2">
      <c r="B162" s="231" t="e">
        <f ca="1">IF(AND(Altitude_culmi&gt;80, Altitude_culmi&lt;=350), 49, NA())</f>
        <v>#N/A</v>
      </c>
      <c r="C162" s="5">
        <v>0</v>
      </c>
      <c r="D162" s="82">
        <f t="shared" ref="D162:D177" ca="1" si="0">X_culmi+C162</f>
        <v>606.85741010931326</v>
      </c>
      <c r="E162" s="422"/>
      <c r="F162" s="423" t="s">
        <v>305</v>
      </c>
    </row>
    <row r="163" spans="2:6" x14ac:dyDescent="0.2">
      <c r="B163" s="231" t="e">
        <f ca="1">IF(AND(Altitude_culmi&gt;80, Altitude_culmi&lt;=350), 49, NA())</f>
        <v>#N/A</v>
      </c>
      <c r="C163" s="5">
        <v>23</v>
      </c>
      <c r="D163" s="82">
        <f t="shared" ca="1" si="0"/>
        <v>629.85741010931326</v>
      </c>
      <c r="E163" s="82"/>
      <c r="F163" s="214">
        <f t="shared" ref="F163:F178" ca="1" si="1">X_culmi-C162</f>
        <v>606.85741010931326</v>
      </c>
    </row>
    <row r="164" spans="2:6" x14ac:dyDescent="0.2">
      <c r="B164" s="231" t="e">
        <f ca="1">IF(AND(Altitude_culmi&gt;80, Altitude_culmi&lt;=350), 43, NA())</f>
        <v>#N/A</v>
      </c>
      <c r="C164" s="5">
        <v>23</v>
      </c>
      <c r="D164" s="82">
        <f t="shared" ca="1" si="0"/>
        <v>629.85741010931326</v>
      </c>
      <c r="E164" s="82"/>
      <c r="F164" s="214">
        <f t="shared" ca="1" si="1"/>
        <v>583.85741010931326</v>
      </c>
    </row>
    <row r="165" spans="2:6" x14ac:dyDescent="0.2">
      <c r="B165" s="231" t="e">
        <f ca="1">IF(AND(Altitude_culmi&gt;80, Altitude_culmi&lt;=350), 43, NA())</f>
        <v>#N/A</v>
      </c>
      <c r="C165" s="5">
        <v>0</v>
      </c>
      <c r="D165" s="82">
        <f t="shared" ca="1" si="0"/>
        <v>606.85741010931326</v>
      </c>
      <c r="E165" s="82"/>
      <c r="F165" s="214">
        <f t="shared" ca="1" si="1"/>
        <v>583.85741010931326</v>
      </c>
    </row>
    <row r="166" spans="2:6" x14ac:dyDescent="0.2">
      <c r="B166" s="231" t="e">
        <f ca="1">IF(AND(Altitude_culmi&gt;80, Altitude_culmi&lt;=350), 43, NA())</f>
        <v>#N/A</v>
      </c>
      <c r="C166" s="5">
        <v>23</v>
      </c>
      <c r="D166" s="82">
        <f t="shared" ca="1" si="0"/>
        <v>629.85741010931326</v>
      </c>
      <c r="E166" s="82"/>
      <c r="F166" s="214">
        <f t="shared" ca="1" si="1"/>
        <v>606.85741010931326</v>
      </c>
    </row>
    <row r="167" spans="2:6" x14ac:dyDescent="0.2">
      <c r="B167" s="231" t="e">
        <f ca="1">IF(AND(Altitude_culmi&gt;80, Altitude_culmi&lt;=350), 0.5, NA())</f>
        <v>#N/A</v>
      </c>
      <c r="C167" s="5">
        <v>23</v>
      </c>
      <c r="D167" s="82">
        <f t="shared" ca="1" si="0"/>
        <v>629.85741010931326</v>
      </c>
      <c r="E167" s="82"/>
      <c r="F167" s="214">
        <f t="shared" ca="1" si="1"/>
        <v>583.85741010931326</v>
      </c>
    </row>
    <row r="168" spans="2:6" x14ac:dyDescent="0.2">
      <c r="B168" s="231" t="e">
        <f ca="1">IF(AND(Altitude_culmi&gt;80, Altitude_culmi&lt;=350), 0.5, NA())</f>
        <v>#N/A</v>
      </c>
      <c r="C168" s="5">
        <v>8</v>
      </c>
      <c r="D168" s="82">
        <f t="shared" ca="1" si="0"/>
        <v>614.85741010931326</v>
      </c>
      <c r="E168" s="82"/>
      <c r="F168" s="214">
        <f t="shared" ca="1" si="1"/>
        <v>583.85741010931326</v>
      </c>
    </row>
    <row r="169" spans="2:6" x14ac:dyDescent="0.2">
      <c r="B169" s="231" t="e">
        <f ca="1">IF(AND(Altitude_culmi&gt;80, Altitude_culmi&lt;=350), 27, NA())</f>
        <v>#N/A</v>
      </c>
      <c r="C169" s="5">
        <v>8</v>
      </c>
      <c r="D169" s="82">
        <f t="shared" ca="1" si="0"/>
        <v>614.85741010931326</v>
      </c>
      <c r="E169" s="82"/>
      <c r="F169" s="214">
        <f t="shared" ca="1" si="1"/>
        <v>598.85741010931326</v>
      </c>
    </row>
    <row r="170" spans="2:6" x14ac:dyDescent="0.2">
      <c r="B170" s="231" t="e">
        <f ca="1">IF(AND(Altitude_culmi&gt;80, Altitude_culmi&lt;=350), 27, NA())</f>
        <v>#N/A</v>
      </c>
      <c r="C170" s="5">
        <v>23</v>
      </c>
      <c r="D170" s="82">
        <f t="shared" ca="1" si="0"/>
        <v>629.85741010931326</v>
      </c>
      <c r="E170" s="82"/>
      <c r="F170" s="214">
        <f t="shared" ca="1" si="1"/>
        <v>598.85741010931326</v>
      </c>
    </row>
    <row r="171" spans="2:6" x14ac:dyDescent="0.2">
      <c r="B171" s="231" t="e">
        <f ca="1">IF(AND(Altitude_culmi&gt;80, Altitude_culmi&lt;=350), 27, NA())</f>
        <v>#N/A</v>
      </c>
      <c r="C171" s="5">
        <v>8</v>
      </c>
      <c r="D171" s="82">
        <f t="shared" ca="1" si="0"/>
        <v>614.85741010931326</v>
      </c>
      <c r="E171" s="82"/>
      <c r="F171" s="214">
        <f t="shared" ca="1" si="1"/>
        <v>583.85741010931326</v>
      </c>
    </row>
    <row r="172" spans="2:6" x14ac:dyDescent="0.2">
      <c r="B172" s="231" t="e">
        <f ca="1">IF(AND(Altitude_culmi&gt;80, Altitude_culmi&lt;=350), 29, NA())</f>
        <v>#N/A</v>
      </c>
      <c r="C172" s="5">
        <v>7.6</v>
      </c>
      <c r="D172" s="82">
        <f t="shared" ca="1" si="0"/>
        <v>614.45741010931329</v>
      </c>
      <c r="E172" s="82"/>
      <c r="F172" s="214">
        <f t="shared" ca="1" si="1"/>
        <v>598.85741010931326</v>
      </c>
    </row>
    <row r="173" spans="2:6" x14ac:dyDescent="0.2">
      <c r="B173" s="231" t="e">
        <f ca="1">IF(AND(Altitude_culmi&gt;80, Altitude_culmi&lt;=350), 31, NA())</f>
        <v>#N/A</v>
      </c>
      <c r="C173" s="5">
        <v>6.8</v>
      </c>
      <c r="D173" s="82">
        <f t="shared" ca="1" si="0"/>
        <v>613.65741010931322</v>
      </c>
      <c r="E173" s="82"/>
      <c r="F173" s="214">
        <f t="shared" ca="1" si="1"/>
        <v>599.25741010931324</v>
      </c>
    </row>
    <row r="174" spans="2:6" x14ac:dyDescent="0.2">
      <c r="B174" s="231" t="e">
        <f ca="1">IF(AND(Altitude_culmi&gt;80, Altitude_culmi&lt;=350), 32, NA())</f>
        <v>#N/A</v>
      </c>
      <c r="C174" s="5">
        <v>6</v>
      </c>
      <c r="D174" s="82">
        <f t="shared" ca="1" si="0"/>
        <v>612.85741010931326</v>
      </c>
      <c r="E174" s="82"/>
      <c r="F174" s="214">
        <f t="shared" ca="1" si="1"/>
        <v>600.05741010931331</v>
      </c>
    </row>
    <row r="175" spans="2:6" x14ac:dyDescent="0.2">
      <c r="B175" s="231" t="e">
        <f ca="1">IF(AND(Altitude_culmi&gt;80, Altitude_culmi&lt;=350), 33, NA())</f>
        <v>#N/A</v>
      </c>
      <c r="C175" s="5">
        <v>5</v>
      </c>
      <c r="D175" s="82">
        <f t="shared" ca="1" si="0"/>
        <v>611.85741010931326</v>
      </c>
      <c r="E175" s="82"/>
      <c r="F175" s="214">
        <f t="shared" ca="1" si="1"/>
        <v>600.85741010931326</v>
      </c>
    </row>
    <row r="176" spans="2:6" x14ac:dyDescent="0.2">
      <c r="B176" s="231" t="e">
        <f ca="1">IF(AND(Altitude_culmi&gt;80, Altitude_culmi&lt;=350), 34, NA())</f>
        <v>#N/A</v>
      </c>
      <c r="C176" s="5">
        <v>3.8</v>
      </c>
      <c r="D176" s="82">
        <f t="shared" ca="1" si="0"/>
        <v>610.65741010931322</v>
      </c>
      <c r="E176" s="82"/>
      <c r="F176" s="214">
        <f t="shared" ca="1" si="1"/>
        <v>601.85741010931326</v>
      </c>
    </row>
    <row r="177" spans="2:6" x14ac:dyDescent="0.2">
      <c r="B177" s="229" t="e">
        <f ca="1">IF(AND(Altitude_culmi&gt;80, Altitude_culmi&lt;=350), 35, NA())</f>
        <v>#N/A</v>
      </c>
      <c r="C177" s="421">
        <v>0</v>
      </c>
      <c r="D177" s="230">
        <f t="shared" ca="1" si="0"/>
        <v>606.85741010931326</v>
      </c>
      <c r="E177" s="82"/>
      <c r="F177" s="214">
        <f t="shared" ca="1" si="1"/>
        <v>603.05741010931331</v>
      </c>
    </row>
    <row r="178" spans="2:6" x14ac:dyDescent="0.2">
      <c r="E178" s="230"/>
      <c r="F178" s="216">
        <f t="shared" ca="1" si="1"/>
        <v>606.85741010931326</v>
      </c>
    </row>
    <row r="179" spans="2:6" x14ac:dyDescent="0.2">
      <c r="B179" s="210" t="s">
        <v>306</v>
      </c>
      <c r="C179" s="228" t="s">
        <v>307</v>
      </c>
      <c r="D179" s="228" t="s">
        <v>308</v>
      </c>
    </row>
    <row r="180" spans="2:6" x14ac:dyDescent="0.2">
      <c r="B180" s="231">
        <f ca="1">IF(Altitude_culmi&gt;350, 324, NA())</f>
        <v>324</v>
      </c>
      <c r="C180" s="5">
        <v>0</v>
      </c>
      <c r="D180" s="82">
        <f t="shared" ref="D180:D200" ca="1" si="2">X_culmi+C180</f>
        <v>606.85741010931326</v>
      </c>
      <c r="E180" s="228"/>
      <c r="F180" s="211" t="s">
        <v>308</v>
      </c>
    </row>
    <row r="181" spans="2:6" x14ac:dyDescent="0.2">
      <c r="B181" s="231">
        <f ca="1">IF(Altitude_culmi&gt;350, 300, NA())</f>
        <v>300</v>
      </c>
      <c r="C181" s="5">
        <v>0</v>
      </c>
      <c r="D181" s="82">
        <f t="shared" ca="1" si="2"/>
        <v>606.85741010931326</v>
      </c>
      <c r="E181" s="82"/>
      <c r="F181" s="214">
        <f t="shared" ref="F181:F201" ca="1" si="3">X_culmi-C180</f>
        <v>606.85741010931326</v>
      </c>
    </row>
    <row r="182" spans="2:6" x14ac:dyDescent="0.2">
      <c r="B182" s="231">
        <f ca="1">IF(Altitude_culmi&gt;350, 280, NA())</f>
        <v>280</v>
      </c>
      <c r="C182" s="5">
        <v>10</v>
      </c>
      <c r="D182" s="82">
        <f t="shared" ca="1" si="2"/>
        <v>616.85741010931326</v>
      </c>
      <c r="E182" s="82"/>
      <c r="F182" s="214">
        <f t="shared" ca="1" si="3"/>
        <v>606.85741010931326</v>
      </c>
    </row>
    <row r="183" spans="2:6" x14ac:dyDescent="0.2">
      <c r="B183" s="231">
        <f ca="1">IF(Altitude_culmi&gt;350, 280, NA())</f>
        <v>280</v>
      </c>
      <c r="C183" s="5">
        <v>0</v>
      </c>
      <c r="D183" s="82">
        <f t="shared" ca="1" si="2"/>
        <v>606.85741010931326</v>
      </c>
      <c r="E183" s="82"/>
      <c r="F183" s="214">
        <f t="shared" ca="1" si="3"/>
        <v>596.85741010931326</v>
      </c>
    </row>
    <row r="184" spans="2:6" x14ac:dyDescent="0.2">
      <c r="B184" s="231">
        <f ca="1">IF(Altitude_culmi&gt;350, 280, NA())</f>
        <v>280</v>
      </c>
      <c r="C184" s="5">
        <v>10</v>
      </c>
      <c r="D184" s="82">
        <f t="shared" ca="1" si="2"/>
        <v>616.85741010931326</v>
      </c>
      <c r="E184" s="82"/>
      <c r="F184" s="214">
        <f t="shared" ca="1" si="3"/>
        <v>606.85741010931326</v>
      </c>
    </row>
    <row r="185" spans="2:6" x14ac:dyDescent="0.2">
      <c r="B185" s="231">
        <f ca="1">IF(Altitude_culmi&gt;350, 200, NA())</f>
        <v>200</v>
      </c>
      <c r="C185" s="5">
        <v>13</v>
      </c>
      <c r="D185" s="82">
        <f t="shared" ca="1" si="2"/>
        <v>619.85741010931326</v>
      </c>
      <c r="E185" s="82"/>
      <c r="F185" s="214">
        <f t="shared" ca="1" si="3"/>
        <v>596.85741010931326</v>
      </c>
    </row>
    <row r="186" spans="2:6" x14ac:dyDescent="0.2">
      <c r="B186" s="231">
        <f ca="1">IF(Altitude_culmi&gt;350, 160, NA())</f>
        <v>160</v>
      </c>
      <c r="C186" s="5">
        <v>17</v>
      </c>
      <c r="D186" s="82">
        <f t="shared" ca="1" si="2"/>
        <v>623.85741010931326</v>
      </c>
      <c r="E186" s="82"/>
      <c r="F186" s="214">
        <f t="shared" ca="1" si="3"/>
        <v>593.85741010931326</v>
      </c>
    </row>
    <row r="187" spans="2:6" x14ac:dyDescent="0.2">
      <c r="B187" s="231">
        <f ca="1">IF(Altitude_culmi&gt;350, 115, NA())</f>
        <v>115</v>
      </c>
      <c r="C187" s="5">
        <v>20</v>
      </c>
      <c r="D187" s="82">
        <f t="shared" ca="1" si="2"/>
        <v>626.85741010931326</v>
      </c>
      <c r="E187" s="82"/>
      <c r="F187" s="214">
        <f t="shared" ca="1" si="3"/>
        <v>589.85741010931326</v>
      </c>
    </row>
    <row r="188" spans="2:6" x14ac:dyDescent="0.2">
      <c r="B188" s="231">
        <f ca="1">IF(Altitude_culmi&gt;350, 90, NA())</f>
        <v>90</v>
      </c>
      <c r="C188" s="5">
        <v>25</v>
      </c>
      <c r="D188" s="82">
        <f t="shared" ca="1" si="2"/>
        <v>631.85741010931326</v>
      </c>
      <c r="E188" s="82"/>
      <c r="F188" s="214">
        <f t="shared" ca="1" si="3"/>
        <v>586.85741010931326</v>
      </c>
    </row>
    <row r="189" spans="2:6" x14ac:dyDescent="0.2">
      <c r="B189" s="231">
        <f ca="1">IF(Altitude_culmi&gt;350, 57, NA())</f>
        <v>57</v>
      </c>
      <c r="C189" s="5">
        <v>30</v>
      </c>
      <c r="D189" s="82">
        <f t="shared" ca="1" si="2"/>
        <v>636.85741010931326</v>
      </c>
      <c r="E189" s="82"/>
      <c r="F189" s="214">
        <f t="shared" ca="1" si="3"/>
        <v>581.85741010931326</v>
      </c>
    </row>
    <row r="190" spans="2:6" x14ac:dyDescent="0.2">
      <c r="B190" s="231">
        <f ca="1">IF(Altitude_culmi&gt;350, 40, NA())</f>
        <v>40</v>
      </c>
      <c r="C190" s="5">
        <v>36</v>
      </c>
      <c r="D190" s="82">
        <f t="shared" ca="1" si="2"/>
        <v>642.85741010931326</v>
      </c>
      <c r="E190" s="82"/>
      <c r="F190" s="214">
        <f t="shared" ca="1" si="3"/>
        <v>576.85741010931326</v>
      </c>
    </row>
    <row r="191" spans="2:6" x14ac:dyDescent="0.2">
      <c r="B191" s="231">
        <f ca="1">IF(Altitude_culmi&gt;350, 20, NA())</f>
        <v>20</v>
      </c>
      <c r="C191" s="5">
        <v>48</v>
      </c>
      <c r="D191" s="82">
        <f t="shared" ca="1" si="2"/>
        <v>654.85741010931326</v>
      </c>
      <c r="E191" s="82"/>
      <c r="F191" s="214">
        <f t="shared" ca="1" si="3"/>
        <v>570.85741010931326</v>
      </c>
    </row>
    <row r="192" spans="2:6" x14ac:dyDescent="0.2">
      <c r="B192" s="231">
        <f ca="1">IF(Altitude_culmi&gt;350, 0.5, NA())</f>
        <v>0.5</v>
      </c>
      <c r="C192" s="5">
        <v>62</v>
      </c>
      <c r="D192" s="82">
        <f t="shared" ca="1" si="2"/>
        <v>668.85741010931326</v>
      </c>
      <c r="E192" s="82"/>
      <c r="F192" s="214">
        <f t="shared" ca="1" si="3"/>
        <v>558.85741010931326</v>
      </c>
    </row>
    <row r="193" spans="2:6" x14ac:dyDescent="0.2">
      <c r="B193" s="231">
        <f ca="1">IF(Altitude_culmi&gt;350, 0.5, NA())</f>
        <v>0.5</v>
      </c>
      <c r="C193" s="5">
        <v>37</v>
      </c>
      <c r="D193" s="82">
        <f t="shared" ca="1" si="2"/>
        <v>643.85741010931326</v>
      </c>
      <c r="E193" s="82"/>
      <c r="F193" s="214">
        <f t="shared" ca="1" si="3"/>
        <v>544.85741010931326</v>
      </c>
    </row>
    <row r="194" spans="2:6" x14ac:dyDescent="0.2">
      <c r="B194" s="231">
        <f ca="1">IF(Altitude_culmi&gt;350, 15, NA())</f>
        <v>15</v>
      </c>
      <c r="C194" s="5">
        <v>30</v>
      </c>
      <c r="D194" s="82">
        <f t="shared" ca="1" si="2"/>
        <v>636.85741010931326</v>
      </c>
      <c r="E194" s="82"/>
      <c r="F194" s="214">
        <f t="shared" ca="1" si="3"/>
        <v>569.85741010931326</v>
      </c>
    </row>
    <row r="195" spans="2:6" x14ac:dyDescent="0.2">
      <c r="B195" s="231">
        <f ca="1">IF(Altitude_culmi&gt;350, 30, NA())</f>
        <v>30</v>
      </c>
      <c r="C195" s="5">
        <v>15</v>
      </c>
      <c r="D195" s="82">
        <f t="shared" ca="1" si="2"/>
        <v>621.85741010931326</v>
      </c>
      <c r="E195" s="82"/>
      <c r="F195" s="214">
        <f t="shared" ca="1" si="3"/>
        <v>576.85741010931326</v>
      </c>
    </row>
    <row r="196" spans="2:6" x14ac:dyDescent="0.2">
      <c r="B196" s="231">
        <f ca="1">IF(Altitude_culmi&gt;350, 37, NA())</f>
        <v>37</v>
      </c>
      <c r="C196" s="5">
        <v>0</v>
      </c>
      <c r="D196" s="82">
        <f t="shared" ca="1" si="2"/>
        <v>606.85741010931326</v>
      </c>
      <c r="E196" s="82"/>
      <c r="F196" s="214">
        <f t="shared" ca="1" si="3"/>
        <v>591.85741010931326</v>
      </c>
    </row>
    <row r="197" spans="2:6" x14ac:dyDescent="0.2">
      <c r="B197" s="231">
        <f ca="1">IF(Altitude_culmi&gt;350, 67, NA())</f>
        <v>67</v>
      </c>
      <c r="C197" s="5">
        <v>0</v>
      </c>
      <c r="D197" s="82">
        <f t="shared" ca="1" si="2"/>
        <v>606.85741010931326</v>
      </c>
      <c r="E197" s="82"/>
      <c r="F197" s="214">
        <f t="shared" ca="1" si="3"/>
        <v>606.85741010931326</v>
      </c>
    </row>
    <row r="198" spans="2:6" x14ac:dyDescent="0.2">
      <c r="B198" s="231">
        <f ca="1">IF(Altitude_culmi&gt;350, 67, NA())</f>
        <v>67</v>
      </c>
      <c r="C198" s="5">
        <v>17</v>
      </c>
      <c r="D198" s="82">
        <f t="shared" ca="1" si="2"/>
        <v>623.85741010931326</v>
      </c>
      <c r="E198" s="82"/>
      <c r="F198" s="214">
        <f t="shared" ca="1" si="3"/>
        <v>606.85741010931326</v>
      </c>
    </row>
    <row r="199" spans="2:6" x14ac:dyDescent="0.2">
      <c r="B199" s="231">
        <f ca="1">IF(Altitude_culmi&gt;350, 100, NA())</f>
        <v>100</v>
      </c>
      <c r="C199" s="5">
        <v>11</v>
      </c>
      <c r="D199" s="82">
        <f t="shared" ca="1" si="2"/>
        <v>617.85741010931326</v>
      </c>
      <c r="E199" s="82"/>
      <c r="F199" s="214">
        <f t="shared" ca="1" si="3"/>
        <v>589.85741010931326</v>
      </c>
    </row>
    <row r="200" spans="2:6" x14ac:dyDescent="0.2">
      <c r="B200" s="229">
        <f ca="1">IF(Altitude_culmi&gt;350, 100, NA())</f>
        <v>100</v>
      </c>
      <c r="C200" s="421">
        <v>0</v>
      </c>
      <c r="D200" s="230">
        <f t="shared" ca="1" si="2"/>
        <v>606.85741010931326</v>
      </c>
      <c r="E200" s="82"/>
      <c r="F200" s="214">
        <f t="shared" ca="1" si="3"/>
        <v>595.85741010931326</v>
      </c>
    </row>
    <row r="201" spans="2:6" x14ac:dyDescent="0.2">
      <c r="E201" s="230"/>
      <c r="F201" s="216">
        <f t="shared" ca="1" si="3"/>
        <v>606.85741010931326</v>
      </c>
    </row>
  </sheetData>
  <sheetProtection algorithmName="SHA-512" hashValue="54/g8dQ2RC65LqncMwJ2cd0LY+Ermcd3MHxRhdQ+5eIlTGzg9ayjpzMYUZU3QN55EKjPPfR4x04d0m+MFsILQw==" saltValue="8KZEyW6NBSE9XCBw0cMAWg==" spinCount="100000" sheet="1" objects="1" scenarios="1"/>
  <protectedRanges>
    <protectedRange sqref="C26" name="Plage1"/>
  </protectedRanges>
  <mergeCells count="43">
    <mergeCell ref="F51:G51"/>
    <mergeCell ref="F42:G42"/>
    <mergeCell ref="F43:G43"/>
    <mergeCell ref="F44:G44"/>
    <mergeCell ref="F45:G45"/>
    <mergeCell ref="F50:G50"/>
    <mergeCell ref="F46:G46"/>
    <mergeCell ref="F47:G47"/>
    <mergeCell ref="F49:G49"/>
    <mergeCell ref="F48:G48"/>
    <mergeCell ref="C16:D16"/>
    <mergeCell ref="C11:D11"/>
    <mergeCell ref="C20:D20"/>
    <mergeCell ref="C21:D21"/>
    <mergeCell ref="C12:D12"/>
    <mergeCell ref="C14:D14"/>
    <mergeCell ref="C15:D15"/>
    <mergeCell ref="C19:D19"/>
    <mergeCell ref="C23:D23"/>
    <mergeCell ref="C18:D18"/>
    <mergeCell ref="F24:G24"/>
    <mergeCell ref="F28:G28"/>
    <mergeCell ref="F27:G27"/>
    <mergeCell ref="F25:G25"/>
    <mergeCell ref="F26:G26"/>
    <mergeCell ref="H35:I35"/>
    <mergeCell ref="H34:I34"/>
    <mergeCell ref="F29:G29"/>
    <mergeCell ref="H33:I33"/>
    <mergeCell ref="A40:D40"/>
    <mergeCell ref="H36:I36"/>
    <mergeCell ref="F36:G36"/>
    <mergeCell ref="F35:G35"/>
    <mergeCell ref="F34:G34"/>
    <mergeCell ref="F40:G40"/>
    <mergeCell ref="C10:D10"/>
    <mergeCell ref="C5:D5"/>
    <mergeCell ref="C2:D3"/>
    <mergeCell ref="C7:D7"/>
    <mergeCell ref="C8:D8"/>
    <mergeCell ref="C9:D9"/>
    <mergeCell ref="C6:D6"/>
    <mergeCell ref="C4:D4"/>
  </mergeCells>
  <phoneticPr fontId="8" type="noConversion"/>
  <conditionalFormatting sqref="C27">
    <cfRule type="expression" dxfId="25" priority="247" stopIfTrue="1">
      <formula>NOT(OR(C26=F110,C26=F104))</formula>
    </cfRule>
  </conditionalFormatting>
  <conditionalFormatting sqref="C32">
    <cfRule type="cellIs" dxfId="24" priority="42" stopIfTrue="1" operator="notBetween">
      <formula>5</formula>
      <formula>15</formula>
    </cfRule>
  </conditionalFormatting>
  <conditionalFormatting sqref="D25">
    <cfRule type="expression" dxfId="23" priority="39" stopIfTrue="1">
      <formula>Nb_sat="0 satellite"</formula>
    </cfRule>
  </conditionalFormatting>
  <conditionalFormatting sqref="D26">
    <cfRule type="expression" dxfId="22" priority="2" stopIfTrue="1">
      <formula>Nb_sat="0 satellite"</formula>
    </cfRule>
  </conditionalFormatting>
  <conditionalFormatting sqref="D27:D31 D33:D35">
    <cfRule type="expression" dxfId="21" priority="59" stopIfTrue="1">
      <formula>Nb_sat="0 satellite"</formula>
    </cfRule>
  </conditionalFormatting>
  <conditionalFormatting sqref="D32">
    <cfRule type="expression" dxfId="20" priority="40" stopIfTrue="1">
      <formula>Nb_sat="0 satellite"</formula>
    </cfRule>
    <cfRule type="cellIs" dxfId="19" priority="49" stopIfTrue="1" operator="notBetween">
      <formula>5</formula>
      <formula>15</formula>
    </cfRule>
  </conditionalFormatting>
  <conditionalFormatting sqref="F26">
    <cfRule type="expression" dxfId="18" priority="26" stopIfTrue="1">
      <formula>Nb_sat="0 satellite"</formula>
    </cfRule>
  </conditionalFormatting>
  <conditionalFormatting sqref="F36:I36 F50:M50">
    <cfRule type="expression" dxfId="17" priority="22" stopIfTrue="1">
      <formula>Nb_sat="0 satellite"</formula>
    </cfRule>
  </conditionalFormatting>
  <conditionalFormatting sqref="F51:M51">
    <cfRule type="expression" dxfId="16" priority="21" stopIfTrue="1">
      <formula>Nb_sat="0 satellite"</formula>
    </cfRule>
  </conditionalFormatting>
  <conditionalFormatting sqref="H28 H48">
    <cfRule type="expression" dxfId="15" priority="4" stopIfTrue="1">
      <formula>ABS(Temps_culmi-T_para)&gt;2</formula>
    </cfRule>
  </conditionalFormatting>
  <conditionalFormatting sqref="H34:I34">
    <cfRule type="cellIs" dxfId="14" priority="14" stopIfTrue="1" operator="equal">
      <formula>"Brun/Orange…"</formula>
    </cfRule>
  </conditionalFormatting>
  <conditionalFormatting sqref="H35:I35">
    <cfRule type="cellIs" dxfId="13" priority="13" stopIfTrue="1" operator="equal">
      <formula>"Rouge…"</formula>
    </cfRule>
  </conditionalFormatting>
  <conditionalFormatting sqref="H26:M26">
    <cfRule type="expression" dxfId="12" priority="41" stopIfTrue="1">
      <formula>Nb_sat="0 satellite"</formula>
    </cfRule>
  </conditionalFormatting>
  <conditionalFormatting sqref="J29 J47">
    <cfRule type="expression" dxfId="11" priority="6" stopIfTrue="1">
      <formula>AND(Portee_balistique&gt;200,LEFT(Type_propu,4)="Mini")</formula>
    </cfRule>
  </conditionalFormatting>
  <conditionalFormatting sqref="K24 K43">
    <cfRule type="expression" dxfId="10" priority="44" stopIfTrue="1">
      <formula>AND(Vsortie_de_rampe&lt;18, OR(LEFT(Type_fusee,1)=",",LEFT(Type_fusee,4)="Mini",LEFT(Type_fusee,1)="R"))</formula>
    </cfRule>
    <cfRule type="expression" dxfId="9" priority="45" stopIfTrue="1">
      <formula>AND(Vsortie_de_rampe&lt;20, RIGHT(Type_fusee,1)=".")</formula>
    </cfRule>
  </conditionalFormatting>
  <conditionalFormatting sqref="K42">
    <cfRule type="expression" dxfId="8" priority="34" stopIfTrue="1">
      <formula>AND( $K$22=0, OR( $I$22&gt;0, $J$22&gt;0 ) )</formula>
    </cfRule>
  </conditionalFormatting>
  <conditionalFormatting sqref="N35">
    <cfRule type="expression" dxfId="7" priority="15" stopIfTrue="1">
      <formula>ROUND(SUM(C24:L36),0)=2221</formula>
    </cfRule>
  </conditionalFormatting>
  <conditionalFormatting sqref="N36">
    <cfRule type="expression" dxfId="6" priority="244" stopIfTrue="1">
      <formula>$N$36="propu NOK"</formula>
    </cfRule>
  </conditionalFormatting>
  <dataValidations count="15">
    <dataValidation type="decimal" operator="greaterThanOrEqual" showErrorMessage="1" sqref="H42:K42 C31 D27:D29 C27" xr:uid="{00000000-0002-0000-0100-000000000000}">
      <formula1>0</formula1>
    </dataValidation>
    <dataValidation type="list" allowBlank="1" showInputMessage="1" showErrorMessage="1" sqref="H52" xr:uid="{00000000-0002-0000-0100-000001000000}">
      <formula1>gao</formula1>
    </dataValidation>
    <dataValidation operator="greaterThanOrEqual" showErrorMessage="1" sqref="D31 C29" xr:uid="{00000000-0002-0000-0100-000002000000}"/>
    <dataValidation type="decimal" errorStyle="warning" allowBlank="1" showErrorMessage="1" errorTitle="Cx para" error="Le Cx du parachute est souvent compris entre 0 et 2._x000a_Cx of parachute might be between 0 a 2." sqref="C30:D30" xr:uid="{00000000-0002-0000-0100-000003000000}">
      <formula1>0</formula1>
      <formula2>2</formula2>
    </dataValidation>
    <dataValidation sqref="C12:D12" xr:uid="{00000000-0002-0000-0100-000004000000}"/>
    <dataValidation operator="greaterThanOrEqual" sqref="C11:D11" xr:uid="{00000000-0002-0000-0100-000005000000}"/>
    <dataValidation type="decimal" errorStyle="warning" showErrorMessage="1" errorTitle="Cx" error="Le Cx est souvent compris entre 0,3 et 0,7._x000a_Cx may be between 0,3 &amp; 0,7." sqref="C16:D16" xr:uid="{00000000-0002-0000-0100-000006000000}">
      <formula1>0.3</formula1>
      <formula2>0.7</formula2>
    </dataValidation>
    <dataValidation type="decimal" operator="greaterThanOrEqual" allowBlank="1" showErrorMessage="1" sqref="C19:D19" xr:uid="{00000000-0002-0000-0100-000007000000}">
      <formula1>0</formula1>
    </dataValidation>
    <dataValidation type="decimal" errorStyle="information" allowBlank="1" showInputMessage="1" showErrorMessage="1" errorTitle="Angle de la rampe" error="Il est conseillé d'incliner à rampe entre 75° et 85° par rapport à l'horizontale._x000a_This Angle is recommended between 75° &amp; 85°." sqref="C20:D20" xr:uid="{00000000-0002-0000-0100-000008000000}">
      <formula1>75</formula1>
      <formula2>85</formula2>
    </dataValidation>
    <dataValidation type="whole" operator="greaterThanOrEqual" allowBlank="1" showErrorMessage="1" sqref="C21:D21" xr:uid="{00000000-0002-0000-0100-000009000000}">
      <formula1>0</formula1>
    </dataValidation>
    <dataValidation type="whole" allowBlank="1" showErrorMessage="1" sqref="M42" xr:uid="{00000000-0002-0000-0100-00000A000000}">
      <formula1>-360</formula1>
      <formula2>360</formula2>
    </dataValidation>
    <dataValidation type="list" showInputMessage="1" showErrorMessage="1" sqref="D24" xr:uid="{00000000-0002-0000-0100-00000B000000}">
      <formula1>Menu_sat</formula1>
    </dataValidation>
    <dataValidation type="whole" operator="greaterThanOrEqual" showErrorMessage="1" sqref="B44 B46 B52 B54" xr:uid="{00000000-0002-0000-0100-00000C000000}">
      <formula1>0</formula1>
    </dataValidation>
    <dataValidation type="list" showInputMessage="1" showErrorMessage="1" sqref="C26" xr:uid="{00000000-0002-0000-0100-00000D000000}">
      <formula1>IF(Depotage&lt;&gt;0,IF(LEFT(Type_propu,5)="Micro",$F$110,$F$105:$F$110),$F$104)</formula1>
    </dataValidation>
    <dataValidation type="list" operator="greaterThanOrEqual" showErrorMessage="1" sqref="C28" xr:uid="{901BEB42-9630-4910-AFF4-B844211D2B99}">
      <formula1>Liste_Type_para</formula1>
    </dataValidation>
  </dataValidations>
  <hyperlinks>
    <hyperlink ref="B12" location="Stabilito!C17" display="Stabilito!C17" xr:uid="{00000000-0004-0000-0100-000000000000}"/>
  </hyperlinks>
  <printOptions horizontalCentered="1" verticalCentered="1"/>
  <pageMargins left="7.874015748031496E-2" right="7.874015748031496E-2" top="7.874015748031496E-2" bottom="7.874015748031496E-2" header="0" footer="0"/>
  <pageSetup paperSize="9" firstPageNumber="0" orientation="landscape" horizontalDpi="300" verticalDpi="300" r:id="rId1"/>
  <headerFooter alignWithMargins="0"/>
  <ignoredErrors>
    <ignoredError sqref="B127:B133 B139:B150 C152 C154 C139:C141 C143:C150 C127:C133" formula="1"/>
    <ignoredError sqref="H46:I46 H49 J46:M46" evalError="1"/>
    <ignoredError sqref="G105:G109" numberStoredAsText="1"/>
    <ignoredError sqref="D25" unlockedFormula="1"/>
  </ignoredErrors>
  <drawing r:id="rId2"/>
  <legacyDrawing r:id="rId3"/>
  <oleObjects>
    <mc:AlternateContent xmlns:mc="http://schemas.openxmlformats.org/markup-compatibility/2006">
      <mc:Choice Requires="x14">
        <oleObject progId="Equation.3" shapeId="1425294" r:id="rId4">
          <objectPr defaultSize="0" autoPict="0" r:id="rId5">
            <anchor moveWithCells="1">
              <from>
                <xdr:col>1</xdr:col>
                <xdr:colOff>28575</xdr:colOff>
                <xdr:row>94</xdr:row>
                <xdr:rowOff>76200</xdr:rowOff>
              </from>
              <to>
                <xdr:col>3</xdr:col>
                <xdr:colOff>762000</xdr:colOff>
                <xdr:row>100</xdr:row>
                <xdr:rowOff>95250</xdr:rowOff>
              </to>
            </anchor>
          </objectPr>
        </oleObject>
      </mc:Choice>
      <mc:Fallback>
        <oleObject progId="Equation.3" shapeId="1425294" r:id="rId4"/>
      </mc:Fallback>
    </mc:AlternateContent>
  </oleObjects>
  <mc:AlternateContent xmlns:mc="http://schemas.openxmlformats.org/markup-compatibility/2006">
    <mc:Choice Requires="x14">
      <controls>
        <mc:AlternateContent xmlns:mc="http://schemas.openxmlformats.org/markup-compatibility/2006">
          <mc:Choice Requires="x14">
            <control shapeId="1424424" r:id="rId6" name="Spinner 1064">
              <controlPr defaultSize="0" print="0" autoPict="0">
                <anchor moveWithCells="1" sizeWithCells="1">
                  <from>
                    <xdr:col>3</xdr:col>
                    <xdr:colOff>647700</xdr:colOff>
                    <xdr:row>9</xdr:row>
                    <xdr:rowOff>161925</xdr:rowOff>
                  </from>
                  <to>
                    <xdr:col>4</xdr:col>
                    <xdr:colOff>0</xdr:colOff>
                    <xdr:row>11</xdr:row>
                    <xdr:rowOff>9525</xdr:rowOff>
                  </to>
                </anchor>
              </controlPr>
            </control>
          </mc:Choice>
        </mc:AlternateContent>
        <mc:AlternateContent xmlns:mc="http://schemas.openxmlformats.org/markup-compatibility/2006">
          <mc:Choice Requires="x14">
            <control shapeId="1424589" r:id="rId7" name="Spinner 1229">
              <controlPr defaultSize="0" print="0" autoPict="0">
                <anchor moveWithCells="1" sizeWithCells="1">
                  <from>
                    <xdr:col>1</xdr:col>
                    <xdr:colOff>1181100</xdr:colOff>
                    <xdr:row>43</xdr:row>
                    <xdr:rowOff>9525</xdr:rowOff>
                  </from>
                  <to>
                    <xdr:col>2</xdr:col>
                    <xdr:colOff>0</xdr:colOff>
                    <xdr:row>44</xdr:row>
                    <xdr:rowOff>0</xdr:rowOff>
                  </to>
                </anchor>
              </controlPr>
            </control>
          </mc:Choice>
        </mc:AlternateContent>
        <mc:AlternateContent xmlns:mc="http://schemas.openxmlformats.org/markup-compatibility/2006">
          <mc:Choice Requires="x14">
            <control shapeId="1424590" r:id="rId8" name="Spinner 1230">
              <controlPr defaultSize="0" print="0" autoPict="0">
                <anchor moveWithCells="1" sizeWithCells="1">
                  <from>
                    <xdr:col>1</xdr:col>
                    <xdr:colOff>1181100</xdr:colOff>
                    <xdr:row>45</xdr:row>
                    <xdr:rowOff>9525</xdr:rowOff>
                  </from>
                  <to>
                    <xdr:col>2</xdr:col>
                    <xdr:colOff>0</xdr:colOff>
                    <xdr:row>46</xdr:row>
                    <xdr:rowOff>0</xdr:rowOff>
                  </to>
                </anchor>
              </controlPr>
            </control>
          </mc:Choice>
        </mc:AlternateContent>
        <mc:AlternateContent xmlns:mc="http://schemas.openxmlformats.org/markup-compatibility/2006">
          <mc:Choice Requires="x14">
            <control shapeId="1424591" r:id="rId9" name="Spinner 1231">
              <controlPr defaultSize="0" print="0" autoPict="0">
                <anchor moveWithCells="1" sizeWithCells="1">
                  <from>
                    <xdr:col>1</xdr:col>
                    <xdr:colOff>1181100</xdr:colOff>
                    <xdr:row>51</xdr:row>
                    <xdr:rowOff>9525</xdr:rowOff>
                  </from>
                  <to>
                    <xdr:col>2</xdr:col>
                    <xdr:colOff>0</xdr:colOff>
                    <xdr:row>52</xdr:row>
                    <xdr:rowOff>0</xdr:rowOff>
                  </to>
                </anchor>
              </controlPr>
            </control>
          </mc:Choice>
        </mc:AlternateContent>
        <mc:AlternateContent xmlns:mc="http://schemas.openxmlformats.org/markup-compatibility/2006">
          <mc:Choice Requires="x14">
            <control shapeId="4779462" r:id="rId10" name="Spinner 4550">
              <controlPr defaultSize="0" print="0" autoPict="0">
                <anchor moveWithCells="1" sizeWithCells="1">
                  <from>
                    <xdr:col>1</xdr:col>
                    <xdr:colOff>1181100</xdr:colOff>
                    <xdr:row>53</xdr:row>
                    <xdr:rowOff>9525</xdr:rowOff>
                  </from>
                  <to>
                    <xdr:col>2</xdr:col>
                    <xdr:colOff>0</xdr:colOff>
                    <xdr:row>54</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B75:B146"/>
  <sheetViews>
    <sheetView showGridLines="0" zoomScaleNormal="100" workbookViewId="0">
      <selection activeCell="M48" sqref="M48"/>
    </sheetView>
  </sheetViews>
  <sheetFormatPr baseColWidth="10" defaultRowHeight="12.75" x14ac:dyDescent="0.2"/>
  <sheetData>
    <row r="75" spans="2:2" x14ac:dyDescent="0.2">
      <c r="B75" t="s">
        <v>43</v>
      </c>
    </row>
    <row r="76" spans="2:2" x14ac:dyDescent="0.2">
      <c r="B76" t="str">
        <f>IF(Lang="Français","Ces courbes représentent la trajectoire de la fusée dans l'hypothèse d'une descente balistique (sans ouverture du parachute). ","These curves show the rocket trajectory in case of ballistic fall (without parachute).")</f>
        <v xml:space="preserve">Ces courbes représentent la trajectoire de la fusée dans l'hypothèse d'une descente balistique (sans ouverture du parachute). </v>
      </c>
    </row>
    <row r="77" spans="2:2" x14ac:dyDescent="0.2">
      <c r="B77" t="str">
        <f>IF(Lang="Français","L'accélération longitudinale gravitationnelle définit le mouvement (dérivée de la vitesse) : Acc = (Poussee - Traînée ± Poids) / m",IF(Lang="English","Longitudinal Gravitaionnal Acceleration defines the motion (velocity derivative) : Acc = (Thrust - Drag ± Weight)/m",""))</f>
        <v>L'accélération longitudinale gravitationnelle définit le mouvement (dérivée de la vitesse) : Acc = (Poussee - Traînée ± Poids) / m</v>
      </c>
    </row>
    <row r="78" spans="2:2" x14ac:dyDescent="0.2">
      <c r="B78" t="str">
        <f>IF(Lang="Français","La charge ''non-gravitationnelle'' vue par un capteur d'accélération (masse-ressort) est : Charge = (Poussée - Traînée) / m",IF(Lang="English","''Non-Gravitaionnal'' Load seen by an acceleration sensor (mass-spring) is : Load = (Thrust - Drag) / m",""))</f>
        <v>La charge ''non-gravitationnelle'' vue par un capteur d'accélération (masse-ressort) est : Charge = (Poussée - Traînée) / m</v>
      </c>
    </row>
    <row r="79" spans="2:2" x14ac:dyDescent="0.2">
      <c r="B79" t="str">
        <f>IF(Lang="Français","Exemples : Si Poussée = Poids, Vitesse constante, Acc nulle, Charge = 1G ; En chute libre, Acc = -1G, Charge = 0",IF(Lang="English","",""))</f>
        <v>Exemples : Si Poussée = Poids, Vitesse constante, Acc nulle, Charge = 1G ; En chute libre, Acc = -1G, Charge = 0</v>
      </c>
    </row>
    <row r="131" spans="2:2" x14ac:dyDescent="0.2">
      <c r="B131" s="24" t="str">
        <f>IF(Lang="Français","Textes pour les graphiques :","Texts for graphics :")</f>
        <v>Textes pour les graphiques :</v>
      </c>
    </row>
    <row r="133" spans="2:2" x14ac:dyDescent="0.2">
      <c r="B133" t="str">
        <f>IF(Lang="Français","Traînée",IF(Lang="English","Drag",""))</f>
        <v>Traînée</v>
      </c>
    </row>
    <row r="134" spans="2:2" x14ac:dyDescent="0.2">
      <c r="B134" t="str">
        <f>IF(Lang="Français","Poussée",IF(Lang="English","Thrust",""))</f>
        <v>Poussée</v>
      </c>
    </row>
    <row r="135" spans="2:2" x14ac:dyDescent="0.2">
      <c r="B135" t="str">
        <f>IF(Lang="Français","Poids",IF(Lang="English","Weight",""))</f>
        <v>Poids</v>
      </c>
    </row>
    <row r="137" spans="2:2" x14ac:dyDescent="0.2">
      <c r="B137" t="str">
        <f>IF(Lang="Français","Accélération longitudinale",IF(Lang="English","Longitudinal Acceleration",""))</f>
        <v>Accélération longitudinale</v>
      </c>
    </row>
    <row r="138" spans="2:2" x14ac:dyDescent="0.2">
      <c r="B138" t="str">
        <f>IF(Lang="Français","Charge vue par un capteur",IF(Lang="English","Load seen by a sensor",""))</f>
        <v>Charge vue par un capteur</v>
      </c>
    </row>
    <row r="140" spans="2:2" x14ac:dyDescent="0.2">
      <c r="B140" t="str">
        <f>IF(Lang="Français","Vitesse",IF(Lang="English","Velocity",""))</f>
        <v>Vitesse</v>
      </c>
    </row>
    <row r="141" spans="2:2" x14ac:dyDescent="0.2">
      <c r="B141" t="str">
        <f>IF(Lang="Français","Vitesse [m/s]",IF(Lang="English","Velocity [m/s]",""))</f>
        <v>Vitesse [m/s]</v>
      </c>
    </row>
    <row r="143" spans="2:2" x14ac:dyDescent="0.2">
      <c r="B143" t="s">
        <v>6</v>
      </c>
    </row>
    <row r="144" spans="2:2" x14ac:dyDescent="0.2">
      <c r="B144" t="str">
        <f>IF(Lang="Français","Portée",IF(Lang="English","Range",""))</f>
        <v>Portée</v>
      </c>
    </row>
    <row r="146" spans="2:2" x14ac:dyDescent="0.2">
      <c r="B146" t="str">
        <f>IF(Lang="Français","Temps [s]",IF(Lang="English","Time [s]",""))</f>
        <v>Temps [s]</v>
      </c>
    </row>
  </sheetData>
  <sheetProtection password="C6AC" sheet="1"/>
  <phoneticPr fontId="8" type="noConversion"/>
  <printOptions horizontalCentered="1" verticalCentered="1"/>
  <pageMargins left="0.39370078740157483" right="0.39370078740157483" top="0.39370078740157483" bottom="0.39370078740157483" header="0" footer="0"/>
  <pageSetup scale="76" firstPageNumber="0"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pageSetUpPr fitToPage="1"/>
  </sheetPr>
  <dimension ref="A1:Z346"/>
  <sheetViews>
    <sheetView showGridLines="0" zoomScale="80" zoomScaleNormal="80" workbookViewId="0">
      <selection activeCell="B2" sqref="B2"/>
    </sheetView>
  </sheetViews>
  <sheetFormatPr baseColWidth="10" defaultRowHeight="12.75" x14ac:dyDescent="0.2"/>
  <cols>
    <col min="1" max="1" width="22.5703125" bestFit="1" customWidth="1"/>
  </cols>
  <sheetData>
    <row r="1" spans="1:26" ht="13.5" thickBot="1" x14ac:dyDescent="0.25">
      <c r="A1" s="362" t="str">
        <f>IF(Lang="Français","Moteur sélectionné","Selected motor")</f>
        <v>Moteur sélectionné</v>
      </c>
      <c r="B1" s="362" t="s">
        <v>32</v>
      </c>
    </row>
    <row r="2" spans="1:26" ht="13.5" thickBot="1" x14ac:dyDescent="0.25">
      <c r="A2" s="352" t="str">
        <f>Propu</f>
        <v>Barasinga (Pro54-5G C)</v>
      </c>
      <c r="B2" s="352">
        <f>VLOOKUP(A2,A26:B314,2,FALSE)</f>
        <v>279</v>
      </c>
      <c r="C2" s="363" t="s">
        <v>115</v>
      </c>
      <c r="D2" s="353">
        <f ca="1">INDIRECT(ADDRESS(B2,4))</f>
        <v>2058.37</v>
      </c>
      <c r="E2" s="363" t="s">
        <v>114</v>
      </c>
      <c r="F2" s="354">
        <f ca="1">INDIRECT(ADDRESS(B2,6))</f>
        <v>203.12066731598335</v>
      </c>
      <c r="G2" s="363" t="s">
        <v>56</v>
      </c>
      <c r="H2" s="355">
        <f ca="1">INDIRECT(ADDRESS(B2,8))</f>
        <v>1.6850000000000001</v>
      </c>
      <c r="I2" s="363" t="s">
        <v>273</v>
      </c>
      <c r="J2" s="356">
        <f ca="1">INDIRECT(ADDRESS(B2,10))</f>
        <v>1.0329999999999999</v>
      </c>
      <c r="K2" s="363" t="s">
        <v>58</v>
      </c>
      <c r="L2" s="355">
        <f ca="1">INDIRECT(ADDRESS(B2,12))</f>
        <v>0.65200000000000002</v>
      </c>
      <c r="M2" s="363" t="s">
        <v>57</v>
      </c>
      <c r="N2" s="357">
        <f ca="1">INDIRECT(ADDRESS(B2,14))</f>
        <v>250</v>
      </c>
      <c r="O2" s="363" t="s">
        <v>59</v>
      </c>
      <c r="P2" s="357">
        <f ca="1">INDIRECT(ADDRESS(B2,16))</f>
        <v>240</v>
      </c>
      <c r="Q2" s="363" t="s">
        <v>60</v>
      </c>
      <c r="R2" s="357">
        <f ca="1">INDIRECT(ADDRESS(B2,18))</f>
        <v>488</v>
      </c>
      <c r="S2" s="363" t="s">
        <v>61</v>
      </c>
      <c r="T2" s="357">
        <f ca="1">INDIRECT(ADDRESS(B2,20))</f>
        <v>54</v>
      </c>
      <c r="U2" s="363" t="s">
        <v>54</v>
      </c>
      <c r="V2" s="358" t="str">
        <f ca="1">INDIRECT(ADDRESS(B2,22))</f>
        <v>Fusex</v>
      </c>
      <c r="W2" s="463" t="s">
        <v>394</v>
      </c>
      <c r="X2" s="464">
        <f ca="1">INDIRECT(ADDRESS(B2,24))</f>
        <v>0</v>
      </c>
      <c r="Y2" s="463" t="s">
        <v>393</v>
      </c>
      <c r="Z2" s="358">
        <f ca="1">INDIRECT(ADDRESS(B2,26))</f>
        <v>0</v>
      </c>
    </row>
    <row r="3" spans="1:26" x14ac:dyDescent="0.2">
      <c r="A3" s="362" t="str">
        <f>IF(Lang="Français","Temps (en s)","Time (s)")</f>
        <v>Temps (en s)</v>
      </c>
      <c r="B3" s="364">
        <f t="shared" ref="B3:Y3" ca="1" si="0">INDIRECT(ADDRESS($B2+1,COLUMN(B3)))</f>
        <v>0</v>
      </c>
      <c r="C3" s="365">
        <f t="shared" ca="1" si="0"/>
        <v>0.05</v>
      </c>
      <c r="D3" s="365">
        <f t="shared" ca="1" si="0"/>
        <v>0.5</v>
      </c>
      <c r="E3" s="365">
        <f t="shared" ca="1" si="0"/>
        <v>1</v>
      </c>
      <c r="F3" s="365">
        <f t="shared" ca="1" si="0"/>
        <v>1.5</v>
      </c>
      <c r="G3" s="365">
        <f t="shared" ca="1" si="0"/>
        <v>2</v>
      </c>
      <c r="H3" s="365">
        <f t="shared" ca="1" si="0"/>
        <v>2.5</v>
      </c>
      <c r="I3" s="365">
        <f t="shared" ca="1" si="0"/>
        <v>2.97</v>
      </c>
      <c r="J3" s="365">
        <f t="shared" ca="1" si="0"/>
        <v>3.2</v>
      </c>
      <c r="K3" s="365">
        <f t="shared" ca="1" si="0"/>
        <v>3.47</v>
      </c>
      <c r="L3" s="365">
        <f t="shared" ca="1" si="0"/>
        <v>3.59</v>
      </c>
      <c r="M3" s="365">
        <f t="shared" ca="1" si="0"/>
        <v>3.59</v>
      </c>
      <c r="N3" s="365">
        <f t="shared" ca="1" si="0"/>
        <v>3.59</v>
      </c>
      <c r="O3" s="365">
        <f t="shared" ca="1" si="0"/>
        <v>3.59</v>
      </c>
      <c r="P3" s="365">
        <f t="shared" ca="1" si="0"/>
        <v>3.59</v>
      </c>
      <c r="Q3" s="365">
        <f t="shared" ca="1" si="0"/>
        <v>3.59</v>
      </c>
      <c r="R3" s="365">
        <f t="shared" ca="1" si="0"/>
        <v>3.59</v>
      </c>
      <c r="S3" s="365">
        <f t="shared" ca="1" si="0"/>
        <v>3.59</v>
      </c>
      <c r="T3" s="365">
        <f t="shared" ca="1" si="0"/>
        <v>3.59</v>
      </c>
      <c r="U3" s="365">
        <f t="shared" ca="1" si="0"/>
        <v>3.59</v>
      </c>
      <c r="V3" s="365">
        <f t="shared" ca="1" si="0"/>
        <v>3.59</v>
      </c>
      <c r="W3" s="365">
        <f t="shared" ca="1" si="0"/>
        <v>3.59</v>
      </c>
      <c r="X3" s="365">
        <f ca="1">INDIRECT(ADDRESS($B2+1,COLUMN(X3)))</f>
        <v>3.59</v>
      </c>
      <c r="Y3" s="366">
        <f t="shared" ca="1" si="0"/>
        <v>1000</v>
      </c>
    </row>
    <row r="4" spans="1:26" ht="13.5" thickBot="1" x14ac:dyDescent="0.25">
      <c r="A4" s="379" t="str">
        <f>IF(Lang="Français","Poussée (en N)","Thrust (N)")</f>
        <v>Poussée (en N)</v>
      </c>
      <c r="B4" s="367">
        <f t="shared" ref="B4:Y4" ca="1" si="1">INDIRECT(ADDRESS($B2+2,COLUMN(B3)))</f>
        <v>0</v>
      </c>
      <c r="C4" s="368">
        <f t="shared" ca="1" si="1"/>
        <v>893</v>
      </c>
      <c r="D4" s="368">
        <f t="shared" ca="1" si="1"/>
        <v>798</v>
      </c>
      <c r="E4" s="368">
        <f t="shared" ca="1" si="1"/>
        <v>739</v>
      </c>
      <c r="F4" s="368">
        <f t="shared" ca="1" si="1"/>
        <v>659</v>
      </c>
      <c r="G4" s="368">
        <f t="shared" ca="1" si="1"/>
        <v>586</v>
      </c>
      <c r="H4" s="368">
        <f t="shared" ca="1" si="1"/>
        <v>513</v>
      </c>
      <c r="I4" s="368">
        <f t="shared" ca="1" si="1"/>
        <v>417</v>
      </c>
      <c r="J4" s="368">
        <f t="shared" ca="1" si="1"/>
        <v>225</v>
      </c>
      <c r="K4" s="368">
        <f t="shared" ca="1" si="1"/>
        <v>67</v>
      </c>
      <c r="L4" s="368">
        <f t="shared" ca="1" si="1"/>
        <v>0</v>
      </c>
      <c r="M4" s="368">
        <f t="shared" ca="1" si="1"/>
        <v>0</v>
      </c>
      <c r="N4" s="368">
        <f t="shared" ca="1" si="1"/>
        <v>0</v>
      </c>
      <c r="O4" s="368">
        <f t="shared" ca="1" si="1"/>
        <v>0</v>
      </c>
      <c r="P4" s="368">
        <f t="shared" ca="1" si="1"/>
        <v>0</v>
      </c>
      <c r="Q4" s="368">
        <f t="shared" ca="1" si="1"/>
        <v>0</v>
      </c>
      <c r="R4" s="368">
        <f t="shared" ca="1" si="1"/>
        <v>0</v>
      </c>
      <c r="S4" s="368">
        <f t="shared" ca="1" si="1"/>
        <v>0</v>
      </c>
      <c r="T4" s="368">
        <f t="shared" ca="1" si="1"/>
        <v>0</v>
      </c>
      <c r="U4" s="368">
        <f t="shared" ca="1" si="1"/>
        <v>0</v>
      </c>
      <c r="V4" s="368">
        <f t="shared" ca="1" si="1"/>
        <v>0</v>
      </c>
      <c r="W4" s="368">
        <f t="shared" ca="1" si="1"/>
        <v>0</v>
      </c>
      <c r="X4" s="368">
        <f ca="1">INDIRECT(ADDRESS($B2+2,COLUMN(X3)))</f>
        <v>0</v>
      </c>
      <c r="Y4" s="369">
        <f t="shared" ca="1" si="1"/>
        <v>0</v>
      </c>
    </row>
    <row r="5" spans="1:26" x14ac:dyDescent="0.2">
      <c r="B5" s="12"/>
      <c r="C5" s="12"/>
      <c r="D5" s="12"/>
      <c r="E5" s="12"/>
      <c r="F5" s="12"/>
      <c r="G5" s="12"/>
      <c r="H5" s="12"/>
      <c r="I5" s="12"/>
      <c r="J5" s="12"/>
      <c r="K5" s="12"/>
      <c r="L5" s="12"/>
      <c r="M5" s="12"/>
      <c r="N5" s="12"/>
      <c r="O5" s="12"/>
      <c r="P5" s="12"/>
      <c r="Q5" s="12"/>
      <c r="R5" s="12"/>
      <c r="S5" s="12"/>
      <c r="T5" s="12"/>
      <c r="U5" s="12"/>
      <c r="V5" s="12"/>
      <c r="W5" s="12"/>
      <c r="X5" s="12"/>
      <c r="Y5" s="12"/>
    </row>
    <row r="6" spans="1:26" x14ac:dyDescent="0.2">
      <c r="B6" s="12"/>
      <c r="C6" s="12"/>
      <c r="D6" s="12"/>
      <c r="E6" s="12"/>
      <c r="F6" s="12"/>
      <c r="G6" s="12"/>
      <c r="H6" s="12"/>
      <c r="I6" s="12"/>
      <c r="J6" s="12"/>
      <c r="K6" s="12"/>
      <c r="L6" s="12"/>
      <c r="M6" s="12"/>
      <c r="N6" s="12"/>
      <c r="O6" s="12"/>
      <c r="P6" s="12"/>
      <c r="Q6" s="12"/>
      <c r="R6" s="12"/>
      <c r="S6" s="12"/>
      <c r="T6" s="12"/>
      <c r="U6" s="12"/>
      <c r="V6" s="12"/>
      <c r="W6" s="12"/>
      <c r="X6" s="12"/>
      <c r="Y6" s="12"/>
    </row>
    <row r="7" spans="1:26" x14ac:dyDescent="0.2">
      <c r="B7" s="12"/>
      <c r="C7" s="12"/>
      <c r="D7" s="12"/>
      <c r="E7" s="12"/>
      <c r="F7" s="12"/>
      <c r="G7" s="12"/>
      <c r="H7" s="12"/>
      <c r="I7" s="12"/>
      <c r="J7" s="12"/>
      <c r="K7" s="12"/>
      <c r="L7" s="12"/>
      <c r="M7" s="12"/>
    </row>
    <row r="8" spans="1:26" x14ac:dyDescent="0.2">
      <c r="B8" s="12"/>
      <c r="C8" s="12"/>
      <c r="D8" s="12"/>
      <c r="E8" s="12"/>
      <c r="F8" s="12"/>
      <c r="G8" s="12"/>
      <c r="H8" s="12"/>
      <c r="I8" s="12"/>
      <c r="J8" s="12"/>
      <c r="K8" s="12"/>
      <c r="L8" s="12"/>
      <c r="M8" s="12"/>
    </row>
    <row r="9" spans="1:26" x14ac:dyDescent="0.2">
      <c r="B9" s="12"/>
      <c r="C9" s="12"/>
      <c r="D9" s="12"/>
      <c r="E9" s="12"/>
      <c r="F9" s="12"/>
      <c r="G9" s="12"/>
      <c r="H9" s="12"/>
      <c r="I9" s="12"/>
      <c r="J9" s="12"/>
      <c r="K9" s="12"/>
      <c r="L9" s="12"/>
      <c r="M9" s="12"/>
    </row>
    <row r="10" spans="1:26" x14ac:dyDescent="0.2">
      <c r="B10" s="12"/>
      <c r="C10" s="12"/>
      <c r="D10" s="12"/>
      <c r="E10" s="12"/>
      <c r="F10" s="12"/>
      <c r="G10" s="12"/>
      <c r="H10" s="12"/>
      <c r="I10" s="12"/>
      <c r="J10" s="12"/>
    </row>
    <row r="11" spans="1:26" x14ac:dyDescent="0.2">
      <c r="B11" s="12"/>
      <c r="C11" s="12"/>
      <c r="D11" s="12"/>
      <c r="E11" s="12"/>
      <c r="F11" s="12"/>
      <c r="G11" s="12"/>
      <c r="H11" s="12"/>
      <c r="I11" s="12"/>
      <c r="J11" s="12"/>
    </row>
    <row r="12" spans="1:26" x14ac:dyDescent="0.2">
      <c r="B12" s="12"/>
      <c r="C12" s="12"/>
      <c r="D12" s="12"/>
      <c r="E12" s="12"/>
      <c r="F12" s="12"/>
      <c r="G12" s="12"/>
      <c r="H12" s="12"/>
      <c r="I12" s="12"/>
      <c r="J12" s="12"/>
    </row>
    <row r="13" spans="1:26" x14ac:dyDescent="0.2">
      <c r="B13" s="12"/>
      <c r="C13" s="12"/>
      <c r="D13" s="12"/>
      <c r="E13" s="12"/>
      <c r="F13" s="12"/>
      <c r="G13" s="12"/>
      <c r="H13" s="12"/>
      <c r="I13" s="12"/>
      <c r="J13" s="12"/>
    </row>
    <row r="14" spans="1:26" x14ac:dyDescent="0.2">
      <c r="B14" s="12"/>
      <c r="C14" s="12"/>
      <c r="D14" s="12"/>
      <c r="E14" s="12"/>
      <c r="F14" s="12"/>
      <c r="G14" s="12"/>
      <c r="H14" s="12"/>
      <c r="I14" s="12"/>
      <c r="J14" s="12"/>
    </row>
    <row r="15" spans="1:26" x14ac:dyDescent="0.2">
      <c r="B15" s="12"/>
      <c r="C15" s="12"/>
      <c r="D15" s="12"/>
      <c r="E15" s="12"/>
      <c r="F15" s="12"/>
      <c r="G15" s="12"/>
      <c r="H15" s="12"/>
      <c r="I15" s="12"/>
      <c r="J15" s="12"/>
      <c r="K15" s="12"/>
      <c r="L15" s="12"/>
      <c r="M15" s="12"/>
    </row>
    <row r="16" spans="1:26" x14ac:dyDescent="0.2">
      <c r="B16" s="12"/>
      <c r="C16" s="12"/>
      <c r="D16" s="12"/>
      <c r="E16" s="12"/>
      <c r="F16" s="12"/>
      <c r="G16" s="12"/>
      <c r="H16" s="12"/>
      <c r="I16" s="12"/>
      <c r="J16" s="12"/>
      <c r="K16" s="12"/>
      <c r="L16" s="12"/>
      <c r="M16" s="12"/>
    </row>
    <row r="17" spans="1:25" x14ac:dyDescent="0.2">
      <c r="B17" s="12"/>
      <c r="C17" s="12"/>
      <c r="D17" s="12"/>
      <c r="E17" s="12"/>
      <c r="F17" s="12"/>
      <c r="G17" s="12"/>
      <c r="H17" s="12"/>
      <c r="I17" s="12"/>
      <c r="J17" s="12"/>
      <c r="K17" s="12"/>
      <c r="L17" s="12"/>
      <c r="M17" s="12"/>
    </row>
    <row r="18" spans="1:25" x14ac:dyDescent="0.2">
      <c r="B18" s="12"/>
      <c r="C18" s="12"/>
      <c r="D18" s="12"/>
      <c r="E18" s="12"/>
      <c r="F18" s="12"/>
      <c r="G18" s="12"/>
      <c r="H18" s="12"/>
      <c r="I18" s="12"/>
      <c r="J18" s="12"/>
      <c r="K18" s="12"/>
      <c r="L18" s="12"/>
      <c r="M18" s="12"/>
      <c r="N18" s="12"/>
      <c r="O18" s="12"/>
      <c r="P18" s="12"/>
      <c r="Q18" s="12"/>
      <c r="R18" s="12"/>
      <c r="S18" s="12"/>
      <c r="T18" s="12"/>
      <c r="U18" s="12"/>
      <c r="V18" s="12"/>
      <c r="W18" s="12"/>
      <c r="X18" s="12"/>
      <c r="Y18" s="12"/>
    </row>
    <row r="19" spans="1:25" x14ac:dyDescent="0.2">
      <c r="B19" s="12"/>
      <c r="C19" s="12"/>
      <c r="D19" s="12"/>
      <c r="E19" s="12"/>
      <c r="F19" s="12"/>
      <c r="G19" s="12"/>
      <c r="H19" s="12"/>
      <c r="I19" s="12"/>
      <c r="J19" s="12"/>
      <c r="K19" s="12"/>
      <c r="L19" s="12"/>
      <c r="M19" s="12"/>
      <c r="N19" s="12"/>
      <c r="O19" s="12"/>
      <c r="P19" s="12"/>
      <c r="Q19" s="12"/>
      <c r="R19" s="12"/>
      <c r="S19" s="12"/>
      <c r="T19" s="12"/>
      <c r="U19" s="12"/>
      <c r="V19" s="12"/>
      <c r="W19" s="12"/>
      <c r="X19" s="12"/>
      <c r="Y19" s="12"/>
    </row>
    <row r="20" spans="1:25" x14ac:dyDescent="0.2">
      <c r="B20" s="12"/>
      <c r="C20" s="12"/>
      <c r="D20" s="12"/>
      <c r="E20" s="12"/>
      <c r="F20" s="12"/>
      <c r="G20" s="12"/>
      <c r="H20" s="12"/>
      <c r="I20" s="12"/>
      <c r="J20" s="12"/>
      <c r="K20" s="12"/>
      <c r="L20" s="12"/>
      <c r="M20" s="12"/>
      <c r="N20" s="12"/>
      <c r="O20" s="12"/>
      <c r="P20" s="12"/>
      <c r="Q20" s="12"/>
      <c r="R20" s="12"/>
      <c r="S20" s="12"/>
      <c r="T20" s="12"/>
      <c r="U20" s="12"/>
      <c r="V20" s="12"/>
      <c r="W20" s="12"/>
      <c r="X20" s="12"/>
      <c r="Y20" s="12"/>
    </row>
    <row r="21" spans="1:25" x14ac:dyDescent="0.2">
      <c r="B21" s="12"/>
      <c r="C21" s="12"/>
      <c r="D21" s="12"/>
      <c r="E21" s="12"/>
      <c r="F21" s="12"/>
      <c r="G21" s="12"/>
      <c r="H21" s="12"/>
      <c r="I21" s="12"/>
      <c r="J21" s="12"/>
      <c r="K21" s="12"/>
      <c r="L21" s="12"/>
      <c r="M21" s="12"/>
      <c r="N21" s="12"/>
      <c r="O21" s="12"/>
      <c r="P21" s="12"/>
      <c r="Q21" s="12"/>
      <c r="R21" s="12"/>
      <c r="S21" s="12"/>
      <c r="T21" s="12"/>
      <c r="U21" s="12"/>
      <c r="V21" s="12"/>
      <c r="W21" s="12"/>
      <c r="X21" s="12"/>
      <c r="Y21" s="12"/>
    </row>
    <row r="22" spans="1:25" x14ac:dyDescent="0.2">
      <c r="B22" s="12"/>
      <c r="C22" s="12"/>
      <c r="D22" s="12"/>
      <c r="E22" s="12"/>
      <c r="F22" s="12"/>
      <c r="G22" s="12"/>
      <c r="H22" s="12"/>
      <c r="I22" s="12"/>
      <c r="J22" s="12"/>
      <c r="K22" s="12"/>
      <c r="L22" s="12"/>
      <c r="M22" s="12"/>
      <c r="N22" s="12"/>
      <c r="O22" s="12"/>
      <c r="P22" s="12"/>
      <c r="Q22" s="12"/>
      <c r="R22" s="12"/>
      <c r="S22" s="12"/>
      <c r="T22" s="12"/>
      <c r="U22" s="12"/>
      <c r="V22" s="12"/>
      <c r="W22" s="12"/>
      <c r="X22" s="12"/>
      <c r="Y22" s="12"/>
    </row>
    <row r="23" spans="1:25" x14ac:dyDescent="0.2">
      <c r="B23" s="12"/>
      <c r="C23" s="12"/>
      <c r="D23" s="12"/>
      <c r="E23" s="12"/>
      <c r="F23" s="12"/>
      <c r="G23" s="12"/>
      <c r="H23" s="12"/>
      <c r="I23" s="12"/>
      <c r="J23" s="12"/>
      <c r="K23" s="12"/>
      <c r="L23" s="12"/>
      <c r="M23" s="12"/>
      <c r="N23" s="12"/>
      <c r="O23" s="12"/>
      <c r="P23" s="12"/>
      <c r="Q23" s="12"/>
      <c r="R23" s="12"/>
      <c r="S23" s="12"/>
      <c r="T23" s="12"/>
      <c r="U23" s="12"/>
      <c r="V23" s="12"/>
      <c r="W23" s="12"/>
      <c r="X23" s="12"/>
      <c r="Y23" s="12"/>
    </row>
    <row r="25" spans="1:25" ht="13.5" thickBot="1" x14ac:dyDescent="0.25">
      <c r="A25" s="6" t="s">
        <v>276</v>
      </c>
    </row>
    <row r="26" spans="1:25" ht="13.5" thickBot="1" x14ac:dyDescent="0.25">
      <c r="A26" s="361" t="s">
        <v>309</v>
      </c>
      <c r="B26" s="359">
        <f>ROW(A26)</f>
        <v>26</v>
      </c>
      <c r="C26" s="363" t="s">
        <v>115</v>
      </c>
      <c r="D26" s="353">
        <f>SUM(B29:Y29)</f>
        <v>9.8449999999999989</v>
      </c>
      <c r="E26" s="363" t="s">
        <v>114</v>
      </c>
      <c r="F26" s="399">
        <f>D26/g/J26</f>
        <v>3.3452259599048584</v>
      </c>
      <c r="G26" s="363" t="s">
        <v>56</v>
      </c>
      <c r="H26" s="64">
        <v>0.3</v>
      </c>
      <c r="I26" s="363" t="s">
        <v>271</v>
      </c>
      <c r="J26" s="355">
        <f>H26-L26</f>
        <v>0.3</v>
      </c>
      <c r="K26" s="363" t="s">
        <v>272</v>
      </c>
      <c r="L26" s="64">
        <v>0</v>
      </c>
      <c r="M26" s="363" t="s">
        <v>57</v>
      </c>
      <c r="N26" s="65">
        <f>0.2*R26</f>
        <v>60</v>
      </c>
      <c r="O26" s="363" t="s">
        <v>59</v>
      </c>
      <c r="P26" s="65">
        <v>150</v>
      </c>
      <c r="Q26" s="363" t="s">
        <v>60</v>
      </c>
      <c r="R26" s="65">
        <v>300</v>
      </c>
      <c r="S26" s="363" t="s">
        <v>61</v>
      </c>
      <c r="T26" s="65">
        <v>90</v>
      </c>
      <c r="U26" s="363" t="s">
        <v>54</v>
      </c>
      <c r="V26" s="66" t="s">
        <v>276</v>
      </c>
      <c r="W26" s="12"/>
      <c r="X26" s="12"/>
      <c r="Y26" s="12"/>
    </row>
    <row r="27" spans="1:25" x14ac:dyDescent="0.2">
      <c r="A27" s="362" t="s">
        <v>33</v>
      </c>
      <c r="B27" s="370">
        <v>0</v>
      </c>
      <c r="C27" s="371">
        <v>1E-3</v>
      </c>
      <c r="D27" s="371">
        <v>0.02</v>
      </c>
      <c r="E27" s="371">
        <v>3.7999999999999999E-2</v>
      </c>
      <c r="F27" s="371">
        <v>0.04</v>
      </c>
      <c r="G27" s="371">
        <v>0.04</v>
      </c>
      <c r="H27" s="371">
        <v>0.04</v>
      </c>
      <c r="I27" s="371">
        <v>0.04</v>
      </c>
      <c r="J27" s="371">
        <v>0.04</v>
      </c>
      <c r="K27" s="371">
        <v>0.04</v>
      </c>
      <c r="L27" s="371">
        <v>0.04</v>
      </c>
      <c r="M27" s="371">
        <v>0.04</v>
      </c>
      <c r="N27" s="371">
        <v>0.04</v>
      </c>
      <c r="O27" s="371">
        <v>0.04</v>
      </c>
      <c r="P27" s="371">
        <v>0.04</v>
      </c>
      <c r="Q27" s="371">
        <v>0.04</v>
      </c>
      <c r="R27" s="371">
        <v>0.04</v>
      </c>
      <c r="S27" s="371">
        <v>0.04</v>
      </c>
      <c r="T27" s="371">
        <v>0.04</v>
      </c>
      <c r="U27" s="371">
        <v>0.04</v>
      </c>
      <c r="V27" s="371">
        <v>0.04</v>
      </c>
      <c r="W27" s="371">
        <v>0.04</v>
      </c>
      <c r="X27" s="371">
        <v>0.04</v>
      </c>
      <c r="Y27" s="381">
        <v>1000</v>
      </c>
    </row>
    <row r="28" spans="1:25" x14ac:dyDescent="0.2">
      <c r="A28" s="378" t="s">
        <v>34</v>
      </c>
      <c r="B28" s="372">
        <v>0</v>
      </c>
      <c r="C28" s="373">
        <v>310</v>
      </c>
      <c r="D28" s="373">
        <v>250</v>
      </c>
      <c r="E28" s="373">
        <v>212</v>
      </c>
      <c r="F28" s="373">
        <v>0</v>
      </c>
      <c r="G28" s="373">
        <v>0</v>
      </c>
      <c r="H28" s="373">
        <v>0</v>
      </c>
      <c r="I28" s="373">
        <v>0</v>
      </c>
      <c r="J28" s="373">
        <v>0</v>
      </c>
      <c r="K28" s="373">
        <v>0</v>
      </c>
      <c r="L28" s="373">
        <v>0</v>
      </c>
      <c r="M28" s="373">
        <v>0</v>
      </c>
      <c r="N28" s="373">
        <v>0</v>
      </c>
      <c r="O28" s="373">
        <v>0</v>
      </c>
      <c r="P28" s="373">
        <v>0</v>
      </c>
      <c r="Q28" s="373">
        <v>0</v>
      </c>
      <c r="R28" s="373">
        <v>0</v>
      </c>
      <c r="S28" s="373">
        <v>0</v>
      </c>
      <c r="T28" s="373">
        <v>0</v>
      </c>
      <c r="U28" s="373">
        <v>0</v>
      </c>
      <c r="V28" s="373">
        <v>0</v>
      </c>
      <c r="W28" s="373">
        <v>0</v>
      </c>
      <c r="X28" s="373">
        <v>0</v>
      </c>
      <c r="Y28" s="382">
        <v>0</v>
      </c>
    </row>
    <row r="29" spans="1:25" ht="13.5" thickBot="1" x14ac:dyDescent="0.25">
      <c r="A29" s="379" t="s">
        <v>116</v>
      </c>
      <c r="B29" s="374">
        <f t="shared" ref="B29:X29" si="2">(C28+B28)*(C27-B27)/2</f>
        <v>0.155</v>
      </c>
      <c r="C29" s="375">
        <f t="shared" si="2"/>
        <v>5.32</v>
      </c>
      <c r="D29" s="375">
        <f t="shared" si="2"/>
        <v>4.1579999999999995</v>
      </c>
      <c r="E29" s="375">
        <f t="shared" si="2"/>
        <v>0.21200000000000019</v>
      </c>
      <c r="F29" s="375">
        <f t="shared" si="2"/>
        <v>0</v>
      </c>
      <c r="G29" s="375">
        <f t="shared" si="2"/>
        <v>0</v>
      </c>
      <c r="H29" s="375">
        <f t="shared" si="2"/>
        <v>0</v>
      </c>
      <c r="I29" s="375">
        <f t="shared" si="2"/>
        <v>0</v>
      </c>
      <c r="J29" s="375">
        <f t="shared" si="2"/>
        <v>0</v>
      </c>
      <c r="K29" s="375">
        <f t="shared" si="2"/>
        <v>0</v>
      </c>
      <c r="L29" s="375">
        <f t="shared" si="2"/>
        <v>0</v>
      </c>
      <c r="M29" s="375">
        <f t="shared" si="2"/>
        <v>0</v>
      </c>
      <c r="N29" s="375">
        <f t="shared" si="2"/>
        <v>0</v>
      </c>
      <c r="O29" s="375">
        <f t="shared" si="2"/>
        <v>0</v>
      </c>
      <c r="P29" s="375">
        <f t="shared" si="2"/>
        <v>0</v>
      </c>
      <c r="Q29" s="375">
        <f t="shared" si="2"/>
        <v>0</v>
      </c>
      <c r="R29" s="375">
        <f t="shared" si="2"/>
        <v>0</v>
      </c>
      <c r="S29" s="375">
        <f t="shared" si="2"/>
        <v>0</v>
      </c>
      <c r="T29" s="375">
        <f t="shared" si="2"/>
        <v>0</v>
      </c>
      <c r="U29" s="375">
        <f t="shared" si="2"/>
        <v>0</v>
      </c>
      <c r="V29" s="375">
        <f t="shared" si="2"/>
        <v>0</v>
      </c>
      <c r="W29" s="375">
        <f t="shared" si="2"/>
        <v>0</v>
      </c>
      <c r="X29" s="375">
        <f t="shared" si="2"/>
        <v>0</v>
      </c>
      <c r="Y29" s="369"/>
    </row>
    <row r="30" spans="1:25" ht="13.5" thickBot="1" x14ac:dyDescent="0.25">
      <c r="A30" s="12"/>
      <c r="L30" s="12"/>
      <c r="M30" s="12"/>
      <c r="N30" s="12"/>
      <c r="O30" s="12"/>
      <c r="P30" s="12"/>
      <c r="Q30" s="12"/>
      <c r="R30" s="12"/>
      <c r="S30" s="12"/>
      <c r="T30" s="12"/>
      <c r="U30" s="12"/>
      <c r="V30" s="12"/>
      <c r="W30" s="12"/>
      <c r="X30" s="12"/>
      <c r="Y30" s="12"/>
    </row>
    <row r="31" spans="1:25" ht="13.5" thickBot="1" x14ac:dyDescent="0.25">
      <c r="A31" s="361" t="s">
        <v>310</v>
      </c>
      <c r="B31" s="359">
        <f>ROW(A31)</f>
        <v>31</v>
      </c>
      <c r="C31" s="363" t="s">
        <v>115</v>
      </c>
      <c r="D31" s="353">
        <f>SUM(B34:Y34)</f>
        <v>13.814500000000002</v>
      </c>
      <c r="E31" s="363" t="s">
        <v>114</v>
      </c>
      <c r="F31" s="399">
        <f>D31/g/J31</f>
        <v>3.1293464718541175</v>
      </c>
      <c r="G31" s="363" t="s">
        <v>56</v>
      </c>
      <c r="H31" s="64">
        <v>0.45</v>
      </c>
      <c r="I31" s="363" t="s">
        <v>271</v>
      </c>
      <c r="J31" s="355">
        <f>H31-L31</f>
        <v>0.45</v>
      </c>
      <c r="K31" s="363" t="s">
        <v>272</v>
      </c>
      <c r="L31" s="64">
        <v>0</v>
      </c>
      <c r="M31" s="363" t="s">
        <v>57</v>
      </c>
      <c r="N31" s="65">
        <f>0.3*R31</f>
        <v>90</v>
      </c>
      <c r="O31" s="363" t="s">
        <v>59</v>
      </c>
      <c r="P31" s="65">
        <v>150</v>
      </c>
      <c r="Q31" s="363" t="s">
        <v>60</v>
      </c>
      <c r="R31" s="65">
        <v>300</v>
      </c>
      <c r="S31" s="363" t="s">
        <v>61</v>
      </c>
      <c r="T31" s="65">
        <v>90</v>
      </c>
      <c r="U31" s="363" t="s">
        <v>54</v>
      </c>
      <c r="V31" s="66" t="s">
        <v>276</v>
      </c>
      <c r="W31" s="12"/>
      <c r="X31" s="12"/>
      <c r="Y31" s="12"/>
    </row>
    <row r="32" spans="1:25" x14ac:dyDescent="0.2">
      <c r="A32" s="362" t="s">
        <v>33</v>
      </c>
      <c r="B32" s="370">
        <v>0</v>
      </c>
      <c r="C32" s="371">
        <v>1E-3</v>
      </c>
      <c r="D32" s="371">
        <v>0.02</v>
      </c>
      <c r="E32" s="371">
        <v>0.04</v>
      </c>
      <c r="F32" s="371">
        <v>6.0999999999999999E-2</v>
      </c>
      <c r="G32" s="371">
        <v>6.2E-2</v>
      </c>
      <c r="H32" s="371">
        <v>6.2E-2</v>
      </c>
      <c r="I32" s="371">
        <v>6.2E-2</v>
      </c>
      <c r="J32" s="371">
        <v>6.2E-2</v>
      </c>
      <c r="K32" s="371">
        <v>6.2E-2</v>
      </c>
      <c r="L32" s="371">
        <v>6.2E-2</v>
      </c>
      <c r="M32" s="371">
        <v>6.2E-2</v>
      </c>
      <c r="N32" s="371">
        <v>6.2E-2</v>
      </c>
      <c r="O32" s="371">
        <v>6.2E-2</v>
      </c>
      <c r="P32" s="371">
        <v>6.2E-2</v>
      </c>
      <c r="Q32" s="371">
        <v>6.2E-2</v>
      </c>
      <c r="R32" s="371">
        <v>6.2E-2</v>
      </c>
      <c r="S32" s="371">
        <v>6.2E-2</v>
      </c>
      <c r="T32" s="371">
        <v>6.2E-2</v>
      </c>
      <c r="U32" s="371">
        <v>6.2E-2</v>
      </c>
      <c r="V32" s="371">
        <v>6.2E-2</v>
      </c>
      <c r="W32" s="371">
        <v>6.2E-2</v>
      </c>
      <c r="X32" s="371">
        <v>6.2E-2</v>
      </c>
      <c r="Y32" s="381">
        <v>1000</v>
      </c>
    </row>
    <row r="33" spans="1:25" x14ac:dyDescent="0.2">
      <c r="A33" s="378" t="s">
        <v>34</v>
      </c>
      <c r="B33" s="372">
        <v>0</v>
      </c>
      <c r="C33" s="373">
        <v>310</v>
      </c>
      <c r="D33" s="373">
        <v>245</v>
      </c>
      <c r="E33" s="373">
        <v>200</v>
      </c>
      <c r="F33" s="373">
        <v>167</v>
      </c>
      <c r="G33" s="373">
        <v>0</v>
      </c>
      <c r="H33" s="373">
        <v>0</v>
      </c>
      <c r="I33" s="373">
        <v>0</v>
      </c>
      <c r="J33" s="373">
        <v>0</v>
      </c>
      <c r="K33" s="373">
        <v>0</v>
      </c>
      <c r="L33" s="373">
        <v>0</v>
      </c>
      <c r="M33" s="373">
        <v>0</v>
      </c>
      <c r="N33" s="373">
        <v>0</v>
      </c>
      <c r="O33" s="373">
        <v>0</v>
      </c>
      <c r="P33" s="373">
        <v>0</v>
      </c>
      <c r="Q33" s="373">
        <v>0</v>
      </c>
      <c r="R33" s="373">
        <v>0</v>
      </c>
      <c r="S33" s="373">
        <v>0</v>
      </c>
      <c r="T33" s="373">
        <v>0</v>
      </c>
      <c r="U33" s="373">
        <v>0</v>
      </c>
      <c r="V33" s="373">
        <v>0</v>
      </c>
      <c r="W33" s="373">
        <v>0</v>
      </c>
      <c r="X33" s="373">
        <v>0</v>
      </c>
      <c r="Y33" s="382">
        <v>0</v>
      </c>
    </row>
    <row r="34" spans="1:25" ht="13.5" thickBot="1" x14ac:dyDescent="0.25">
      <c r="A34" s="379" t="s">
        <v>116</v>
      </c>
      <c r="B34" s="374">
        <f t="shared" ref="B34:X34" si="3">(C33+B33)*(C32-B32)/2</f>
        <v>0.155</v>
      </c>
      <c r="C34" s="375">
        <f t="shared" si="3"/>
        <v>5.2725</v>
      </c>
      <c r="D34" s="375">
        <f t="shared" si="3"/>
        <v>4.45</v>
      </c>
      <c r="E34" s="375">
        <f t="shared" si="3"/>
        <v>3.8534999999999995</v>
      </c>
      <c r="F34" s="375">
        <f t="shared" si="3"/>
        <v>8.3500000000000074E-2</v>
      </c>
      <c r="G34" s="375">
        <f t="shared" si="3"/>
        <v>0</v>
      </c>
      <c r="H34" s="375">
        <f t="shared" si="3"/>
        <v>0</v>
      </c>
      <c r="I34" s="375">
        <f t="shared" si="3"/>
        <v>0</v>
      </c>
      <c r="J34" s="375">
        <f t="shared" si="3"/>
        <v>0</v>
      </c>
      <c r="K34" s="375">
        <f t="shared" si="3"/>
        <v>0</v>
      </c>
      <c r="L34" s="375">
        <f t="shared" si="3"/>
        <v>0</v>
      </c>
      <c r="M34" s="375">
        <f t="shared" si="3"/>
        <v>0</v>
      </c>
      <c r="N34" s="375">
        <f t="shared" si="3"/>
        <v>0</v>
      </c>
      <c r="O34" s="375">
        <f t="shared" si="3"/>
        <v>0</v>
      </c>
      <c r="P34" s="375">
        <f t="shared" si="3"/>
        <v>0</v>
      </c>
      <c r="Q34" s="375">
        <f t="shared" si="3"/>
        <v>0</v>
      </c>
      <c r="R34" s="375">
        <f t="shared" si="3"/>
        <v>0</v>
      </c>
      <c r="S34" s="375">
        <f t="shared" si="3"/>
        <v>0</v>
      </c>
      <c r="T34" s="375">
        <f t="shared" si="3"/>
        <v>0</v>
      </c>
      <c r="U34" s="375">
        <f t="shared" si="3"/>
        <v>0</v>
      </c>
      <c r="V34" s="375">
        <f t="shared" si="3"/>
        <v>0</v>
      </c>
      <c r="W34" s="375">
        <f t="shared" si="3"/>
        <v>0</v>
      </c>
      <c r="X34" s="375">
        <f t="shared" si="3"/>
        <v>0</v>
      </c>
      <c r="Y34" s="369"/>
    </row>
    <row r="35" spans="1:25" ht="13.5" thickBot="1" x14ac:dyDescent="0.25">
      <c r="B35" s="12"/>
      <c r="C35" s="12"/>
      <c r="D35" s="12"/>
      <c r="E35" s="12"/>
      <c r="F35" s="12"/>
      <c r="G35" s="12"/>
      <c r="H35" s="12"/>
      <c r="I35" s="12"/>
      <c r="J35" s="12"/>
      <c r="K35" s="12"/>
      <c r="L35" s="12"/>
      <c r="M35" s="12"/>
      <c r="N35" s="12"/>
      <c r="O35" s="12"/>
      <c r="P35" s="12"/>
      <c r="Q35" s="12"/>
      <c r="R35" s="12"/>
      <c r="S35" s="12"/>
      <c r="T35" s="12"/>
      <c r="U35" s="12"/>
      <c r="V35" s="12"/>
      <c r="W35" s="12"/>
      <c r="X35" s="12"/>
      <c r="Y35" s="12"/>
    </row>
    <row r="36" spans="1:25" ht="13.5" thickBot="1" x14ac:dyDescent="0.25">
      <c r="A36" s="361" t="s">
        <v>311</v>
      </c>
      <c r="B36" s="359">
        <f>ROW(A36)</f>
        <v>36</v>
      </c>
      <c r="C36" s="363" t="s">
        <v>115</v>
      </c>
      <c r="D36" s="353">
        <f>SUM(B39:Y39)</f>
        <v>17.144499999999997</v>
      </c>
      <c r="E36" s="363" t="s">
        <v>114</v>
      </c>
      <c r="F36" s="399">
        <f>D36/g/J36</f>
        <v>2.9127590893645934</v>
      </c>
      <c r="G36" s="363" t="s">
        <v>56</v>
      </c>
      <c r="H36" s="64">
        <v>0.6</v>
      </c>
      <c r="I36" s="363" t="s">
        <v>271</v>
      </c>
      <c r="J36" s="355">
        <f>H36-L36</f>
        <v>0.6</v>
      </c>
      <c r="K36" s="363" t="s">
        <v>272</v>
      </c>
      <c r="L36" s="64">
        <v>0</v>
      </c>
      <c r="M36" s="363" t="s">
        <v>57</v>
      </c>
      <c r="N36" s="65">
        <f>0.4*R36</f>
        <v>120</v>
      </c>
      <c r="O36" s="363" t="s">
        <v>59</v>
      </c>
      <c r="P36" s="65">
        <v>150</v>
      </c>
      <c r="Q36" s="363" t="s">
        <v>60</v>
      </c>
      <c r="R36" s="65">
        <v>300</v>
      </c>
      <c r="S36" s="363" t="s">
        <v>61</v>
      </c>
      <c r="T36" s="65">
        <v>90</v>
      </c>
      <c r="U36" s="363" t="s">
        <v>54</v>
      </c>
      <c r="V36" s="66" t="s">
        <v>276</v>
      </c>
      <c r="W36" s="12"/>
      <c r="X36" s="12"/>
      <c r="Y36" s="12"/>
    </row>
    <row r="37" spans="1:25" x14ac:dyDescent="0.2">
      <c r="A37" s="362" t="s">
        <v>33</v>
      </c>
      <c r="B37" s="370">
        <v>0</v>
      </c>
      <c r="C37" s="371">
        <v>1E-3</v>
      </c>
      <c r="D37" s="371">
        <v>0.02</v>
      </c>
      <c r="E37" s="371">
        <v>0.04</v>
      </c>
      <c r="F37" s="371">
        <v>0.06</v>
      </c>
      <c r="G37" s="371">
        <v>0.08</v>
      </c>
      <c r="H37" s="371">
        <v>8.7999999999999995E-2</v>
      </c>
      <c r="I37" s="371">
        <v>8.8999999999999996E-2</v>
      </c>
      <c r="J37" s="371">
        <v>8.8999999999999996E-2</v>
      </c>
      <c r="K37" s="371">
        <v>8.8999999999999996E-2</v>
      </c>
      <c r="L37" s="371">
        <v>8.8999999999999996E-2</v>
      </c>
      <c r="M37" s="371">
        <v>8.8999999999999996E-2</v>
      </c>
      <c r="N37" s="371">
        <v>8.8999999999999996E-2</v>
      </c>
      <c r="O37" s="371">
        <v>8.8999999999999996E-2</v>
      </c>
      <c r="P37" s="371">
        <v>8.8999999999999996E-2</v>
      </c>
      <c r="Q37" s="371">
        <v>8.8999999999999996E-2</v>
      </c>
      <c r="R37" s="371">
        <v>8.8999999999999996E-2</v>
      </c>
      <c r="S37" s="371">
        <v>8.8999999999999996E-2</v>
      </c>
      <c r="T37" s="371">
        <v>8.8999999999999996E-2</v>
      </c>
      <c r="U37" s="371">
        <v>8.8999999999999996E-2</v>
      </c>
      <c r="V37" s="371">
        <v>8.8999999999999996E-2</v>
      </c>
      <c r="W37" s="371">
        <v>8.8999999999999996E-2</v>
      </c>
      <c r="X37" s="371">
        <v>8.8999999999999996E-2</v>
      </c>
      <c r="Y37" s="381">
        <v>1000</v>
      </c>
    </row>
    <row r="38" spans="1:25" x14ac:dyDescent="0.2">
      <c r="A38" s="378" t="s">
        <v>34</v>
      </c>
      <c r="B38" s="372">
        <v>0</v>
      </c>
      <c r="C38" s="373">
        <v>310</v>
      </c>
      <c r="D38" s="373">
        <v>240</v>
      </c>
      <c r="E38" s="373">
        <v>190</v>
      </c>
      <c r="F38" s="373">
        <v>157</v>
      </c>
      <c r="G38" s="373">
        <v>133</v>
      </c>
      <c r="H38" s="373">
        <v>125</v>
      </c>
      <c r="I38" s="373">
        <v>0</v>
      </c>
      <c r="J38" s="373">
        <v>0</v>
      </c>
      <c r="K38" s="373">
        <v>0</v>
      </c>
      <c r="L38" s="373">
        <v>0</v>
      </c>
      <c r="M38" s="373">
        <v>0</v>
      </c>
      <c r="N38" s="373">
        <v>0</v>
      </c>
      <c r="O38" s="373">
        <v>0</v>
      </c>
      <c r="P38" s="373">
        <v>0</v>
      </c>
      <c r="Q38" s="373">
        <v>0</v>
      </c>
      <c r="R38" s="373">
        <v>0</v>
      </c>
      <c r="S38" s="373">
        <v>0</v>
      </c>
      <c r="T38" s="373">
        <v>0</v>
      </c>
      <c r="U38" s="373">
        <v>0</v>
      </c>
      <c r="V38" s="373">
        <v>0</v>
      </c>
      <c r="W38" s="373">
        <v>0</v>
      </c>
      <c r="X38" s="373">
        <v>0</v>
      </c>
      <c r="Y38" s="382">
        <v>0</v>
      </c>
    </row>
    <row r="39" spans="1:25" ht="13.5" thickBot="1" x14ac:dyDescent="0.25">
      <c r="A39" s="379" t="s">
        <v>116</v>
      </c>
      <c r="B39" s="374">
        <f t="shared" ref="B39:X39" si="4">(C38+B38)*(C37-B37)/2</f>
        <v>0.155</v>
      </c>
      <c r="C39" s="375">
        <f t="shared" si="4"/>
        <v>5.2249999999999996</v>
      </c>
      <c r="D39" s="375">
        <f t="shared" si="4"/>
        <v>4.3</v>
      </c>
      <c r="E39" s="375">
        <f t="shared" si="4"/>
        <v>3.4699999999999993</v>
      </c>
      <c r="F39" s="375">
        <f t="shared" si="4"/>
        <v>2.9000000000000004</v>
      </c>
      <c r="G39" s="375">
        <f t="shared" si="4"/>
        <v>1.0319999999999991</v>
      </c>
      <c r="H39" s="375">
        <f t="shared" si="4"/>
        <v>6.2500000000000056E-2</v>
      </c>
      <c r="I39" s="375">
        <f t="shared" si="4"/>
        <v>0</v>
      </c>
      <c r="J39" s="375">
        <f t="shared" si="4"/>
        <v>0</v>
      </c>
      <c r="K39" s="375">
        <f t="shared" si="4"/>
        <v>0</v>
      </c>
      <c r="L39" s="375">
        <f t="shared" si="4"/>
        <v>0</v>
      </c>
      <c r="M39" s="375">
        <f t="shared" si="4"/>
        <v>0</v>
      </c>
      <c r="N39" s="375">
        <f t="shared" si="4"/>
        <v>0</v>
      </c>
      <c r="O39" s="375">
        <f t="shared" si="4"/>
        <v>0</v>
      </c>
      <c r="P39" s="375">
        <f t="shared" si="4"/>
        <v>0</v>
      </c>
      <c r="Q39" s="375">
        <f t="shared" si="4"/>
        <v>0</v>
      </c>
      <c r="R39" s="375">
        <f t="shared" si="4"/>
        <v>0</v>
      </c>
      <c r="S39" s="375">
        <f t="shared" si="4"/>
        <v>0</v>
      </c>
      <c r="T39" s="375">
        <f t="shared" si="4"/>
        <v>0</v>
      </c>
      <c r="U39" s="375">
        <f t="shared" si="4"/>
        <v>0</v>
      </c>
      <c r="V39" s="375">
        <f t="shared" si="4"/>
        <v>0</v>
      </c>
      <c r="W39" s="375">
        <f t="shared" si="4"/>
        <v>0</v>
      </c>
      <c r="X39" s="375">
        <f t="shared" si="4"/>
        <v>0</v>
      </c>
      <c r="Y39" s="369"/>
    </row>
    <row r="40" spans="1:25" ht="13.5" thickBot="1" x14ac:dyDescent="0.25">
      <c r="A40" s="12"/>
      <c r="L40" s="12"/>
      <c r="M40" s="12"/>
      <c r="N40" s="12"/>
      <c r="O40" s="12"/>
      <c r="P40" s="12"/>
      <c r="Q40" s="12"/>
      <c r="R40" s="12"/>
      <c r="S40" s="12"/>
      <c r="T40" s="12"/>
      <c r="U40" s="12"/>
      <c r="V40" s="12"/>
      <c r="W40" s="12"/>
      <c r="X40" s="12"/>
      <c r="Y40" s="12"/>
    </row>
    <row r="41" spans="1:25" ht="13.5" thickBot="1" x14ac:dyDescent="0.25">
      <c r="A41" s="361" t="s">
        <v>312</v>
      </c>
      <c r="B41" s="359">
        <f>ROW(A41)</f>
        <v>41</v>
      </c>
      <c r="C41" s="363" t="s">
        <v>115</v>
      </c>
      <c r="D41" s="353">
        <f>SUM(B44:Y44)</f>
        <v>19.415000000000003</v>
      </c>
      <c r="E41" s="363" t="s">
        <v>114</v>
      </c>
      <c r="F41" s="399">
        <f>D41/g/J41</f>
        <v>2.6388039415562354</v>
      </c>
      <c r="G41" s="363" t="s">
        <v>56</v>
      </c>
      <c r="H41" s="64">
        <v>0.75</v>
      </c>
      <c r="I41" s="363" t="s">
        <v>271</v>
      </c>
      <c r="J41" s="355">
        <f>H41-L41</f>
        <v>0.75</v>
      </c>
      <c r="K41" s="363" t="s">
        <v>272</v>
      </c>
      <c r="L41" s="64">
        <v>0</v>
      </c>
      <c r="M41" s="363" t="s">
        <v>57</v>
      </c>
      <c r="N41" s="65">
        <f>0.5*R41</f>
        <v>150</v>
      </c>
      <c r="O41" s="363" t="s">
        <v>59</v>
      </c>
      <c r="P41" s="65">
        <v>150</v>
      </c>
      <c r="Q41" s="363" t="s">
        <v>60</v>
      </c>
      <c r="R41" s="65">
        <v>300</v>
      </c>
      <c r="S41" s="363" t="s">
        <v>61</v>
      </c>
      <c r="T41" s="65">
        <v>90</v>
      </c>
      <c r="U41" s="363" t="s">
        <v>54</v>
      </c>
      <c r="V41" s="66" t="s">
        <v>276</v>
      </c>
      <c r="W41" s="12"/>
      <c r="X41" s="12"/>
      <c r="Y41" s="12"/>
    </row>
    <row r="42" spans="1:25" x14ac:dyDescent="0.2">
      <c r="A42" s="362" t="s">
        <v>33</v>
      </c>
      <c r="B42" s="370">
        <v>0</v>
      </c>
      <c r="C42" s="371">
        <v>1E-3</v>
      </c>
      <c r="D42" s="371">
        <v>0.02</v>
      </c>
      <c r="E42" s="371">
        <v>0.04</v>
      </c>
      <c r="F42" s="371">
        <v>0.06</v>
      </c>
      <c r="G42" s="371">
        <v>0.08</v>
      </c>
      <c r="H42" s="371">
        <v>0.1</v>
      </c>
      <c r="I42" s="371">
        <v>0.123</v>
      </c>
      <c r="J42" s="371">
        <v>0.124</v>
      </c>
      <c r="K42" s="371">
        <v>0.124</v>
      </c>
      <c r="L42" s="371">
        <v>0.124</v>
      </c>
      <c r="M42" s="371">
        <v>0.124</v>
      </c>
      <c r="N42" s="371">
        <v>0.124</v>
      </c>
      <c r="O42" s="371">
        <v>0.124</v>
      </c>
      <c r="P42" s="371">
        <v>0.124</v>
      </c>
      <c r="Q42" s="371">
        <v>0.124</v>
      </c>
      <c r="R42" s="371">
        <v>0.124</v>
      </c>
      <c r="S42" s="371">
        <v>0.124</v>
      </c>
      <c r="T42" s="371">
        <v>0.124</v>
      </c>
      <c r="U42" s="371">
        <v>0.124</v>
      </c>
      <c r="V42" s="371">
        <v>0.124</v>
      </c>
      <c r="W42" s="371">
        <v>0.124</v>
      </c>
      <c r="X42" s="371">
        <v>0.124</v>
      </c>
      <c r="Y42" s="381">
        <v>1000</v>
      </c>
    </row>
    <row r="43" spans="1:25" x14ac:dyDescent="0.2">
      <c r="A43" s="378" t="s">
        <v>34</v>
      </c>
      <c r="B43" s="372">
        <v>0</v>
      </c>
      <c r="C43" s="373">
        <v>310</v>
      </c>
      <c r="D43" s="373">
        <v>230</v>
      </c>
      <c r="E43" s="373">
        <v>175</v>
      </c>
      <c r="F43" s="373">
        <v>140</v>
      </c>
      <c r="G43" s="373">
        <v>118</v>
      </c>
      <c r="H43" s="373">
        <v>100</v>
      </c>
      <c r="I43" s="373">
        <v>85</v>
      </c>
      <c r="J43" s="373">
        <v>0</v>
      </c>
      <c r="K43" s="373">
        <v>0</v>
      </c>
      <c r="L43" s="373">
        <v>0</v>
      </c>
      <c r="M43" s="373">
        <v>0</v>
      </c>
      <c r="N43" s="373">
        <v>0</v>
      </c>
      <c r="O43" s="373">
        <v>0</v>
      </c>
      <c r="P43" s="373">
        <v>0</v>
      </c>
      <c r="Q43" s="373">
        <v>0</v>
      </c>
      <c r="R43" s="373">
        <v>0</v>
      </c>
      <c r="S43" s="373">
        <v>0</v>
      </c>
      <c r="T43" s="373">
        <v>0</v>
      </c>
      <c r="U43" s="373">
        <v>0</v>
      </c>
      <c r="V43" s="373">
        <v>0</v>
      </c>
      <c r="W43" s="373">
        <v>0</v>
      </c>
      <c r="X43" s="373">
        <v>0</v>
      </c>
      <c r="Y43" s="382">
        <v>0</v>
      </c>
    </row>
    <row r="44" spans="1:25" ht="13.5" thickBot="1" x14ac:dyDescent="0.25">
      <c r="A44" s="379" t="s">
        <v>116</v>
      </c>
      <c r="B44" s="374">
        <f t="shared" ref="B44:X44" si="5">(C43+B43)*(C42-B42)/2</f>
        <v>0.155</v>
      </c>
      <c r="C44" s="375">
        <f t="shared" si="5"/>
        <v>5.13</v>
      </c>
      <c r="D44" s="375">
        <f t="shared" si="5"/>
        <v>4.05</v>
      </c>
      <c r="E44" s="375">
        <f t="shared" si="5"/>
        <v>3.1499999999999995</v>
      </c>
      <c r="F44" s="375">
        <f t="shared" si="5"/>
        <v>2.5800000000000005</v>
      </c>
      <c r="G44" s="375">
        <f t="shared" si="5"/>
        <v>2.1800000000000006</v>
      </c>
      <c r="H44" s="375">
        <f t="shared" si="5"/>
        <v>2.1274999999999995</v>
      </c>
      <c r="I44" s="375">
        <f t="shared" si="5"/>
        <v>4.2500000000000038E-2</v>
      </c>
      <c r="J44" s="375">
        <f t="shared" si="5"/>
        <v>0</v>
      </c>
      <c r="K44" s="375">
        <f t="shared" si="5"/>
        <v>0</v>
      </c>
      <c r="L44" s="375">
        <f t="shared" si="5"/>
        <v>0</v>
      </c>
      <c r="M44" s="375">
        <f t="shared" si="5"/>
        <v>0</v>
      </c>
      <c r="N44" s="375">
        <f t="shared" si="5"/>
        <v>0</v>
      </c>
      <c r="O44" s="375">
        <f t="shared" si="5"/>
        <v>0</v>
      </c>
      <c r="P44" s="375">
        <f t="shared" si="5"/>
        <v>0</v>
      </c>
      <c r="Q44" s="375">
        <f t="shared" si="5"/>
        <v>0</v>
      </c>
      <c r="R44" s="375">
        <f t="shared" si="5"/>
        <v>0</v>
      </c>
      <c r="S44" s="375">
        <f t="shared" si="5"/>
        <v>0</v>
      </c>
      <c r="T44" s="375">
        <f t="shared" si="5"/>
        <v>0</v>
      </c>
      <c r="U44" s="375">
        <f t="shared" si="5"/>
        <v>0</v>
      </c>
      <c r="V44" s="375">
        <f t="shared" si="5"/>
        <v>0</v>
      </c>
      <c r="W44" s="375">
        <f t="shared" si="5"/>
        <v>0</v>
      </c>
      <c r="X44" s="375">
        <f t="shared" si="5"/>
        <v>0</v>
      </c>
      <c r="Y44" s="369"/>
    </row>
    <row r="45" spans="1:25" ht="13.5" thickBot="1" x14ac:dyDescent="0.25"/>
    <row r="46" spans="1:25" ht="13.5" thickBot="1" x14ac:dyDescent="0.25">
      <c r="A46" s="361" t="s">
        <v>277</v>
      </c>
      <c r="B46" s="359">
        <f>ROW(A46)</f>
        <v>46</v>
      </c>
      <c r="C46" s="363" t="s">
        <v>115</v>
      </c>
      <c r="D46" s="353">
        <f>SUM(B49:Y49)</f>
        <v>12.8695</v>
      </c>
      <c r="E46" s="363" t="s">
        <v>114</v>
      </c>
      <c r="F46" s="399">
        <f>D46/g/J46</f>
        <v>3.2796890927624869</v>
      </c>
      <c r="G46" s="363" t="s">
        <v>56</v>
      </c>
      <c r="H46" s="64">
        <v>0.5</v>
      </c>
      <c r="I46" s="363" t="s">
        <v>271</v>
      </c>
      <c r="J46" s="355">
        <f>H46-L46</f>
        <v>0.4</v>
      </c>
      <c r="K46" s="363" t="s">
        <v>272</v>
      </c>
      <c r="L46" s="64">
        <v>0.1</v>
      </c>
      <c r="M46" s="363" t="s">
        <v>57</v>
      </c>
      <c r="N46" s="65">
        <f>0.2*R46</f>
        <v>60</v>
      </c>
      <c r="O46" s="363" t="s">
        <v>59</v>
      </c>
      <c r="P46" s="65">
        <v>150</v>
      </c>
      <c r="Q46" s="363" t="s">
        <v>60</v>
      </c>
      <c r="R46" s="65">
        <v>300</v>
      </c>
      <c r="S46" s="363" t="s">
        <v>61</v>
      </c>
      <c r="T46" s="65">
        <v>98</v>
      </c>
      <c r="U46" s="363" t="s">
        <v>54</v>
      </c>
      <c r="V46" s="66" t="s">
        <v>276</v>
      </c>
      <c r="W46" s="12"/>
      <c r="X46" s="12"/>
      <c r="Y46" s="12"/>
    </row>
    <row r="47" spans="1:25" x14ac:dyDescent="0.2">
      <c r="A47" s="362" t="s">
        <v>33</v>
      </c>
      <c r="B47" s="370">
        <v>0</v>
      </c>
      <c r="C47" s="371">
        <v>1E-3</v>
      </c>
      <c r="D47" s="371">
        <v>0.02</v>
      </c>
      <c r="E47" s="371">
        <v>0.04</v>
      </c>
      <c r="F47" s="371">
        <v>0.05</v>
      </c>
      <c r="G47" s="371">
        <v>5.0999999999999997E-2</v>
      </c>
      <c r="H47" s="371">
        <v>5.0999999999999997E-2</v>
      </c>
      <c r="I47" s="371">
        <v>5.0999999999999997E-2</v>
      </c>
      <c r="J47" s="371">
        <v>5.0999999999999997E-2</v>
      </c>
      <c r="K47" s="371">
        <v>5.0999999999999997E-2</v>
      </c>
      <c r="L47" s="371">
        <v>5.0999999999999997E-2</v>
      </c>
      <c r="M47" s="371">
        <v>5.0999999999999997E-2</v>
      </c>
      <c r="N47" s="371">
        <v>5.0999999999999997E-2</v>
      </c>
      <c r="O47" s="371">
        <v>5.0999999999999997E-2</v>
      </c>
      <c r="P47" s="371">
        <v>5.0999999999999997E-2</v>
      </c>
      <c r="Q47" s="371">
        <v>5.0999999999999997E-2</v>
      </c>
      <c r="R47" s="371">
        <v>5.0999999999999997E-2</v>
      </c>
      <c r="S47" s="371">
        <v>5.0999999999999997E-2</v>
      </c>
      <c r="T47" s="371">
        <v>5.0999999999999997E-2</v>
      </c>
      <c r="U47" s="371">
        <v>5.0999999999999997E-2</v>
      </c>
      <c r="V47" s="371">
        <v>5.0999999999999997E-2</v>
      </c>
      <c r="W47" s="371">
        <v>5.0999999999999997E-2</v>
      </c>
      <c r="X47" s="371">
        <v>5.0999999999999997E-2</v>
      </c>
      <c r="Y47" s="381">
        <v>1000</v>
      </c>
    </row>
    <row r="48" spans="1:25" x14ac:dyDescent="0.2">
      <c r="A48" s="378" t="s">
        <v>34</v>
      </c>
      <c r="B48" s="372">
        <v>0</v>
      </c>
      <c r="C48" s="373">
        <v>310</v>
      </c>
      <c r="D48" s="373">
        <v>264</v>
      </c>
      <c r="E48" s="373">
        <v>230</v>
      </c>
      <c r="F48" s="373">
        <v>213</v>
      </c>
      <c r="G48" s="373">
        <v>0</v>
      </c>
      <c r="H48" s="373">
        <v>0</v>
      </c>
      <c r="I48" s="373">
        <v>0</v>
      </c>
      <c r="J48" s="373">
        <v>0</v>
      </c>
      <c r="K48" s="373">
        <v>0</v>
      </c>
      <c r="L48" s="373">
        <v>0</v>
      </c>
      <c r="M48" s="373">
        <v>0</v>
      </c>
      <c r="N48" s="373">
        <v>0</v>
      </c>
      <c r="O48" s="373">
        <v>0</v>
      </c>
      <c r="P48" s="373">
        <v>0</v>
      </c>
      <c r="Q48" s="373">
        <v>0</v>
      </c>
      <c r="R48" s="373">
        <v>0</v>
      </c>
      <c r="S48" s="373">
        <v>0</v>
      </c>
      <c r="T48" s="373">
        <v>0</v>
      </c>
      <c r="U48" s="373">
        <v>0</v>
      </c>
      <c r="V48" s="373">
        <v>0</v>
      </c>
      <c r="W48" s="373">
        <v>0</v>
      </c>
      <c r="X48" s="373">
        <v>0</v>
      </c>
      <c r="Y48" s="382">
        <v>0</v>
      </c>
    </row>
    <row r="49" spans="1:25" ht="13.5" thickBot="1" x14ac:dyDescent="0.25">
      <c r="A49" s="379" t="s">
        <v>116</v>
      </c>
      <c r="B49" s="374">
        <f t="shared" ref="B49:X49" si="6">(C48+B48)*(C47-B47)/2</f>
        <v>0.155</v>
      </c>
      <c r="C49" s="375">
        <f t="shared" si="6"/>
        <v>5.4530000000000003</v>
      </c>
      <c r="D49" s="375">
        <f t="shared" si="6"/>
        <v>4.9400000000000004</v>
      </c>
      <c r="E49" s="375">
        <f t="shared" si="6"/>
        <v>2.2150000000000003</v>
      </c>
      <c r="F49" s="375">
        <f t="shared" si="6"/>
        <v>0.10649999999999936</v>
      </c>
      <c r="G49" s="375">
        <f t="shared" si="6"/>
        <v>0</v>
      </c>
      <c r="H49" s="375">
        <f t="shared" si="6"/>
        <v>0</v>
      </c>
      <c r="I49" s="375">
        <f t="shared" si="6"/>
        <v>0</v>
      </c>
      <c r="J49" s="375">
        <f t="shared" si="6"/>
        <v>0</v>
      </c>
      <c r="K49" s="375">
        <f t="shared" si="6"/>
        <v>0</v>
      </c>
      <c r="L49" s="375">
        <f t="shared" si="6"/>
        <v>0</v>
      </c>
      <c r="M49" s="375">
        <f t="shared" si="6"/>
        <v>0</v>
      </c>
      <c r="N49" s="375">
        <f t="shared" si="6"/>
        <v>0</v>
      </c>
      <c r="O49" s="375">
        <f t="shared" si="6"/>
        <v>0</v>
      </c>
      <c r="P49" s="375">
        <f t="shared" si="6"/>
        <v>0</v>
      </c>
      <c r="Q49" s="375">
        <f t="shared" si="6"/>
        <v>0</v>
      </c>
      <c r="R49" s="375">
        <f t="shared" si="6"/>
        <v>0</v>
      </c>
      <c r="S49" s="375">
        <f t="shared" si="6"/>
        <v>0</v>
      </c>
      <c r="T49" s="375">
        <f t="shared" si="6"/>
        <v>0</v>
      </c>
      <c r="U49" s="375">
        <f t="shared" si="6"/>
        <v>0</v>
      </c>
      <c r="V49" s="375">
        <f t="shared" si="6"/>
        <v>0</v>
      </c>
      <c r="W49" s="375">
        <f t="shared" si="6"/>
        <v>0</v>
      </c>
      <c r="X49" s="375">
        <f t="shared" si="6"/>
        <v>0</v>
      </c>
      <c r="Y49" s="369"/>
    </row>
    <row r="50" spans="1:25" ht="13.5" thickBot="1" x14ac:dyDescent="0.25">
      <c r="A50" s="12"/>
      <c r="L50" s="12"/>
      <c r="M50" s="12"/>
      <c r="N50" s="12"/>
      <c r="O50" s="12"/>
      <c r="P50" s="12"/>
      <c r="Q50" s="12"/>
      <c r="R50" s="12"/>
      <c r="S50" s="12"/>
      <c r="T50" s="12"/>
      <c r="U50" s="12"/>
      <c r="V50" s="12"/>
      <c r="W50" s="12"/>
      <c r="X50" s="12"/>
      <c r="Y50" s="12"/>
    </row>
    <row r="51" spans="1:25" ht="13.5" thickBot="1" x14ac:dyDescent="0.25">
      <c r="A51" s="361" t="s">
        <v>278</v>
      </c>
      <c r="B51" s="359">
        <f>ROW(A51)</f>
        <v>51</v>
      </c>
      <c r="C51" s="363" t="s">
        <v>115</v>
      </c>
      <c r="D51" s="353">
        <f>SUM(B54:Y54)</f>
        <v>18.123500000000003</v>
      </c>
      <c r="E51" s="363" t="s">
        <v>114</v>
      </c>
      <c r="F51" s="399">
        <f>D51/g/J51</f>
        <v>3.0790859667006463</v>
      </c>
      <c r="G51" s="363" t="s">
        <v>56</v>
      </c>
      <c r="H51" s="64">
        <v>0.7</v>
      </c>
      <c r="I51" s="363" t="s">
        <v>271</v>
      </c>
      <c r="J51" s="355">
        <f>H51-L51</f>
        <v>0.6</v>
      </c>
      <c r="K51" s="363" t="s">
        <v>272</v>
      </c>
      <c r="L51" s="64">
        <v>0.1</v>
      </c>
      <c r="M51" s="363" t="s">
        <v>57</v>
      </c>
      <c r="N51" s="65">
        <f>0.3*R51</f>
        <v>90</v>
      </c>
      <c r="O51" s="363" t="s">
        <v>59</v>
      </c>
      <c r="P51" s="65">
        <v>150</v>
      </c>
      <c r="Q51" s="363" t="s">
        <v>60</v>
      </c>
      <c r="R51" s="65">
        <v>300</v>
      </c>
      <c r="S51" s="363" t="s">
        <v>61</v>
      </c>
      <c r="T51" s="65">
        <v>98</v>
      </c>
      <c r="U51" s="363" t="s">
        <v>54</v>
      </c>
      <c r="V51" s="66" t="s">
        <v>276</v>
      </c>
      <c r="W51" s="12"/>
      <c r="X51" s="12"/>
      <c r="Y51" s="12"/>
    </row>
    <row r="52" spans="1:25" x14ac:dyDescent="0.2">
      <c r="A52" s="362" t="s">
        <v>33</v>
      </c>
      <c r="B52" s="370">
        <v>0</v>
      </c>
      <c r="C52" s="371">
        <v>1E-3</v>
      </c>
      <c r="D52" s="371">
        <v>0.02</v>
      </c>
      <c r="E52" s="371">
        <v>0.04</v>
      </c>
      <c r="F52" s="371">
        <v>0.06</v>
      </c>
      <c r="G52" s="371">
        <v>0.08</v>
      </c>
      <c r="H52" s="371">
        <v>8.1000000000000003E-2</v>
      </c>
      <c r="I52" s="371">
        <v>8.1000000000000003E-2</v>
      </c>
      <c r="J52" s="371">
        <v>8.1000000000000003E-2</v>
      </c>
      <c r="K52" s="371">
        <v>8.1000000000000003E-2</v>
      </c>
      <c r="L52" s="371">
        <v>8.1000000000000003E-2</v>
      </c>
      <c r="M52" s="371">
        <v>8.1000000000000003E-2</v>
      </c>
      <c r="N52" s="371">
        <v>8.1000000000000003E-2</v>
      </c>
      <c r="O52" s="371">
        <v>8.1000000000000003E-2</v>
      </c>
      <c r="P52" s="371">
        <v>8.1000000000000003E-2</v>
      </c>
      <c r="Q52" s="371">
        <v>8.1000000000000003E-2</v>
      </c>
      <c r="R52" s="371">
        <v>8.1000000000000003E-2</v>
      </c>
      <c r="S52" s="371">
        <v>8.1000000000000003E-2</v>
      </c>
      <c r="T52" s="371">
        <v>8.1000000000000003E-2</v>
      </c>
      <c r="U52" s="371">
        <v>8.1000000000000003E-2</v>
      </c>
      <c r="V52" s="371">
        <v>8.1000000000000003E-2</v>
      </c>
      <c r="W52" s="371">
        <v>8.1000000000000003E-2</v>
      </c>
      <c r="X52" s="371">
        <v>8.1000000000000003E-2</v>
      </c>
      <c r="Y52" s="381">
        <v>1000</v>
      </c>
    </row>
    <row r="53" spans="1:25" x14ac:dyDescent="0.2">
      <c r="A53" s="378" t="s">
        <v>34</v>
      </c>
      <c r="B53" s="372">
        <v>0</v>
      </c>
      <c r="C53" s="373">
        <v>310</v>
      </c>
      <c r="D53" s="373">
        <v>260</v>
      </c>
      <c r="E53" s="373">
        <v>220</v>
      </c>
      <c r="F53" s="373">
        <v>190</v>
      </c>
      <c r="G53" s="373">
        <v>167</v>
      </c>
      <c r="H53" s="373">
        <v>0</v>
      </c>
      <c r="I53" s="373">
        <v>0</v>
      </c>
      <c r="J53" s="373">
        <v>0</v>
      </c>
      <c r="K53" s="373">
        <v>0</v>
      </c>
      <c r="L53" s="373">
        <v>0</v>
      </c>
      <c r="M53" s="373">
        <v>0</v>
      </c>
      <c r="N53" s="373">
        <v>0</v>
      </c>
      <c r="O53" s="373">
        <v>0</v>
      </c>
      <c r="P53" s="373">
        <v>0</v>
      </c>
      <c r="Q53" s="373">
        <v>0</v>
      </c>
      <c r="R53" s="373">
        <v>0</v>
      </c>
      <c r="S53" s="373">
        <v>0</v>
      </c>
      <c r="T53" s="373">
        <v>0</v>
      </c>
      <c r="U53" s="373">
        <v>0</v>
      </c>
      <c r="V53" s="373">
        <v>0</v>
      </c>
      <c r="W53" s="373">
        <v>0</v>
      </c>
      <c r="X53" s="373">
        <v>0</v>
      </c>
      <c r="Y53" s="382">
        <v>0</v>
      </c>
    </row>
    <row r="54" spans="1:25" ht="13.5" thickBot="1" x14ac:dyDescent="0.25">
      <c r="A54" s="379" t="s">
        <v>116</v>
      </c>
      <c r="B54" s="374">
        <f t="shared" ref="B54:X54" si="7">(C53+B53)*(C52-B52)/2</f>
        <v>0.155</v>
      </c>
      <c r="C54" s="375">
        <f t="shared" si="7"/>
        <v>5.415</v>
      </c>
      <c r="D54" s="375">
        <f t="shared" si="7"/>
        <v>4.8</v>
      </c>
      <c r="E54" s="375">
        <f t="shared" si="7"/>
        <v>4.0999999999999996</v>
      </c>
      <c r="F54" s="375">
        <f t="shared" si="7"/>
        <v>3.5700000000000007</v>
      </c>
      <c r="G54" s="375">
        <f t="shared" si="7"/>
        <v>8.3500000000000074E-2</v>
      </c>
      <c r="H54" s="375">
        <f t="shared" si="7"/>
        <v>0</v>
      </c>
      <c r="I54" s="375">
        <f t="shared" si="7"/>
        <v>0</v>
      </c>
      <c r="J54" s="375">
        <f t="shared" si="7"/>
        <v>0</v>
      </c>
      <c r="K54" s="375">
        <f t="shared" si="7"/>
        <v>0</v>
      </c>
      <c r="L54" s="375">
        <f t="shared" si="7"/>
        <v>0</v>
      </c>
      <c r="M54" s="375">
        <f t="shared" si="7"/>
        <v>0</v>
      </c>
      <c r="N54" s="375">
        <f t="shared" si="7"/>
        <v>0</v>
      </c>
      <c r="O54" s="375">
        <f t="shared" si="7"/>
        <v>0</v>
      </c>
      <c r="P54" s="375">
        <f t="shared" si="7"/>
        <v>0</v>
      </c>
      <c r="Q54" s="375">
        <f t="shared" si="7"/>
        <v>0</v>
      </c>
      <c r="R54" s="375">
        <f t="shared" si="7"/>
        <v>0</v>
      </c>
      <c r="S54" s="375">
        <f t="shared" si="7"/>
        <v>0</v>
      </c>
      <c r="T54" s="375">
        <f t="shared" si="7"/>
        <v>0</v>
      </c>
      <c r="U54" s="375">
        <f t="shared" si="7"/>
        <v>0</v>
      </c>
      <c r="V54" s="375">
        <f t="shared" si="7"/>
        <v>0</v>
      </c>
      <c r="W54" s="375">
        <f t="shared" si="7"/>
        <v>0</v>
      </c>
      <c r="X54" s="375">
        <f t="shared" si="7"/>
        <v>0</v>
      </c>
      <c r="Y54" s="369"/>
    </row>
    <row r="55" spans="1:25" ht="13.5" thickBot="1" x14ac:dyDescent="0.25">
      <c r="B55" s="12"/>
      <c r="C55" s="12"/>
      <c r="D55" s="12"/>
      <c r="E55" s="12"/>
      <c r="F55" s="12"/>
      <c r="G55" s="12"/>
      <c r="H55" s="12"/>
      <c r="I55" s="12"/>
      <c r="J55" s="12"/>
      <c r="K55" s="12"/>
      <c r="L55" s="12"/>
      <c r="M55" s="12"/>
      <c r="N55" s="12"/>
      <c r="O55" s="12"/>
      <c r="P55" s="12"/>
      <c r="Q55" s="12"/>
      <c r="R55" s="12"/>
      <c r="S55" s="12"/>
      <c r="T55" s="12"/>
      <c r="U55" s="12"/>
      <c r="V55" s="12"/>
      <c r="W55" s="12"/>
      <c r="X55" s="12"/>
      <c r="Y55" s="12"/>
    </row>
    <row r="56" spans="1:25" ht="13.5" thickBot="1" x14ac:dyDescent="0.25">
      <c r="A56" s="361" t="s">
        <v>279</v>
      </c>
      <c r="B56" s="359">
        <f>ROW(A56)</f>
        <v>56</v>
      </c>
      <c r="C56" s="363" t="s">
        <v>115</v>
      </c>
      <c r="D56" s="353">
        <f>SUM(B59:Y59)</f>
        <v>22.610000000000003</v>
      </c>
      <c r="E56" s="363" t="s">
        <v>114</v>
      </c>
      <c r="F56" s="399">
        <f>D56/g/J56</f>
        <v>2.88098878695209</v>
      </c>
      <c r="G56" s="363" t="s">
        <v>56</v>
      </c>
      <c r="H56" s="64">
        <v>0.9</v>
      </c>
      <c r="I56" s="363" t="s">
        <v>271</v>
      </c>
      <c r="J56" s="355">
        <f>H56-L56</f>
        <v>0.8</v>
      </c>
      <c r="K56" s="363" t="s">
        <v>272</v>
      </c>
      <c r="L56" s="64">
        <v>0.1</v>
      </c>
      <c r="M56" s="363" t="s">
        <v>57</v>
      </c>
      <c r="N56" s="65">
        <f>0.4*R56</f>
        <v>120</v>
      </c>
      <c r="O56" s="363" t="s">
        <v>59</v>
      </c>
      <c r="P56" s="65">
        <v>150</v>
      </c>
      <c r="Q56" s="363" t="s">
        <v>60</v>
      </c>
      <c r="R56" s="65">
        <v>300</v>
      </c>
      <c r="S56" s="363" t="s">
        <v>61</v>
      </c>
      <c r="T56" s="65">
        <v>98</v>
      </c>
      <c r="U56" s="363" t="s">
        <v>54</v>
      </c>
      <c r="V56" s="66" t="s">
        <v>276</v>
      </c>
      <c r="W56" s="12"/>
      <c r="X56" s="12"/>
      <c r="Y56" s="12"/>
    </row>
    <row r="57" spans="1:25" x14ac:dyDescent="0.2">
      <c r="A57" s="362" t="s">
        <v>33</v>
      </c>
      <c r="B57" s="370">
        <v>0</v>
      </c>
      <c r="C57" s="371">
        <v>1E-3</v>
      </c>
      <c r="D57" s="371">
        <v>0.02</v>
      </c>
      <c r="E57" s="371">
        <v>0.04</v>
      </c>
      <c r="F57" s="371">
        <v>0.06</v>
      </c>
      <c r="G57" s="371">
        <v>0.08</v>
      </c>
      <c r="H57" s="371">
        <v>0.1</v>
      </c>
      <c r="I57" s="371">
        <v>0.11700000000000001</v>
      </c>
      <c r="J57" s="371">
        <v>0.11799999999999999</v>
      </c>
      <c r="K57" s="371">
        <v>0.11799999999999999</v>
      </c>
      <c r="L57" s="371">
        <v>0.11799999999999999</v>
      </c>
      <c r="M57" s="371">
        <v>0.11799999999999999</v>
      </c>
      <c r="N57" s="371">
        <v>0.11799999999999999</v>
      </c>
      <c r="O57" s="371">
        <v>0.11799999999999999</v>
      </c>
      <c r="P57" s="371">
        <v>0.11799999999999999</v>
      </c>
      <c r="Q57" s="371">
        <v>0.11799999999999999</v>
      </c>
      <c r="R57" s="371">
        <v>0.11799999999999999</v>
      </c>
      <c r="S57" s="371">
        <v>0.11799999999999999</v>
      </c>
      <c r="T57" s="371">
        <v>0.11799999999999999</v>
      </c>
      <c r="U57" s="371">
        <v>0.11799999999999999</v>
      </c>
      <c r="V57" s="371">
        <v>0.11799999999999999</v>
      </c>
      <c r="W57" s="371">
        <v>0.11799999999999999</v>
      </c>
      <c r="X57" s="371">
        <v>0.11799999999999999</v>
      </c>
      <c r="Y57" s="381">
        <v>1000</v>
      </c>
    </row>
    <row r="58" spans="1:25" x14ac:dyDescent="0.2">
      <c r="A58" s="378" t="s">
        <v>34</v>
      </c>
      <c r="B58" s="372">
        <v>0</v>
      </c>
      <c r="C58" s="373">
        <v>310</v>
      </c>
      <c r="D58" s="373">
        <v>250</v>
      </c>
      <c r="E58" s="373">
        <v>210</v>
      </c>
      <c r="F58" s="373">
        <v>180</v>
      </c>
      <c r="G58" s="373">
        <v>156</v>
      </c>
      <c r="H58" s="373">
        <v>140</v>
      </c>
      <c r="I58" s="373">
        <v>125</v>
      </c>
      <c r="J58" s="373">
        <v>0</v>
      </c>
      <c r="K58" s="373">
        <v>0</v>
      </c>
      <c r="L58" s="373">
        <v>0</v>
      </c>
      <c r="M58" s="373">
        <v>0</v>
      </c>
      <c r="N58" s="373">
        <v>0</v>
      </c>
      <c r="O58" s="373">
        <v>0</v>
      </c>
      <c r="P58" s="373">
        <v>0</v>
      </c>
      <c r="Q58" s="373">
        <v>0</v>
      </c>
      <c r="R58" s="373">
        <v>0</v>
      </c>
      <c r="S58" s="373">
        <v>0</v>
      </c>
      <c r="T58" s="373">
        <v>0</v>
      </c>
      <c r="U58" s="373">
        <v>0</v>
      </c>
      <c r="V58" s="373">
        <v>0</v>
      </c>
      <c r="W58" s="373">
        <v>0</v>
      </c>
      <c r="X58" s="373">
        <v>0</v>
      </c>
      <c r="Y58" s="382">
        <v>0</v>
      </c>
    </row>
    <row r="59" spans="1:25" ht="13.5" thickBot="1" x14ac:dyDescent="0.25">
      <c r="A59" s="379" t="s">
        <v>116</v>
      </c>
      <c r="B59" s="374">
        <f t="shared" ref="B59:X59" si="8">(C58+B58)*(C57-B57)/2</f>
        <v>0.155</v>
      </c>
      <c r="C59" s="375">
        <f t="shared" si="8"/>
        <v>5.32</v>
      </c>
      <c r="D59" s="375">
        <f t="shared" si="8"/>
        <v>4.6000000000000005</v>
      </c>
      <c r="E59" s="375">
        <f t="shared" si="8"/>
        <v>3.8999999999999995</v>
      </c>
      <c r="F59" s="375">
        <f t="shared" si="8"/>
        <v>3.3600000000000008</v>
      </c>
      <c r="G59" s="375">
        <f t="shared" si="8"/>
        <v>2.9600000000000004</v>
      </c>
      <c r="H59" s="375">
        <f t="shared" si="8"/>
        <v>2.2524999999999999</v>
      </c>
      <c r="I59" s="375">
        <f t="shared" si="8"/>
        <v>6.2499999999999188E-2</v>
      </c>
      <c r="J59" s="375">
        <f t="shared" si="8"/>
        <v>0</v>
      </c>
      <c r="K59" s="375">
        <f t="shared" si="8"/>
        <v>0</v>
      </c>
      <c r="L59" s="375">
        <f t="shared" si="8"/>
        <v>0</v>
      </c>
      <c r="M59" s="375">
        <f t="shared" si="8"/>
        <v>0</v>
      </c>
      <c r="N59" s="375">
        <f t="shared" si="8"/>
        <v>0</v>
      </c>
      <c r="O59" s="375">
        <f t="shared" si="8"/>
        <v>0</v>
      </c>
      <c r="P59" s="375">
        <f t="shared" si="8"/>
        <v>0</v>
      </c>
      <c r="Q59" s="375">
        <f t="shared" si="8"/>
        <v>0</v>
      </c>
      <c r="R59" s="375">
        <f t="shared" si="8"/>
        <v>0</v>
      </c>
      <c r="S59" s="375">
        <f t="shared" si="8"/>
        <v>0</v>
      </c>
      <c r="T59" s="375">
        <f t="shared" si="8"/>
        <v>0</v>
      </c>
      <c r="U59" s="375">
        <f t="shared" si="8"/>
        <v>0</v>
      </c>
      <c r="V59" s="375">
        <f t="shared" si="8"/>
        <v>0</v>
      </c>
      <c r="W59" s="375">
        <f t="shared" si="8"/>
        <v>0</v>
      </c>
      <c r="X59" s="375">
        <f t="shared" si="8"/>
        <v>0</v>
      </c>
      <c r="Y59" s="369"/>
    </row>
    <row r="60" spans="1:25" ht="13.5" thickBot="1" x14ac:dyDescent="0.25">
      <c r="A60" s="12"/>
      <c r="L60" s="12"/>
      <c r="M60" s="12"/>
      <c r="N60" s="12"/>
      <c r="O60" s="12"/>
      <c r="P60" s="12"/>
      <c r="Q60" s="12"/>
      <c r="R60" s="12"/>
      <c r="S60" s="12"/>
      <c r="T60" s="12"/>
      <c r="U60" s="12"/>
      <c r="V60" s="12"/>
      <c r="W60" s="12"/>
      <c r="X60" s="12"/>
      <c r="Y60" s="12"/>
    </row>
    <row r="61" spans="1:25" ht="13.5" thickBot="1" x14ac:dyDescent="0.25">
      <c r="A61" s="361" t="s">
        <v>280</v>
      </c>
      <c r="B61" s="359">
        <f>ROW(A61)</f>
        <v>61</v>
      </c>
      <c r="C61" s="363" t="s">
        <v>115</v>
      </c>
      <c r="D61" s="353">
        <f>SUM(B64:Y64)</f>
        <v>25.874000000000006</v>
      </c>
      <c r="E61" s="363" t="s">
        <v>114</v>
      </c>
      <c r="F61" s="399">
        <f>D61/g/J61</f>
        <v>2.6375127420998985</v>
      </c>
      <c r="G61" s="363" t="s">
        <v>56</v>
      </c>
      <c r="H61" s="64">
        <v>1.1000000000000001</v>
      </c>
      <c r="I61" s="363" t="s">
        <v>271</v>
      </c>
      <c r="J61" s="355">
        <f>H61-L61</f>
        <v>1</v>
      </c>
      <c r="K61" s="363" t="s">
        <v>272</v>
      </c>
      <c r="L61" s="64">
        <v>0.1</v>
      </c>
      <c r="M61" s="363" t="s">
        <v>57</v>
      </c>
      <c r="N61" s="65">
        <f>0.5*R61</f>
        <v>150</v>
      </c>
      <c r="O61" s="363" t="s">
        <v>59</v>
      </c>
      <c r="P61" s="65">
        <v>150</v>
      </c>
      <c r="Q61" s="363" t="s">
        <v>60</v>
      </c>
      <c r="R61" s="65">
        <v>300</v>
      </c>
      <c r="S61" s="363" t="s">
        <v>61</v>
      </c>
      <c r="T61" s="65">
        <v>98</v>
      </c>
      <c r="U61" s="363" t="s">
        <v>54</v>
      </c>
      <c r="V61" s="66" t="s">
        <v>276</v>
      </c>
      <c r="W61" s="12"/>
      <c r="X61" s="12"/>
      <c r="Y61" s="12"/>
    </row>
    <row r="62" spans="1:25" x14ac:dyDescent="0.2">
      <c r="A62" s="362" t="s">
        <v>33</v>
      </c>
      <c r="B62" s="370">
        <v>0</v>
      </c>
      <c r="C62" s="371">
        <v>1E-3</v>
      </c>
      <c r="D62" s="371">
        <v>0.02</v>
      </c>
      <c r="E62" s="371">
        <v>0.04</v>
      </c>
      <c r="F62" s="371">
        <v>0.06</v>
      </c>
      <c r="G62" s="371">
        <v>0.08</v>
      </c>
      <c r="H62" s="371">
        <v>0.1</v>
      </c>
      <c r="I62" s="371">
        <v>0.12</v>
      </c>
      <c r="J62" s="371">
        <v>0.14000000000000001</v>
      </c>
      <c r="K62" s="371">
        <v>0.16400000000000001</v>
      </c>
      <c r="L62" s="371">
        <v>0.16500000000000001</v>
      </c>
      <c r="M62" s="371">
        <v>0.16500000000000001</v>
      </c>
      <c r="N62" s="371">
        <v>0.16500000000000001</v>
      </c>
      <c r="O62" s="371">
        <v>0.16500000000000001</v>
      </c>
      <c r="P62" s="371">
        <v>0.16500000000000001</v>
      </c>
      <c r="Q62" s="371">
        <v>0.16500000000000001</v>
      </c>
      <c r="R62" s="371">
        <v>0.16500000000000001</v>
      </c>
      <c r="S62" s="371">
        <v>0.16500000000000001</v>
      </c>
      <c r="T62" s="371">
        <v>0.16500000000000001</v>
      </c>
      <c r="U62" s="371">
        <v>0.16500000000000001</v>
      </c>
      <c r="V62" s="371">
        <v>0.16500000000000001</v>
      </c>
      <c r="W62" s="371">
        <v>0.16500000000000001</v>
      </c>
      <c r="X62" s="371">
        <v>0.16500000000000001</v>
      </c>
      <c r="Y62" s="381">
        <v>1000</v>
      </c>
    </row>
    <row r="63" spans="1:25" x14ac:dyDescent="0.2">
      <c r="A63" s="378" t="s">
        <v>34</v>
      </c>
      <c r="B63" s="372">
        <v>0</v>
      </c>
      <c r="C63" s="373">
        <v>310</v>
      </c>
      <c r="D63" s="373">
        <v>245</v>
      </c>
      <c r="E63" s="373">
        <v>200</v>
      </c>
      <c r="F63" s="373">
        <v>165</v>
      </c>
      <c r="G63" s="373">
        <v>143</v>
      </c>
      <c r="H63" s="373">
        <v>124</v>
      </c>
      <c r="I63" s="373">
        <v>108</v>
      </c>
      <c r="J63" s="373">
        <v>97</v>
      </c>
      <c r="K63" s="373">
        <v>85</v>
      </c>
      <c r="L63" s="373">
        <v>0</v>
      </c>
      <c r="M63" s="373">
        <v>0</v>
      </c>
      <c r="N63" s="373">
        <v>0</v>
      </c>
      <c r="O63" s="373">
        <v>0</v>
      </c>
      <c r="P63" s="373">
        <v>0</v>
      </c>
      <c r="Q63" s="373">
        <v>0</v>
      </c>
      <c r="R63" s="373">
        <v>0</v>
      </c>
      <c r="S63" s="373">
        <v>0</v>
      </c>
      <c r="T63" s="373">
        <v>0</v>
      </c>
      <c r="U63" s="373">
        <v>0</v>
      </c>
      <c r="V63" s="373">
        <v>0</v>
      </c>
      <c r="W63" s="373">
        <v>0</v>
      </c>
      <c r="X63" s="373">
        <v>0</v>
      </c>
      <c r="Y63" s="382">
        <v>0</v>
      </c>
    </row>
    <row r="64" spans="1:25" ht="13.5" thickBot="1" x14ac:dyDescent="0.25">
      <c r="A64" s="379" t="s">
        <v>116</v>
      </c>
      <c r="B64" s="374">
        <f t="shared" ref="B64:X64" si="9">(C63+B63)*(C62-B62)/2</f>
        <v>0.155</v>
      </c>
      <c r="C64" s="375">
        <f t="shared" si="9"/>
        <v>5.2725</v>
      </c>
      <c r="D64" s="375">
        <f t="shared" si="9"/>
        <v>4.45</v>
      </c>
      <c r="E64" s="375">
        <f t="shared" si="9"/>
        <v>3.6499999999999995</v>
      </c>
      <c r="F64" s="375">
        <f t="shared" si="9"/>
        <v>3.0800000000000005</v>
      </c>
      <c r="G64" s="375">
        <f t="shared" si="9"/>
        <v>2.6700000000000004</v>
      </c>
      <c r="H64" s="375">
        <f t="shared" si="9"/>
        <v>2.319999999999999</v>
      </c>
      <c r="I64" s="375">
        <f t="shared" si="9"/>
        <v>2.0500000000000016</v>
      </c>
      <c r="J64" s="375">
        <f t="shared" si="9"/>
        <v>2.1839999999999993</v>
      </c>
      <c r="K64" s="375">
        <f t="shared" si="9"/>
        <v>4.2500000000000038E-2</v>
      </c>
      <c r="L64" s="375">
        <f t="shared" si="9"/>
        <v>0</v>
      </c>
      <c r="M64" s="375">
        <f t="shared" si="9"/>
        <v>0</v>
      </c>
      <c r="N64" s="375">
        <f t="shared" si="9"/>
        <v>0</v>
      </c>
      <c r="O64" s="375">
        <f t="shared" si="9"/>
        <v>0</v>
      </c>
      <c r="P64" s="375">
        <f t="shared" si="9"/>
        <v>0</v>
      </c>
      <c r="Q64" s="375">
        <f t="shared" si="9"/>
        <v>0</v>
      </c>
      <c r="R64" s="375">
        <f t="shared" si="9"/>
        <v>0</v>
      </c>
      <c r="S64" s="375">
        <f t="shared" si="9"/>
        <v>0</v>
      </c>
      <c r="T64" s="375">
        <f t="shared" si="9"/>
        <v>0</v>
      </c>
      <c r="U64" s="375">
        <f t="shared" si="9"/>
        <v>0</v>
      </c>
      <c r="V64" s="375">
        <f t="shared" si="9"/>
        <v>0</v>
      </c>
      <c r="W64" s="375">
        <f t="shared" si="9"/>
        <v>0</v>
      </c>
      <c r="X64" s="375">
        <f t="shared" si="9"/>
        <v>0</v>
      </c>
      <c r="Y64" s="369"/>
    </row>
    <row r="66" spans="1:26" ht="13.5" thickBot="1" x14ac:dyDescent="0.25">
      <c r="A66" s="6" t="s">
        <v>181</v>
      </c>
    </row>
    <row r="67" spans="1:26" ht="13.5" thickBot="1" x14ac:dyDescent="0.25">
      <c r="A67" s="361" t="s">
        <v>111</v>
      </c>
      <c r="B67" s="359">
        <f>ROW(A67)</f>
        <v>67</v>
      </c>
      <c r="C67" s="363" t="s">
        <v>115</v>
      </c>
      <c r="D67" s="353">
        <f>SUM(B70:Y70)</f>
        <v>2.65</v>
      </c>
      <c r="E67" s="363" t="s">
        <v>114</v>
      </c>
      <c r="F67" s="354">
        <f>D67/g/J67</f>
        <v>54.026503567787969</v>
      </c>
      <c r="G67" s="363" t="s">
        <v>56</v>
      </c>
      <c r="H67" s="64">
        <v>1.4999999999999999E-2</v>
      </c>
      <c r="I67" s="363" t="s">
        <v>271</v>
      </c>
      <c r="J67" s="355">
        <f>H67-L67</f>
        <v>4.9999999999999992E-3</v>
      </c>
      <c r="K67" s="363" t="s">
        <v>272</v>
      </c>
      <c r="L67" s="64">
        <v>0.01</v>
      </c>
      <c r="M67" s="363" t="s">
        <v>57</v>
      </c>
      <c r="N67" s="65">
        <v>30</v>
      </c>
      <c r="O67" s="363" t="s">
        <v>59</v>
      </c>
      <c r="P67" s="65">
        <v>30</v>
      </c>
      <c r="Q67" s="363" t="s">
        <v>60</v>
      </c>
      <c r="R67" s="65">
        <v>70</v>
      </c>
      <c r="S67" s="363" t="s">
        <v>61</v>
      </c>
      <c r="T67" s="65">
        <v>15</v>
      </c>
      <c r="U67" s="363" t="s">
        <v>54</v>
      </c>
      <c r="V67" s="66" t="s">
        <v>117</v>
      </c>
      <c r="W67" s="463" t="s">
        <v>394</v>
      </c>
      <c r="X67" s="465">
        <v>0.32</v>
      </c>
      <c r="Y67" s="463" t="s">
        <v>393</v>
      </c>
      <c r="Z67" s="358">
        <v>3</v>
      </c>
    </row>
    <row r="68" spans="1:26" x14ac:dyDescent="0.2">
      <c r="A68" s="362" t="s">
        <v>33</v>
      </c>
      <c r="B68" s="370">
        <v>0</v>
      </c>
      <c r="C68" s="371">
        <v>0.2</v>
      </c>
      <c r="D68" s="371">
        <v>0.3</v>
      </c>
      <c r="E68" s="371">
        <v>0.4</v>
      </c>
      <c r="F68" s="371">
        <v>0.5</v>
      </c>
      <c r="G68" s="371">
        <v>0.55000000000000004</v>
      </c>
      <c r="H68" s="371">
        <v>0.6</v>
      </c>
      <c r="I68" s="371">
        <v>0.6</v>
      </c>
      <c r="J68" s="371">
        <v>0.6</v>
      </c>
      <c r="K68" s="371">
        <v>0.6</v>
      </c>
      <c r="L68" s="371">
        <v>0.6</v>
      </c>
      <c r="M68" s="371">
        <v>0.6</v>
      </c>
      <c r="N68" s="371">
        <v>0.6</v>
      </c>
      <c r="O68" s="371">
        <v>0.6</v>
      </c>
      <c r="P68" s="371">
        <v>0.6</v>
      </c>
      <c r="Q68" s="371">
        <v>0.6</v>
      </c>
      <c r="R68" s="371">
        <v>0.6</v>
      </c>
      <c r="S68" s="371">
        <v>0.6</v>
      </c>
      <c r="T68" s="371">
        <v>0.6</v>
      </c>
      <c r="U68" s="371">
        <v>0.6</v>
      </c>
      <c r="V68" s="371">
        <v>0.6</v>
      </c>
      <c r="W68" s="371">
        <v>0.6</v>
      </c>
      <c r="X68" s="371">
        <v>0.6</v>
      </c>
      <c r="Y68" s="381">
        <v>1000</v>
      </c>
    </row>
    <row r="69" spans="1:26" x14ac:dyDescent="0.2">
      <c r="A69" s="378" t="s">
        <v>34</v>
      </c>
      <c r="B69" s="372">
        <v>0</v>
      </c>
      <c r="C69" s="373">
        <v>9</v>
      </c>
      <c r="D69" s="373">
        <v>4.5</v>
      </c>
      <c r="E69" s="373">
        <v>4</v>
      </c>
      <c r="F69" s="373">
        <v>4</v>
      </c>
      <c r="G69" s="373">
        <v>3</v>
      </c>
      <c r="H69" s="373">
        <v>0</v>
      </c>
      <c r="I69" s="373">
        <v>0</v>
      </c>
      <c r="J69" s="373">
        <v>0</v>
      </c>
      <c r="K69" s="373">
        <v>0</v>
      </c>
      <c r="L69" s="373">
        <v>0</v>
      </c>
      <c r="M69" s="373">
        <v>0</v>
      </c>
      <c r="N69" s="373">
        <v>0</v>
      </c>
      <c r="O69" s="373">
        <v>0</v>
      </c>
      <c r="P69" s="373">
        <v>0</v>
      </c>
      <c r="Q69" s="373">
        <v>0</v>
      </c>
      <c r="R69" s="373">
        <v>0</v>
      </c>
      <c r="S69" s="373">
        <v>0</v>
      </c>
      <c r="T69" s="373">
        <v>0</v>
      </c>
      <c r="U69" s="373">
        <v>0</v>
      </c>
      <c r="V69" s="373">
        <v>0</v>
      </c>
      <c r="W69" s="373">
        <v>0</v>
      </c>
      <c r="X69" s="373">
        <v>0</v>
      </c>
      <c r="Y69" s="382">
        <v>0</v>
      </c>
    </row>
    <row r="70" spans="1:26" ht="13.5" thickBot="1" x14ac:dyDescent="0.25">
      <c r="A70" s="379" t="s">
        <v>116</v>
      </c>
      <c r="B70" s="374">
        <f t="shared" ref="B70:X70" si="10">(C69+B69)*(C68-B68)/2</f>
        <v>0.9</v>
      </c>
      <c r="C70" s="375">
        <f t="shared" si="10"/>
        <v>0.67499999999999982</v>
      </c>
      <c r="D70" s="375">
        <f t="shared" si="10"/>
        <v>0.42500000000000016</v>
      </c>
      <c r="E70" s="375">
        <f t="shared" si="10"/>
        <v>0.39999999999999991</v>
      </c>
      <c r="F70" s="375">
        <f t="shared" si="10"/>
        <v>0.17500000000000016</v>
      </c>
      <c r="G70" s="375">
        <f t="shared" si="10"/>
        <v>7.49999999999999E-2</v>
      </c>
      <c r="H70" s="375">
        <f t="shared" si="10"/>
        <v>0</v>
      </c>
      <c r="I70" s="375">
        <f t="shared" si="10"/>
        <v>0</v>
      </c>
      <c r="J70" s="375">
        <f t="shared" si="10"/>
        <v>0</v>
      </c>
      <c r="K70" s="375">
        <f t="shared" si="10"/>
        <v>0</v>
      </c>
      <c r="L70" s="375">
        <f t="shared" si="10"/>
        <v>0</v>
      </c>
      <c r="M70" s="375">
        <f t="shared" si="10"/>
        <v>0</v>
      </c>
      <c r="N70" s="375">
        <f t="shared" si="10"/>
        <v>0</v>
      </c>
      <c r="O70" s="375">
        <f t="shared" si="10"/>
        <v>0</v>
      </c>
      <c r="P70" s="375">
        <f t="shared" si="10"/>
        <v>0</v>
      </c>
      <c r="Q70" s="375">
        <f t="shared" si="10"/>
        <v>0</v>
      </c>
      <c r="R70" s="375">
        <f t="shared" si="10"/>
        <v>0</v>
      </c>
      <c r="S70" s="375">
        <f t="shared" si="10"/>
        <v>0</v>
      </c>
      <c r="T70" s="375">
        <f t="shared" si="10"/>
        <v>0</v>
      </c>
      <c r="U70" s="375">
        <f t="shared" si="10"/>
        <v>0</v>
      </c>
      <c r="V70" s="375">
        <f t="shared" si="10"/>
        <v>0</v>
      </c>
      <c r="W70" s="375">
        <f t="shared" si="10"/>
        <v>0</v>
      </c>
      <c r="X70" s="375">
        <f t="shared" si="10"/>
        <v>0</v>
      </c>
      <c r="Y70" s="369"/>
    </row>
    <row r="71" spans="1:26" ht="13.5" thickBot="1" x14ac:dyDescent="0.25">
      <c r="A71" s="12"/>
      <c r="L71" s="12"/>
      <c r="M71" s="12"/>
      <c r="N71" s="12"/>
      <c r="O71" s="12"/>
      <c r="P71" s="12"/>
      <c r="Q71" s="12"/>
      <c r="R71" s="12"/>
      <c r="S71" s="12"/>
      <c r="T71" s="12"/>
      <c r="U71" s="12"/>
      <c r="V71" s="12"/>
      <c r="W71" s="12"/>
      <c r="X71" s="12"/>
      <c r="Y71" s="12"/>
    </row>
    <row r="72" spans="1:26" ht="13.5" thickBot="1" x14ac:dyDescent="0.25">
      <c r="A72" s="361" t="s">
        <v>112</v>
      </c>
      <c r="B72" s="359">
        <f>ROW(A72)</f>
        <v>72</v>
      </c>
      <c r="C72" s="363" t="s">
        <v>115</v>
      </c>
      <c r="D72" s="353">
        <f>SUM(B75:Y75)</f>
        <v>5.25</v>
      </c>
      <c r="E72" s="363" t="s">
        <v>114</v>
      </c>
      <c r="F72" s="354">
        <f>D72/g/J72</f>
        <v>89.1946992864424</v>
      </c>
      <c r="G72" s="363" t="s">
        <v>56</v>
      </c>
      <c r="H72" s="64">
        <v>0.02</v>
      </c>
      <c r="I72" s="363" t="s">
        <v>271</v>
      </c>
      <c r="J72" s="355">
        <f>H72-L72</f>
        <v>6.0000000000000001E-3</v>
      </c>
      <c r="K72" s="363" t="s">
        <v>272</v>
      </c>
      <c r="L72" s="64">
        <v>1.4E-2</v>
      </c>
      <c r="M72" s="363" t="s">
        <v>57</v>
      </c>
      <c r="N72" s="65">
        <v>30</v>
      </c>
      <c r="O72" s="363" t="s">
        <v>59</v>
      </c>
      <c r="P72" s="65">
        <v>30</v>
      </c>
      <c r="Q72" s="363" t="s">
        <v>60</v>
      </c>
      <c r="R72" s="65">
        <v>70</v>
      </c>
      <c r="S72" s="363" t="s">
        <v>61</v>
      </c>
      <c r="T72" s="65">
        <v>15</v>
      </c>
      <c r="U72" s="363" t="s">
        <v>54</v>
      </c>
      <c r="V72" s="66" t="s">
        <v>117</v>
      </c>
      <c r="W72" s="463" t="s">
        <v>394</v>
      </c>
      <c r="X72" s="465">
        <v>1.2</v>
      </c>
      <c r="Y72" s="463" t="s">
        <v>393</v>
      </c>
      <c r="Z72" s="358">
        <v>4</v>
      </c>
    </row>
    <row r="73" spans="1:26" x14ac:dyDescent="0.2">
      <c r="A73" s="362" t="s">
        <v>33</v>
      </c>
      <c r="B73" s="370">
        <v>0</v>
      </c>
      <c r="C73" s="371">
        <v>0.2</v>
      </c>
      <c r="D73" s="371">
        <v>0.3</v>
      </c>
      <c r="E73" s="371">
        <v>0.55000000000000004</v>
      </c>
      <c r="F73" s="371">
        <v>1.05</v>
      </c>
      <c r="G73" s="371">
        <v>1.1499999999999999</v>
      </c>
      <c r="H73" s="371">
        <v>1.1499999999999999</v>
      </c>
      <c r="I73" s="371">
        <v>1.1499999999999999</v>
      </c>
      <c r="J73" s="371">
        <v>1.1499999999999999</v>
      </c>
      <c r="K73" s="371">
        <v>1.1499999999999999</v>
      </c>
      <c r="L73" s="371">
        <v>1.1499999999999999</v>
      </c>
      <c r="M73" s="371">
        <v>1.1499999999999999</v>
      </c>
      <c r="N73" s="371">
        <v>1.1499999999999999</v>
      </c>
      <c r="O73" s="371">
        <v>1.1499999999999999</v>
      </c>
      <c r="P73" s="371">
        <v>1.1499999999999999</v>
      </c>
      <c r="Q73" s="371">
        <v>1.1499999999999999</v>
      </c>
      <c r="R73" s="371">
        <v>1.1499999999999999</v>
      </c>
      <c r="S73" s="371">
        <v>1.1499999999999999</v>
      </c>
      <c r="T73" s="371">
        <v>1.1499999999999999</v>
      </c>
      <c r="U73" s="371">
        <v>1.1499999999999999</v>
      </c>
      <c r="V73" s="371">
        <v>1.1499999999999999</v>
      </c>
      <c r="W73" s="371">
        <v>1.1499999999999999</v>
      </c>
      <c r="X73" s="371">
        <v>1.1499999999999999</v>
      </c>
      <c r="Y73" s="381">
        <v>1000</v>
      </c>
    </row>
    <row r="74" spans="1:26" x14ac:dyDescent="0.2">
      <c r="A74" s="378" t="s">
        <v>34</v>
      </c>
      <c r="B74" s="372">
        <v>0</v>
      </c>
      <c r="C74" s="373">
        <v>10</v>
      </c>
      <c r="D74" s="373">
        <v>6</v>
      </c>
      <c r="E74" s="373">
        <v>4</v>
      </c>
      <c r="F74" s="373">
        <v>4</v>
      </c>
      <c r="G74" s="373">
        <v>0</v>
      </c>
      <c r="H74" s="373">
        <v>0</v>
      </c>
      <c r="I74" s="373">
        <v>0</v>
      </c>
      <c r="J74" s="373">
        <v>0</v>
      </c>
      <c r="K74" s="373">
        <v>0</v>
      </c>
      <c r="L74" s="373">
        <v>0</v>
      </c>
      <c r="M74" s="373">
        <v>0</v>
      </c>
      <c r="N74" s="373">
        <v>0</v>
      </c>
      <c r="O74" s="373">
        <v>0</v>
      </c>
      <c r="P74" s="373">
        <v>0</v>
      </c>
      <c r="Q74" s="373">
        <v>0</v>
      </c>
      <c r="R74" s="373">
        <v>0</v>
      </c>
      <c r="S74" s="373">
        <v>0</v>
      </c>
      <c r="T74" s="373">
        <v>0</v>
      </c>
      <c r="U74" s="373">
        <v>0</v>
      </c>
      <c r="V74" s="373">
        <v>0</v>
      </c>
      <c r="W74" s="373">
        <v>0</v>
      </c>
      <c r="X74" s="373">
        <v>0</v>
      </c>
      <c r="Y74" s="382">
        <v>0</v>
      </c>
    </row>
    <row r="75" spans="1:26" ht="13.5" thickBot="1" x14ac:dyDescent="0.25">
      <c r="A75" s="379" t="s">
        <v>116</v>
      </c>
      <c r="B75" s="374">
        <f t="shared" ref="B75:V75" si="11">(C74+B74)*(C73-B73)/2</f>
        <v>1</v>
      </c>
      <c r="C75" s="375">
        <f t="shared" si="11"/>
        <v>0.79999999999999982</v>
      </c>
      <c r="D75" s="375">
        <f t="shared" si="11"/>
        <v>1.2500000000000002</v>
      </c>
      <c r="E75" s="375">
        <f t="shared" si="11"/>
        <v>2</v>
      </c>
      <c r="F75" s="375">
        <f t="shared" si="11"/>
        <v>0.19999999999999973</v>
      </c>
      <c r="G75" s="375">
        <f t="shared" si="11"/>
        <v>0</v>
      </c>
      <c r="H75" s="375">
        <f t="shared" si="11"/>
        <v>0</v>
      </c>
      <c r="I75" s="375">
        <f t="shared" si="11"/>
        <v>0</v>
      </c>
      <c r="J75" s="375">
        <f>(K74+J74)*(K73-J73)/2</f>
        <v>0</v>
      </c>
      <c r="K75" s="375">
        <f t="shared" si="11"/>
        <v>0</v>
      </c>
      <c r="L75" s="375">
        <f t="shared" si="11"/>
        <v>0</v>
      </c>
      <c r="M75" s="375">
        <f t="shared" si="11"/>
        <v>0</v>
      </c>
      <c r="N75" s="375">
        <f t="shared" si="11"/>
        <v>0</v>
      </c>
      <c r="O75" s="375">
        <f t="shared" si="11"/>
        <v>0</v>
      </c>
      <c r="P75" s="375">
        <f t="shared" si="11"/>
        <v>0</v>
      </c>
      <c r="Q75" s="375">
        <f t="shared" si="11"/>
        <v>0</v>
      </c>
      <c r="R75" s="375">
        <f t="shared" si="11"/>
        <v>0</v>
      </c>
      <c r="S75" s="375">
        <f>(T74+S74)*(T73-S73)/2</f>
        <v>0</v>
      </c>
      <c r="T75" s="375">
        <f t="shared" si="11"/>
        <v>0</v>
      </c>
      <c r="U75" s="375">
        <f t="shared" si="11"/>
        <v>0</v>
      </c>
      <c r="V75" s="375">
        <f t="shared" si="11"/>
        <v>0</v>
      </c>
      <c r="W75" s="375">
        <f>(X74+W74)*(X73-W73)/2</f>
        <v>0</v>
      </c>
      <c r="X75" s="375">
        <f>(Y74+X74)*(Y73-X73)/2</f>
        <v>0</v>
      </c>
      <c r="Y75" s="369"/>
    </row>
    <row r="76" spans="1:26" ht="13.5" thickBot="1" x14ac:dyDescent="0.25">
      <c r="B76" s="12"/>
      <c r="C76" s="12"/>
      <c r="D76" s="12"/>
      <c r="E76" s="12"/>
      <c r="F76" s="12"/>
      <c r="G76" s="12"/>
      <c r="H76" s="12"/>
      <c r="I76" s="12"/>
      <c r="J76" s="12"/>
      <c r="K76" s="12"/>
      <c r="L76" s="12"/>
      <c r="M76" s="12"/>
      <c r="N76" s="12"/>
      <c r="O76" s="12"/>
      <c r="P76" s="12"/>
      <c r="Q76" s="12"/>
      <c r="R76" s="12"/>
      <c r="S76" s="12"/>
      <c r="T76" s="12"/>
      <c r="U76" s="12"/>
      <c r="V76" s="12"/>
      <c r="W76" s="12"/>
      <c r="X76" s="12"/>
      <c r="Y76" s="12"/>
    </row>
    <row r="77" spans="1:26" ht="13.5" thickBot="1" x14ac:dyDescent="0.25">
      <c r="A77" s="361" t="s">
        <v>113</v>
      </c>
      <c r="B77" s="359">
        <f>ROW(A77)</f>
        <v>77</v>
      </c>
      <c r="C77" s="363" t="s">
        <v>115</v>
      </c>
      <c r="D77" s="353">
        <f>SUM(B80:Y80)</f>
        <v>10.26</v>
      </c>
      <c r="E77" s="363" t="s">
        <v>114</v>
      </c>
      <c r="F77" s="354">
        <f>D77/g/J77</f>
        <v>80.451658433309802</v>
      </c>
      <c r="G77" s="363" t="s">
        <v>56</v>
      </c>
      <c r="H77" s="64">
        <v>2.4E-2</v>
      </c>
      <c r="I77" s="363" t="s">
        <v>271</v>
      </c>
      <c r="J77" s="355">
        <f>H77-L77</f>
        <v>1.3000000000000001E-2</v>
      </c>
      <c r="K77" s="363" t="s">
        <v>272</v>
      </c>
      <c r="L77" s="64">
        <v>1.0999999999999999E-2</v>
      </c>
      <c r="M77" s="363" t="s">
        <v>57</v>
      </c>
      <c r="N77" s="65">
        <v>30</v>
      </c>
      <c r="O77" s="363" t="s">
        <v>59</v>
      </c>
      <c r="P77" s="65">
        <v>30</v>
      </c>
      <c r="Q77" s="363" t="s">
        <v>60</v>
      </c>
      <c r="R77" s="65">
        <v>70</v>
      </c>
      <c r="S77" s="363" t="s">
        <v>61</v>
      </c>
      <c r="T77" s="65">
        <v>15</v>
      </c>
      <c r="U77" s="363" t="s">
        <v>54</v>
      </c>
      <c r="V77" s="66" t="s">
        <v>117</v>
      </c>
      <c r="W77" s="463" t="s">
        <v>394</v>
      </c>
      <c r="X77" s="465">
        <v>1.7</v>
      </c>
      <c r="Y77" s="463" t="s">
        <v>393</v>
      </c>
      <c r="Z77" s="358">
        <v>3</v>
      </c>
    </row>
    <row r="78" spans="1:26" x14ac:dyDescent="0.2">
      <c r="A78" s="362" t="s">
        <v>33</v>
      </c>
      <c r="B78" s="370">
        <v>0</v>
      </c>
      <c r="C78" s="371">
        <v>0.2</v>
      </c>
      <c r="D78" s="371">
        <v>0.3</v>
      </c>
      <c r="E78" s="371">
        <v>0.6</v>
      </c>
      <c r="F78" s="371">
        <v>0.8</v>
      </c>
      <c r="G78" s="371">
        <v>2</v>
      </c>
      <c r="H78" s="371">
        <v>2.1</v>
      </c>
      <c r="I78" s="371">
        <v>2.1</v>
      </c>
      <c r="J78" s="371">
        <v>2.1</v>
      </c>
      <c r="K78" s="371">
        <v>2.1</v>
      </c>
      <c r="L78" s="371">
        <v>2.1</v>
      </c>
      <c r="M78" s="371">
        <v>2.1</v>
      </c>
      <c r="N78" s="371">
        <v>2.1</v>
      </c>
      <c r="O78" s="371">
        <v>2.1</v>
      </c>
      <c r="P78" s="371">
        <v>2.1</v>
      </c>
      <c r="Q78" s="371">
        <v>2.1</v>
      </c>
      <c r="R78" s="371">
        <v>2.1</v>
      </c>
      <c r="S78" s="371">
        <v>2.1</v>
      </c>
      <c r="T78" s="371">
        <v>2.1</v>
      </c>
      <c r="U78" s="371">
        <v>2.1</v>
      </c>
      <c r="V78" s="371">
        <v>2.1</v>
      </c>
      <c r="W78" s="371">
        <v>2.1</v>
      </c>
      <c r="X78" s="371">
        <v>2.1</v>
      </c>
      <c r="Y78" s="381">
        <v>1000</v>
      </c>
    </row>
    <row r="79" spans="1:26" x14ac:dyDescent="0.2">
      <c r="A79" s="378" t="s">
        <v>34</v>
      </c>
      <c r="B79" s="372">
        <v>0</v>
      </c>
      <c r="C79" s="373">
        <v>11</v>
      </c>
      <c r="D79" s="373">
        <v>7</v>
      </c>
      <c r="E79" s="373">
        <v>4</v>
      </c>
      <c r="F79" s="373">
        <v>4.5999999999999996</v>
      </c>
      <c r="G79" s="373">
        <v>4.5999999999999996</v>
      </c>
      <c r="H79" s="373">
        <v>0</v>
      </c>
      <c r="I79" s="373">
        <v>0</v>
      </c>
      <c r="J79" s="373">
        <v>0</v>
      </c>
      <c r="K79" s="373">
        <v>0</v>
      </c>
      <c r="L79" s="373">
        <v>0</v>
      </c>
      <c r="M79" s="373">
        <v>0</v>
      </c>
      <c r="N79" s="373">
        <v>0</v>
      </c>
      <c r="O79" s="373">
        <v>0</v>
      </c>
      <c r="P79" s="373">
        <v>0</v>
      </c>
      <c r="Q79" s="373">
        <v>0</v>
      </c>
      <c r="R79" s="373">
        <v>0</v>
      </c>
      <c r="S79" s="373">
        <v>0</v>
      </c>
      <c r="T79" s="373">
        <v>0</v>
      </c>
      <c r="U79" s="373">
        <v>0</v>
      </c>
      <c r="V79" s="373">
        <v>0</v>
      </c>
      <c r="W79" s="373">
        <v>0</v>
      </c>
      <c r="X79" s="373">
        <v>0</v>
      </c>
      <c r="Y79" s="382">
        <v>0</v>
      </c>
    </row>
    <row r="80" spans="1:26" ht="13.5" thickBot="1" x14ac:dyDescent="0.25">
      <c r="A80" s="379" t="s">
        <v>116</v>
      </c>
      <c r="B80" s="374">
        <f t="shared" ref="B80:G80" si="12">(C79+B79)*(C78-B78)/2</f>
        <v>1.1000000000000001</v>
      </c>
      <c r="C80" s="375">
        <f t="shared" si="12"/>
        <v>0.8999999999999998</v>
      </c>
      <c r="D80" s="375">
        <f t="shared" si="12"/>
        <v>1.65</v>
      </c>
      <c r="E80" s="375">
        <f t="shared" si="12"/>
        <v>0.86000000000000021</v>
      </c>
      <c r="F80" s="375">
        <f t="shared" si="12"/>
        <v>5.52</v>
      </c>
      <c r="G80" s="375">
        <f t="shared" si="12"/>
        <v>0.23000000000000018</v>
      </c>
      <c r="H80" s="375">
        <f t="shared" ref="H80:V80" si="13">(I79+H79)*(I78-H78)/2</f>
        <v>0</v>
      </c>
      <c r="I80" s="375">
        <f t="shared" si="13"/>
        <v>0</v>
      </c>
      <c r="J80" s="375">
        <f>(K79+J79)*(K78-J78)/2</f>
        <v>0</v>
      </c>
      <c r="K80" s="375">
        <f t="shared" si="13"/>
        <v>0</v>
      </c>
      <c r="L80" s="375">
        <f t="shared" si="13"/>
        <v>0</v>
      </c>
      <c r="M80" s="375">
        <f t="shared" si="13"/>
        <v>0</v>
      </c>
      <c r="N80" s="375">
        <f t="shared" si="13"/>
        <v>0</v>
      </c>
      <c r="O80" s="375">
        <f t="shared" si="13"/>
        <v>0</v>
      </c>
      <c r="P80" s="375">
        <f t="shared" si="13"/>
        <v>0</v>
      </c>
      <c r="Q80" s="375">
        <f t="shared" si="13"/>
        <v>0</v>
      </c>
      <c r="R80" s="375">
        <f t="shared" si="13"/>
        <v>0</v>
      </c>
      <c r="S80" s="375">
        <f>(T79+S79)*(T78-S78)/2</f>
        <v>0</v>
      </c>
      <c r="T80" s="375">
        <f t="shared" si="13"/>
        <v>0</v>
      </c>
      <c r="U80" s="375">
        <f t="shared" si="13"/>
        <v>0</v>
      </c>
      <c r="V80" s="375">
        <f t="shared" si="13"/>
        <v>0</v>
      </c>
      <c r="W80" s="375">
        <f>(X79+W79)*(X78-W78)/2</f>
        <v>0</v>
      </c>
      <c r="X80" s="375">
        <f>(Y79+X79)*(Y78-X78)/2</f>
        <v>0</v>
      </c>
      <c r="Y80" s="369"/>
    </row>
    <row r="81" spans="1:26" ht="13.5" thickBot="1" x14ac:dyDescent="0.25">
      <c r="A81" s="12"/>
      <c r="L81" s="12"/>
      <c r="M81" s="12"/>
      <c r="N81" s="12"/>
      <c r="O81" s="12"/>
      <c r="P81" s="12"/>
      <c r="Q81" s="12"/>
      <c r="R81" s="12"/>
      <c r="S81" s="12"/>
      <c r="T81" s="12"/>
      <c r="U81" s="12"/>
      <c r="V81" s="12"/>
      <c r="W81" s="12"/>
      <c r="X81" s="12"/>
      <c r="Y81" s="12"/>
    </row>
    <row r="82" spans="1:26" ht="13.5" thickBot="1" x14ac:dyDescent="0.25">
      <c r="A82" s="361" t="s">
        <v>329</v>
      </c>
      <c r="B82" s="359">
        <f>ROW(A82)</f>
        <v>82</v>
      </c>
      <c r="C82" s="363" t="s">
        <v>115</v>
      </c>
      <c r="D82" s="353">
        <f>SUM(B85:Y85)</f>
        <v>20.52</v>
      </c>
      <c r="E82" s="363" t="s">
        <v>114</v>
      </c>
      <c r="F82" s="354">
        <f>D82/g/J82</f>
        <v>80.451658433309802</v>
      </c>
      <c r="G82" s="363" t="s">
        <v>56</v>
      </c>
      <c r="H82" s="64">
        <f>H77*2</f>
        <v>4.8000000000000001E-2</v>
      </c>
      <c r="I82" s="363" t="s">
        <v>271</v>
      </c>
      <c r="J82" s="355">
        <f>H82-L82</f>
        <v>2.6000000000000002E-2</v>
      </c>
      <c r="K82" s="363" t="s">
        <v>272</v>
      </c>
      <c r="L82" s="64">
        <f>L77*2</f>
        <v>2.1999999999999999E-2</v>
      </c>
      <c r="M82" s="363" t="s">
        <v>57</v>
      </c>
      <c r="N82" s="65">
        <v>30</v>
      </c>
      <c r="O82" s="363" t="s">
        <v>59</v>
      </c>
      <c r="P82" s="65">
        <v>30</v>
      </c>
      <c r="Q82" s="363" t="s">
        <v>60</v>
      </c>
      <c r="R82" s="65">
        <v>70</v>
      </c>
      <c r="S82" s="363" t="s">
        <v>61</v>
      </c>
      <c r="T82" s="65">
        <v>30</v>
      </c>
      <c r="U82" s="363" t="s">
        <v>54</v>
      </c>
      <c r="V82" s="66" t="s">
        <v>117</v>
      </c>
      <c r="W82" s="463" t="s">
        <v>394</v>
      </c>
      <c r="X82" s="465">
        <v>1.7</v>
      </c>
      <c r="Y82" s="463" t="s">
        <v>393</v>
      </c>
      <c r="Z82" s="358">
        <v>3</v>
      </c>
    </row>
    <row r="83" spans="1:26" x14ac:dyDescent="0.2">
      <c r="A83" s="362" t="s">
        <v>33</v>
      </c>
      <c r="B83" s="370">
        <v>0</v>
      </c>
      <c r="C83" s="371">
        <v>0.2</v>
      </c>
      <c r="D83" s="371">
        <v>0.3</v>
      </c>
      <c r="E83" s="371">
        <v>0.6</v>
      </c>
      <c r="F83" s="371">
        <v>0.8</v>
      </c>
      <c r="G83" s="371">
        <v>2</v>
      </c>
      <c r="H83" s="371">
        <v>2.1</v>
      </c>
      <c r="I83" s="371">
        <v>2.1</v>
      </c>
      <c r="J83" s="371">
        <v>2.1</v>
      </c>
      <c r="K83" s="371">
        <v>2.1</v>
      </c>
      <c r="L83" s="371">
        <v>2.1</v>
      </c>
      <c r="M83" s="371">
        <v>2.1</v>
      </c>
      <c r="N83" s="371">
        <v>2.1</v>
      </c>
      <c r="O83" s="371">
        <v>2.1</v>
      </c>
      <c r="P83" s="371">
        <v>2.1</v>
      </c>
      <c r="Q83" s="371">
        <v>2.1</v>
      </c>
      <c r="R83" s="371">
        <v>2.1</v>
      </c>
      <c r="S83" s="371">
        <v>2.1</v>
      </c>
      <c r="T83" s="371">
        <v>2.1</v>
      </c>
      <c r="U83" s="371">
        <v>2.1</v>
      </c>
      <c r="V83" s="371">
        <v>2.1</v>
      </c>
      <c r="W83" s="371">
        <v>2.1</v>
      </c>
      <c r="X83" s="371">
        <v>2.1</v>
      </c>
      <c r="Y83" s="381">
        <v>1000</v>
      </c>
    </row>
    <row r="84" spans="1:26" x14ac:dyDescent="0.2">
      <c r="A84" s="378" t="s">
        <v>34</v>
      </c>
      <c r="B84" s="372">
        <f>B79*2</f>
        <v>0</v>
      </c>
      <c r="C84" s="373">
        <f t="shared" ref="C84:X84" si="14">C79*2</f>
        <v>22</v>
      </c>
      <c r="D84" s="373">
        <f t="shared" si="14"/>
        <v>14</v>
      </c>
      <c r="E84" s="373">
        <f t="shared" si="14"/>
        <v>8</v>
      </c>
      <c r="F84" s="373">
        <f t="shared" si="14"/>
        <v>9.1999999999999993</v>
      </c>
      <c r="G84" s="373">
        <f t="shared" si="14"/>
        <v>9.1999999999999993</v>
      </c>
      <c r="H84" s="373">
        <f t="shared" si="14"/>
        <v>0</v>
      </c>
      <c r="I84" s="373">
        <f t="shared" si="14"/>
        <v>0</v>
      </c>
      <c r="J84" s="373">
        <f t="shared" si="14"/>
        <v>0</v>
      </c>
      <c r="K84" s="373">
        <f t="shared" si="14"/>
        <v>0</v>
      </c>
      <c r="L84" s="373">
        <f t="shared" si="14"/>
        <v>0</v>
      </c>
      <c r="M84" s="373">
        <f t="shared" si="14"/>
        <v>0</v>
      </c>
      <c r="N84" s="373">
        <f t="shared" si="14"/>
        <v>0</v>
      </c>
      <c r="O84" s="373">
        <f t="shared" si="14"/>
        <v>0</v>
      </c>
      <c r="P84" s="373">
        <f t="shared" si="14"/>
        <v>0</v>
      </c>
      <c r="Q84" s="373">
        <f t="shared" si="14"/>
        <v>0</v>
      </c>
      <c r="R84" s="373">
        <f t="shared" si="14"/>
        <v>0</v>
      </c>
      <c r="S84" s="373">
        <f t="shared" si="14"/>
        <v>0</v>
      </c>
      <c r="T84" s="373">
        <f t="shared" si="14"/>
        <v>0</v>
      </c>
      <c r="U84" s="373">
        <f t="shared" si="14"/>
        <v>0</v>
      </c>
      <c r="V84" s="373">
        <f t="shared" si="14"/>
        <v>0</v>
      </c>
      <c r="W84" s="373">
        <f t="shared" si="14"/>
        <v>0</v>
      </c>
      <c r="X84" s="373">
        <f t="shared" si="14"/>
        <v>0</v>
      </c>
      <c r="Y84" s="382">
        <v>0</v>
      </c>
    </row>
    <row r="85" spans="1:26" ht="13.5" thickBot="1" x14ac:dyDescent="0.25">
      <c r="A85" s="379" t="s">
        <v>116</v>
      </c>
      <c r="B85" s="374">
        <f t="shared" ref="B85:X85" si="15">(C84+B84)*(C83-B83)/2</f>
        <v>2.2000000000000002</v>
      </c>
      <c r="C85" s="375">
        <f t="shared" si="15"/>
        <v>1.7999999999999996</v>
      </c>
      <c r="D85" s="375">
        <f t="shared" si="15"/>
        <v>3.3</v>
      </c>
      <c r="E85" s="375">
        <f t="shared" si="15"/>
        <v>1.7200000000000004</v>
      </c>
      <c r="F85" s="375">
        <f t="shared" si="15"/>
        <v>11.04</v>
      </c>
      <c r="G85" s="375">
        <f t="shared" si="15"/>
        <v>0.46000000000000035</v>
      </c>
      <c r="H85" s="375">
        <f t="shared" si="15"/>
        <v>0</v>
      </c>
      <c r="I85" s="375">
        <f t="shared" si="15"/>
        <v>0</v>
      </c>
      <c r="J85" s="375">
        <f t="shared" si="15"/>
        <v>0</v>
      </c>
      <c r="K85" s="375">
        <f t="shared" si="15"/>
        <v>0</v>
      </c>
      <c r="L85" s="375">
        <f t="shared" si="15"/>
        <v>0</v>
      </c>
      <c r="M85" s="375">
        <f t="shared" si="15"/>
        <v>0</v>
      </c>
      <c r="N85" s="375">
        <f t="shared" si="15"/>
        <v>0</v>
      </c>
      <c r="O85" s="375">
        <f t="shared" si="15"/>
        <v>0</v>
      </c>
      <c r="P85" s="375">
        <f t="shared" si="15"/>
        <v>0</v>
      </c>
      <c r="Q85" s="375">
        <f t="shared" si="15"/>
        <v>0</v>
      </c>
      <c r="R85" s="375">
        <f t="shared" si="15"/>
        <v>0</v>
      </c>
      <c r="S85" s="375">
        <f t="shared" si="15"/>
        <v>0</v>
      </c>
      <c r="T85" s="375">
        <f t="shared" si="15"/>
        <v>0</v>
      </c>
      <c r="U85" s="375">
        <f t="shared" si="15"/>
        <v>0</v>
      </c>
      <c r="V85" s="375">
        <f t="shared" si="15"/>
        <v>0</v>
      </c>
      <c r="W85" s="375">
        <f t="shared" si="15"/>
        <v>0</v>
      </c>
      <c r="X85" s="375">
        <f t="shared" si="15"/>
        <v>0</v>
      </c>
      <c r="Y85" s="369"/>
    </row>
    <row r="86" spans="1:26" ht="13.5" thickBot="1" x14ac:dyDescent="0.25">
      <c r="B86" s="12"/>
      <c r="C86" s="12"/>
      <c r="D86" s="12"/>
      <c r="E86" s="12"/>
      <c r="F86" s="12"/>
      <c r="G86" s="12"/>
      <c r="H86" s="12"/>
      <c r="I86" s="12"/>
      <c r="J86" s="12"/>
      <c r="K86" s="12"/>
      <c r="L86" s="12"/>
      <c r="M86" s="12"/>
      <c r="N86" s="12"/>
      <c r="O86" s="12"/>
      <c r="P86" s="12"/>
      <c r="Q86" s="12"/>
      <c r="R86" s="12"/>
      <c r="S86" s="12"/>
      <c r="T86" s="12"/>
      <c r="U86" s="12"/>
      <c r="V86" s="12"/>
      <c r="W86" s="12"/>
      <c r="X86" s="12"/>
      <c r="Y86" s="12"/>
    </row>
    <row r="87" spans="1:26" ht="13.5" thickBot="1" x14ac:dyDescent="0.25">
      <c r="A87" s="361" t="s">
        <v>330</v>
      </c>
      <c r="B87" s="359">
        <f>ROW(A87)</f>
        <v>87</v>
      </c>
      <c r="C87" s="363" t="s">
        <v>115</v>
      </c>
      <c r="D87" s="353">
        <f>SUM(B90:Y90)</f>
        <v>30.779999999999998</v>
      </c>
      <c r="E87" s="363" t="s">
        <v>114</v>
      </c>
      <c r="F87" s="354">
        <f>D87/g/J87</f>
        <v>80.451658433309774</v>
      </c>
      <c r="G87" s="363" t="s">
        <v>56</v>
      </c>
      <c r="H87" s="64">
        <f>H77*3</f>
        <v>7.2000000000000008E-2</v>
      </c>
      <c r="I87" s="363" t="s">
        <v>271</v>
      </c>
      <c r="J87" s="355">
        <f>H87-L87</f>
        <v>3.9000000000000007E-2</v>
      </c>
      <c r="K87" s="363" t="s">
        <v>272</v>
      </c>
      <c r="L87" s="64">
        <f>L77*3</f>
        <v>3.3000000000000002E-2</v>
      </c>
      <c r="M87" s="363" t="s">
        <v>57</v>
      </c>
      <c r="N87" s="65">
        <v>30</v>
      </c>
      <c r="O87" s="363" t="s">
        <v>59</v>
      </c>
      <c r="P87" s="65">
        <v>30</v>
      </c>
      <c r="Q87" s="363" t="s">
        <v>60</v>
      </c>
      <c r="R87" s="65">
        <v>70</v>
      </c>
      <c r="S87" s="363" t="s">
        <v>61</v>
      </c>
      <c r="T87" s="65">
        <v>40</v>
      </c>
      <c r="U87" s="363" t="s">
        <v>54</v>
      </c>
      <c r="V87" s="66" t="s">
        <v>117</v>
      </c>
      <c r="W87" s="463" t="s">
        <v>394</v>
      </c>
      <c r="X87" s="465">
        <v>1.7</v>
      </c>
      <c r="Y87" s="463" t="s">
        <v>393</v>
      </c>
      <c r="Z87" s="358">
        <v>3</v>
      </c>
    </row>
    <row r="88" spans="1:26" x14ac:dyDescent="0.2">
      <c r="A88" s="362" t="s">
        <v>33</v>
      </c>
      <c r="B88" s="370">
        <v>0</v>
      </c>
      <c r="C88" s="371">
        <v>0.2</v>
      </c>
      <c r="D88" s="371">
        <v>0.3</v>
      </c>
      <c r="E88" s="371">
        <v>0.6</v>
      </c>
      <c r="F88" s="371">
        <v>0.8</v>
      </c>
      <c r="G88" s="371">
        <v>2</v>
      </c>
      <c r="H88" s="371">
        <v>2.1</v>
      </c>
      <c r="I88" s="371">
        <v>2.1</v>
      </c>
      <c r="J88" s="371">
        <v>2.1</v>
      </c>
      <c r="K88" s="371">
        <v>2.1</v>
      </c>
      <c r="L88" s="371">
        <v>2.1</v>
      </c>
      <c r="M88" s="371">
        <v>2.1</v>
      </c>
      <c r="N88" s="371">
        <v>2.1</v>
      </c>
      <c r="O88" s="371">
        <v>2.1</v>
      </c>
      <c r="P88" s="371">
        <v>2.1</v>
      </c>
      <c r="Q88" s="371">
        <v>2.1</v>
      </c>
      <c r="R88" s="371">
        <v>2.1</v>
      </c>
      <c r="S88" s="371">
        <v>2.1</v>
      </c>
      <c r="T88" s="371">
        <v>2.1</v>
      </c>
      <c r="U88" s="371">
        <v>2.1</v>
      </c>
      <c r="V88" s="371">
        <v>2.1</v>
      </c>
      <c r="W88" s="371">
        <v>2.1</v>
      </c>
      <c r="X88" s="371">
        <v>2.1</v>
      </c>
      <c r="Y88" s="381">
        <v>1000</v>
      </c>
    </row>
    <row r="89" spans="1:26" x14ac:dyDescent="0.2">
      <c r="A89" s="378" t="s">
        <v>34</v>
      </c>
      <c r="B89" s="372">
        <f>B79*3</f>
        <v>0</v>
      </c>
      <c r="C89" s="373">
        <f t="shared" ref="C89:X89" si="16">C79*3</f>
        <v>33</v>
      </c>
      <c r="D89" s="373">
        <f t="shared" si="16"/>
        <v>21</v>
      </c>
      <c r="E89" s="373">
        <f t="shared" si="16"/>
        <v>12</v>
      </c>
      <c r="F89" s="373">
        <f t="shared" si="16"/>
        <v>13.799999999999999</v>
      </c>
      <c r="G89" s="373">
        <f t="shared" si="16"/>
        <v>13.799999999999999</v>
      </c>
      <c r="H89" s="373">
        <f t="shared" si="16"/>
        <v>0</v>
      </c>
      <c r="I89" s="373">
        <f t="shared" si="16"/>
        <v>0</v>
      </c>
      <c r="J89" s="373">
        <f t="shared" si="16"/>
        <v>0</v>
      </c>
      <c r="K89" s="373">
        <f t="shared" si="16"/>
        <v>0</v>
      </c>
      <c r="L89" s="373">
        <f t="shared" si="16"/>
        <v>0</v>
      </c>
      <c r="M89" s="373">
        <f t="shared" si="16"/>
        <v>0</v>
      </c>
      <c r="N89" s="373">
        <f t="shared" si="16"/>
        <v>0</v>
      </c>
      <c r="O89" s="373">
        <f t="shared" si="16"/>
        <v>0</v>
      </c>
      <c r="P89" s="373">
        <f t="shared" si="16"/>
        <v>0</v>
      </c>
      <c r="Q89" s="373">
        <f t="shared" si="16"/>
        <v>0</v>
      </c>
      <c r="R89" s="373">
        <f t="shared" si="16"/>
        <v>0</v>
      </c>
      <c r="S89" s="373">
        <f t="shared" si="16"/>
        <v>0</v>
      </c>
      <c r="T89" s="373">
        <f t="shared" si="16"/>
        <v>0</v>
      </c>
      <c r="U89" s="373">
        <f t="shared" si="16"/>
        <v>0</v>
      </c>
      <c r="V89" s="373">
        <f t="shared" si="16"/>
        <v>0</v>
      </c>
      <c r="W89" s="373">
        <f t="shared" si="16"/>
        <v>0</v>
      </c>
      <c r="X89" s="373">
        <f t="shared" si="16"/>
        <v>0</v>
      </c>
      <c r="Y89" s="382">
        <v>0</v>
      </c>
    </row>
    <row r="90" spans="1:26" ht="13.5" thickBot="1" x14ac:dyDescent="0.25">
      <c r="A90" s="379" t="s">
        <v>116</v>
      </c>
      <c r="B90" s="374">
        <f t="shared" ref="B90:X90" si="17">(C89+B89)*(C88-B88)/2</f>
        <v>3.3000000000000003</v>
      </c>
      <c r="C90" s="375">
        <f t="shared" si="17"/>
        <v>2.6999999999999993</v>
      </c>
      <c r="D90" s="375">
        <f t="shared" si="17"/>
        <v>4.95</v>
      </c>
      <c r="E90" s="375">
        <f t="shared" si="17"/>
        <v>2.5800000000000005</v>
      </c>
      <c r="F90" s="375">
        <f t="shared" si="17"/>
        <v>16.559999999999999</v>
      </c>
      <c r="G90" s="375">
        <f t="shared" si="17"/>
        <v>0.69000000000000061</v>
      </c>
      <c r="H90" s="375">
        <f t="shared" si="17"/>
        <v>0</v>
      </c>
      <c r="I90" s="375">
        <f t="shared" si="17"/>
        <v>0</v>
      </c>
      <c r="J90" s="375">
        <f t="shared" si="17"/>
        <v>0</v>
      </c>
      <c r="K90" s="375">
        <f t="shared" si="17"/>
        <v>0</v>
      </c>
      <c r="L90" s="375">
        <f t="shared" si="17"/>
        <v>0</v>
      </c>
      <c r="M90" s="375">
        <f t="shared" si="17"/>
        <v>0</v>
      </c>
      <c r="N90" s="375">
        <f t="shared" si="17"/>
        <v>0</v>
      </c>
      <c r="O90" s="375">
        <f t="shared" si="17"/>
        <v>0</v>
      </c>
      <c r="P90" s="375">
        <f t="shared" si="17"/>
        <v>0</v>
      </c>
      <c r="Q90" s="375">
        <f t="shared" si="17"/>
        <v>0</v>
      </c>
      <c r="R90" s="375">
        <f t="shared" si="17"/>
        <v>0</v>
      </c>
      <c r="S90" s="375">
        <f t="shared" si="17"/>
        <v>0</v>
      </c>
      <c r="T90" s="375">
        <f t="shared" si="17"/>
        <v>0</v>
      </c>
      <c r="U90" s="375">
        <f t="shared" si="17"/>
        <v>0</v>
      </c>
      <c r="V90" s="375">
        <f t="shared" si="17"/>
        <v>0</v>
      </c>
      <c r="W90" s="375">
        <f t="shared" si="17"/>
        <v>0</v>
      </c>
      <c r="X90" s="375">
        <f t="shared" si="17"/>
        <v>0</v>
      </c>
      <c r="Y90" s="369"/>
    </row>
    <row r="91" spans="1:26" ht="13.5" thickBot="1" x14ac:dyDescent="0.25">
      <c r="B91" s="12"/>
      <c r="C91" s="12"/>
      <c r="D91" s="12"/>
      <c r="E91" s="12"/>
      <c r="F91" s="12"/>
      <c r="G91" s="12"/>
      <c r="H91" s="12"/>
      <c r="I91" s="12"/>
      <c r="J91" s="12"/>
      <c r="K91" s="12"/>
      <c r="L91" s="12"/>
      <c r="M91" s="12"/>
      <c r="N91" s="12"/>
      <c r="O91" s="12"/>
      <c r="P91" s="12"/>
      <c r="Q91" s="12"/>
      <c r="R91" s="12"/>
      <c r="S91" s="12"/>
      <c r="T91" s="12"/>
      <c r="U91" s="12"/>
      <c r="V91" s="12"/>
      <c r="W91" s="12"/>
      <c r="X91" s="12"/>
      <c r="Y91" s="12"/>
    </row>
    <row r="92" spans="1:26" ht="13.5" thickBot="1" x14ac:dyDescent="0.25">
      <c r="A92" s="361" t="s">
        <v>540</v>
      </c>
      <c r="B92" s="359">
        <f>ROW(A92)</f>
        <v>92</v>
      </c>
      <c r="C92" s="363" t="s">
        <v>115</v>
      </c>
      <c r="D92" s="353">
        <f>SUM(B95:Y95)</f>
        <v>19.961989000000003</v>
      </c>
      <c r="E92" s="363" t="s">
        <v>114</v>
      </c>
      <c r="F92" s="354">
        <f>D92/g/J92</f>
        <v>118.30588744280873</v>
      </c>
      <c r="G92" s="363" t="s">
        <v>56</v>
      </c>
      <c r="H92" s="64">
        <v>2.8199999999999999E-2</v>
      </c>
      <c r="I92" s="363" t="s">
        <v>271</v>
      </c>
      <c r="J92" s="355">
        <f>H92-L92</f>
        <v>1.72E-2</v>
      </c>
      <c r="K92" s="363" t="s">
        <v>272</v>
      </c>
      <c r="L92" s="64">
        <v>1.0999999999999999E-2</v>
      </c>
      <c r="M92" s="363" t="s">
        <v>57</v>
      </c>
      <c r="N92" s="65">
        <v>30</v>
      </c>
      <c r="O92" s="363" t="s">
        <v>59</v>
      </c>
      <c r="P92" s="65">
        <v>30</v>
      </c>
      <c r="Q92" s="363" t="s">
        <v>60</v>
      </c>
      <c r="R92" s="65">
        <v>70</v>
      </c>
      <c r="S92" s="363" t="s">
        <v>61</v>
      </c>
      <c r="T92" s="65">
        <v>18</v>
      </c>
      <c r="U92" s="363" t="s">
        <v>54</v>
      </c>
      <c r="V92" s="66" t="s">
        <v>401</v>
      </c>
      <c r="W92" s="463" t="s">
        <v>394</v>
      </c>
      <c r="X92" s="465">
        <v>2.1</v>
      </c>
      <c r="Y92" s="463" t="s">
        <v>393</v>
      </c>
      <c r="Z92" s="358">
        <v>7</v>
      </c>
    </row>
    <row r="93" spans="1:26" x14ac:dyDescent="0.2">
      <c r="A93" s="362" t="s">
        <v>33</v>
      </c>
      <c r="B93" s="370">
        <v>0</v>
      </c>
      <c r="C93" s="471">
        <v>0.04</v>
      </c>
      <c r="D93" s="471">
        <v>0.11600000000000001</v>
      </c>
      <c r="E93" s="471">
        <v>0.21299999999999999</v>
      </c>
      <c r="F93" s="471">
        <v>0.28599999999999998</v>
      </c>
      <c r="G93" s="471">
        <v>0.32900000000000001</v>
      </c>
      <c r="H93" s="471">
        <v>0.36899999999999999</v>
      </c>
      <c r="I93" s="471">
        <v>0.42</v>
      </c>
      <c r="J93" s="471">
        <v>0.495</v>
      </c>
      <c r="K93" s="471">
        <v>0.59699999999999998</v>
      </c>
      <c r="L93" s="471">
        <v>1.7110000000000001</v>
      </c>
      <c r="M93" s="471">
        <v>1.8260000000000001</v>
      </c>
      <c r="N93" s="471">
        <v>1.917</v>
      </c>
      <c r="O93" s="471">
        <v>1.9750000000000001</v>
      </c>
      <c r="P93" s="471">
        <v>2.206</v>
      </c>
      <c r="Q93" s="471">
        <v>2.242</v>
      </c>
      <c r="R93" s="371">
        <v>2.5</v>
      </c>
      <c r="S93" s="371">
        <v>2.5</v>
      </c>
      <c r="T93" s="371">
        <v>2.5</v>
      </c>
      <c r="U93" s="371">
        <v>2.5</v>
      </c>
      <c r="V93" s="371">
        <v>2.5</v>
      </c>
      <c r="W93" s="371">
        <v>2.5</v>
      </c>
      <c r="X93" s="371">
        <v>2.5</v>
      </c>
      <c r="Y93" s="381">
        <v>1000</v>
      </c>
    </row>
    <row r="94" spans="1:26" x14ac:dyDescent="0.2">
      <c r="A94" s="378" t="s">
        <v>34</v>
      </c>
      <c r="B94" s="372">
        <v>0</v>
      </c>
      <c r="C94" s="471">
        <v>2.1110000000000002</v>
      </c>
      <c r="D94" s="471">
        <v>9.6850000000000005</v>
      </c>
      <c r="E94" s="471">
        <v>25</v>
      </c>
      <c r="F94" s="471">
        <v>15.738</v>
      </c>
      <c r="G94" s="471">
        <v>12.472</v>
      </c>
      <c r="H94" s="471">
        <v>10.67</v>
      </c>
      <c r="I94" s="471">
        <v>9.7129999999999992</v>
      </c>
      <c r="J94" s="471">
        <v>9.1780000000000008</v>
      </c>
      <c r="K94" s="471">
        <v>8.8960000000000008</v>
      </c>
      <c r="L94" s="471">
        <v>8.9250000000000007</v>
      </c>
      <c r="M94" s="471">
        <v>8.6989999999999998</v>
      </c>
      <c r="N94" s="471">
        <v>8.0519999999999996</v>
      </c>
      <c r="O94" s="471">
        <v>6.9539999999999997</v>
      </c>
      <c r="P94" s="471">
        <v>1.07</v>
      </c>
      <c r="Q94" s="471">
        <v>0</v>
      </c>
      <c r="R94" s="373">
        <v>0</v>
      </c>
      <c r="S94" s="373">
        <v>0</v>
      </c>
      <c r="T94" s="373">
        <v>0</v>
      </c>
      <c r="U94" s="373">
        <v>0</v>
      </c>
      <c r="V94" s="373">
        <v>0</v>
      </c>
      <c r="W94" s="373">
        <v>0</v>
      </c>
      <c r="X94" s="373">
        <v>0</v>
      </c>
      <c r="Y94" s="382">
        <v>0</v>
      </c>
    </row>
    <row r="95" spans="1:26" ht="13.5" thickBot="1" x14ac:dyDescent="0.25">
      <c r="A95" s="379" t="s">
        <v>116</v>
      </c>
      <c r="B95" s="374">
        <f t="shared" ref="B95:X95" si="18">(C94+B94)*(C93-B93)/2</f>
        <v>4.2220000000000008E-2</v>
      </c>
      <c r="C95" s="375">
        <f t="shared" si="18"/>
        <v>0.44824800000000009</v>
      </c>
      <c r="D95" s="375">
        <f t="shared" si="18"/>
        <v>1.6822225</v>
      </c>
      <c r="E95" s="375">
        <f t="shared" si="18"/>
        <v>1.4869369999999995</v>
      </c>
      <c r="F95" s="375">
        <f t="shared" si="18"/>
        <v>0.60651500000000058</v>
      </c>
      <c r="G95" s="375">
        <f t="shared" si="18"/>
        <v>0.46283999999999975</v>
      </c>
      <c r="H95" s="375">
        <f t="shared" si="18"/>
        <v>0.51976649999999991</v>
      </c>
      <c r="I95" s="375">
        <f t="shared" si="18"/>
        <v>0.7084125</v>
      </c>
      <c r="J95" s="375">
        <f t="shared" si="18"/>
        <v>0.92177399999999987</v>
      </c>
      <c r="K95" s="375">
        <f t="shared" si="18"/>
        <v>9.9262970000000017</v>
      </c>
      <c r="L95" s="375">
        <f t="shared" si="18"/>
        <v>1.0133799999999999</v>
      </c>
      <c r="M95" s="375">
        <f t="shared" si="18"/>
        <v>0.76217049999999964</v>
      </c>
      <c r="N95" s="375">
        <f t="shared" si="18"/>
        <v>0.43517400000000039</v>
      </c>
      <c r="O95" s="375">
        <f t="shared" si="18"/>
        <v>0.92677199999999937</v>
      </c>
      <c r="P95" s="375">
        <f t="shared" si="18"/>
        <v>1.9260000000000017E-2</v>
      </c>
      <c r="Q95" s="375">
        <f t="shared" si="18"/>
        <v>0</v>
      </c>
      <c r="R95" s="375">
        <f t="shared" si="18"/>
        <v>0</v>
      </c>
      <c r="S95" s="375">
        <f t="shared" si="18"/>
        <v>0</v>
      </c>
      <c r="T95" s="375">
        <f t="shared" si="18"/>
        <v>0</v>
      </c>
      <c r="U95" s="375">
        <f t="shared" si="18"/>
        <v>0</v>
      </c>
      <c r="V95" s="375">
        <f t="shared" si="18"/>
        <v>0</v>
      </c>
      <c r="W95" s="375">
        <f t="shared" si="18"/>
        <v>0</v>
      </c>
      <c r="X95" s="375">
        <f t="shared" si="18"/>
        <v>0</v>
      </c>
      <c r="Y95" s="369"/>
    </row>
    <row r="96" spans="1:26" ht="13.5" thickBot="1" x14ac:dyDescent="0.25">
      <c r="A96" s="12"/>
      <c r="L96" s="12"/>
      <c r="M96" s="12"/>
      <c r="N96" s="12"/>
      <c r="O96" s="12"/>
      <c r="P96" s="12"/>
      <c r="Q96" s="12"/>
      <c r="R96" s="12"/>
      <c r="S96" s="12"/>
      <c r="T96" s="12"/>
      <c r="U96" s="12"/>
      <c r="V96" s="12"/>
      <c r="W96" s="12"/>
      <c r="X96" s="12"/>
      <c r="Y96" s="12"/>
    </row>
    <row r="97" spans="1:26" ht="13.5" thickBot="1" x14ac:dyDescent="0.25">
      <c r="A97" s="361" t="s">
        <v>538</v>
      </c>
      <c r="B97" s="359">
        <f>ROW(A97)</f>
        <v>97</v>
      </c>
      <c r="C97" s="363" t="s">
        <v>115</v>
      </c>
      <c r="D97" s="353">
        <f>SUM(B100:Y100)</f>
        <v>39.923978000000005</v>
      </c>
      <c r="E97" s="363" t="s">
        <v>114</v>
      </c>
      <c r="F97" s="354">
        <f>D97/g/J97</f>
        <v>118.30588744280873</v>
      </c>
      <c r="G97" s="363" t="s">
        <v>56</v>
      </c>
      <c r="H97" s="64">
        <f>H92*2</f>
        <v>5.6399999999999999E-2</v>
      </c>
      <c r="I97" s="363" t="s">
        <v>271</v>
      </c>
      <c r="J97" s="355">
        <f>H97-L97</f>
        <v>3.44E-2</v>
      </c>
      <c r="K97" s="363" t="s">
        <v>272</v>
      </c>
      <c r="L97" s="64">
        <f>L92*2</f>
        <v>2.1999999999999999E-2</v>
      </c>
      <c r="M97" s="363" t="s">
        <v>57</v>
      </c>
      <c r="N97" s="65">
        <v>30</v>
      </c>
      <c r="O97" s="363" t="s">
        <v>59</v>
      </c>
      <c r="P97" s="65">
        <v>30</v>
      </c>
      <c r="Q97" s="363" t="s">
        <v>60</v>
      </c>
      <c r="R97" s="65">
        <v>70</v>
      </c>
      <c r="S97" s="363" t="s">
        <v>61</v>
      </c>
      <c r="T97" s="65">
        <v>30</v>
      </c>
      <c r="U97" s="363" t="s">
        <v>54</v>
      </c>
      <c r="V97" s="66" t="s">
        <v>401</v>
      </c>
      <c r="W97" s="463" t="s">
        <v>394</v>
      </c>
      <c r="X97" s="465">
        <v>2.1</v>
      </c>
      <c r="Y97" s="463" t="s">
        <v>393</v>
      </c>
      <c r="Z97" s="358">
        <v>7</v>
      </c>
    </row>
    <row r="98" spans="1:26" x14ac:dyDescent="0.2">
      <c r="A98" s="362" t="s">
        <v>33</v>
      </c>
      <c r="B98" s="370">
        <v>0</v>
      </c>
      <c r="C98" s="371">
        <f>C93</f>
        <v>0.04</v>
      </c>
      <c r="D98" s="371">
        <f t="shared" ref="D98:X98" si="19">D93</f>
        <v>0.11600000000000001</v>
      </c>
      <c r="E98" s="371">
        <f t="shared" si="19"/>
        <v>0.21299999999999999</v>
      </c>
      <c r="F98" s="371">
        <f t="shared" si="19"/>
        <v>0.28599999999999998</v>
      </c>
      <c r="G98" s="371">
        <f t="shared" si="19"/>
        <v>0.32900000000000001</v>
      </c>
      <c r="H98" s="371">
        <f t="shared" si="19"/>
        <v>0.36899999999999999</v>
      </c>
      <c r="I98" s="371">
        <f t="shared" si="19"/>
        <v>0.42</v>
      </c>
      <c r="J98" s="371">
        <f t="shared" si="19"/>
        <v>0.495</v>
      </c>
      <c r="K98" s="371">
        <f t="shared" si="19"/>
        <v>0.59699999999999998</v>
      </c>
      <c r="L98" s="371">
        <f t="shared" si="19"/>
        <v>1.7110000000000001</v>
      </c>
      <c r="M98" s="371">
        <f t="shared" si="19"/>
        <v>1.8260000000000001</v>
      </c>
      <c r="N98" s="371">
        <f t="shared" si="19"/>
        <v>1.917</v>
      </c>
      <c r="O98" s="371">
        <f t="shared" si="19"/>
        <v>1.9750000000000001</v>
      </c>
      <c r="P98" s="371">
        <f t="shared" si="19"/>
        <v>2.206</v>
      </c>
      <c r="Q98" s="371">
        <f t="shared" si="19"/>
        <v>2.242</v>
      </c>
      <c r="R98" s="371">
        <f t="shared" si="19"/>
        <v>2.5</v>
      </c>
      <c r="S98" s="371">
        <f>S93</f>
        <v>2.5</v>
      </c>
      <c r="T98" s="371">
        <f t="shared" si="19"/>
        <v>2.5</v>
      </c>
      <c r="U98" s="371">
        <f t="shared" si="19"/>
        <v>2.5</v>
      </c>
      <c r="V98" s="371">
        <f t="shared" si="19"/>
        <v>2.5</v>
      </c>
      <c r="W98" s="371">
        <f t="shared" si="19"/>
        <v>2.5</v>
      </c>
      <c r="X98" s="371">
        <f t="shared" si="19"/>
        <v>2.5</v>
      </c>
      <c r="Y98" s="381">
        <v>1000</v>
      </c>
    </row>
    <row r="99" spans="1:26" x14ac:dyDescent="0.2">
      <c r="A99" s="378" t="s">
        <v>34</v>
      </c>
      <c r="B99" s="372">
        <f>B94*2</f>
        <v>0</v>
      </c>
      <c r="C99" s="373">
        <f t="shared" ref="C99:X99" si="20">C94*2</f>
        <v>4.2220000000000004</v>
      </c>
      <c r="D99" s="373">
        <f t="shared" si="20"/>
        <v>19.37</v>
      </c>
      <c r="E99" s="373">
        <f t="shared" si="20"/>
        <v>50</v>
      </c>
      <c r="F99" s="373">
        <f t="shared" si="20"/>
        <v>31.475999999999999</v>
      </c>
      <c r="G99" s="373">
        <f t="shared" si="20"/>
        <v>24.943999999999999</v>
      </c>
      <c r="H99" s="373">
        <f t="shared" si="20"/>
        <v>21.34</v>
      </c>
      <c r="I99" s="373">
        <f t="shared" si="20"/>
        <v>19.425999999999998</v>
      </c>
      <c r="J99" s="373">
        <f t="shared" si="20"/>
        <v>18.356000000000002</v>
      </c>
      <c r="K99" s="373">
        <f t="shared" si="20"/>
        <v>17.792000000000002</v>
      </c>
      <c r="L99" s="373">
        <f t="shared" si="20"/>
        <v>17.850000000000001</v>
      </c>
      <c r="M99" s="373">
        <f t="shared" si="20"/>
        <v>17.398</v>
      </c>
      <c r="N99" s="373">
        <f t="shared" si="20"/>
        <v>16.103999999999999</v>
      </c>
      <c r="O99" s="373">
        <f t="shared" si="20"/>
        <v>13.907999999999999</v>
      </c>
      <c r="P99" s="373">
        <f t="shared" si="20"/>
        <v>2.14</v>
      </c>
      <c r="Q99" s="373">
        <f t="shared" si="20"/>
        <v>0</v>
      </c>
      <c r="R99" s="373">
        <f t="shared" si="20"/>
        <v>0</v>
      </c>
      <c r="S99" s="373">
        <f t="shared" si="20"/>
        <v>0</v>
      </c>
      <c r="T99" s="373">
        <f t="shared" si="20"/>
        <v>0</v>
      </c>
      <c r="U99" s="373">
        <f t="shared" si="20"/>
        <v>0</v>
      </c>
      <c r="V99" s="373">
        <f t="shared" si="20"/>
        <v>0</v>
      </c>
      <c r="W99" s="373">
        <f t="shared" si="20"/>
        <v>0</v>
      </c>
      <c r="X99" s="373">
        <f t="shared" si="20"/>
        <v>0</v>
      </c>
      <c r="Y99" s="382">
        <v>0</v>
      </c>
    </row>
    <row r="100" spans="1:26" ht="13.5" thickBot="1" x14ac:dyDescent="0.25">
      <c r="A100" s="379" t="s">
        <v>116</v>
      </c>
      <c r="B100" s="374">
        <f t="shared" ref="B100:X100" si="21">(C99+B99)*(C98-B98)/2</f>
        <v>8.4440000000000015E-2</v>
      </c>
      <c r="C100" s="375">
        <f t="shared" si="21"/>
        <v>0.89649600000000018</v>
      </c>
      <c r="D100" s="375">
        <f t="shared" si="21"/>
        <v>3.3644449999999999</v>
      </c>
      <c r="E100" s="375">
        <f t="shared" si="21"/>
        <v>2.973873999999999</v>
      </c>
      <c r="F100" s="375">
        <f t="shared" si="21"/>
        <v>1.2130300000000012</v>
      </c>
      <c r="G100" s="375">
        <f t="shared" si="21"/>
        <v>0.9256799999999995</v>
      </c>
      <c r="H100" s="375">
        <f t="shared" si="21"/>
        <v>1.0395329999999998</v>
      </c>
      <c r="I100" s="375">
        <f t="shared" si="21"/>
        <v>1.416825</v>
      </c>
      <c r="J100" s="375">
        <f t="shared" si="21"/>
        <v>1.8435479999999997</v>
      </c>
      <c r="K100" s="375">
        <f t="shared" si="21"/>
        <v>19.852594000000003</v>
      </c>
      <c r="L100" s="375">
        <f t="shared" si="21"/>
        <v>2.0267599999999999</v>
      </c>
      <c r="M100" s="375">
        <f t="shared" si="21"/>
        <v>1.5243409999999993</v>
      </c>
      <c r="N100" s="375">
        <f t="shared" si="21"/>
        <v>0.87034800000000079</v>
      </c>
      <c r="O100" s="375">
        <f t="shared" si="21"/>
        <v>1.8535439999999987</v>
      </c>
      <c r="P100" s="375">
        <f t="shared" si="21"/>
        <v>3.8520000000000033E-2</v>
      </c>
      <c r="Q100" s="375">
        <f t="shared" si="21"/>
        <v>0</v>
      </c>
      <c r="R100" s="375">
        <f t="shared" si="21"/>
        <v>0</v>
      </c>
      <c r="S100" s="375">
        <f t="shared" si="21"/>
        <v>0</v>
      </c>
      <c r="T100" s="375">
        <f t="shared" si="21"/>
        <v>0</v>
      </c>
      <c r="U100" s="375">
        <f t="shared" si="21"/>
        <v>0</v>
      </c>
      <c r="V100" s="375">
        <f t="shared" si="21"/>
        <v>0</v>
      </c>
      <c r="W100" s="375">
        <f t="shared" si="21"/>
        <v>0</v>
      </c>
      <c r="X100" s="375">
        <f t="shared" si="21"/>
        <v>0</v>
      </c>
      <c r="Y100" s="369"/>
    </row>
    <row r="101" spans="1:26" ht="13.5" thickBot="1" x14ac:dyDescent="0.2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spans="1:26" ht="13.5" thickBot="1" x14ac:dyDescent="0.25">
      <c r="A102" s="361" t="s">
        <v>539</v>
      </c>
      <c r="B102" s="359">
        <f>ROW(A102)</f>
        <v>102</v>
      </c>
      <c r="C102" s="363" t="s">
        <v>115</v>
      </c>
      <c r="D102" s="353">
        <f>SUM(B105:Y105)</f>
        <v>59.885967000000008</v>
      </c>
      <c r="E102" s="363" t="s">
        <v>114</v>
      </c>
      <c r="F102" s="354">
        <f>D102/g/J102</f>
        <v>118.30588744280874</v>
      </c>
      <c r="G102" s="363" t="s">
        <v>56</v>
      </c>
      <c r="H102" s="64">
        <f>H92*3</f>
        <v>8.4599999999999995E-2</v>
      </c>
      <c r="I102" s="363" t="s">
        <v>271</v>
      </c>
      <c r="J102" s="355">
        <f>H102-L102</f>
        <v>5.1599999999999993E-2</v>
      </c>
      <c r="K102" s="363" t="s">
        <v>272</v>
      </c>
      <c r="L102" s="64">
        <f>L92*3</f>
        <v>3.3000000000000002E-2</v>
      </c>
      <c r="M102" s="363" t="s">
        <v>57</v>
      </c>
      <c r="N102" s="65">
        <v>30</v>
      </c>
      <c r="O102" s="363" t="s">
        <v>59</v>
      </c>
      <c r="P102" s="65">
        <v>30</v>
      </c>
      <c r="Q102" s="363" t="s">
        <v>60</v>
      </c>
      <c r="R102" s="65">
        <v>70</v>
      </c>
      <c r="S102" s="363" t="s">
        <v>61</v>
      </c>
      <c r="T102" s="65">
        <v>40</v>
      </c>
      <c r="U102" s="363" t="s">
        <v>54</v>
      </c>
      <c r="V102" s="66" t="s">
        <v>401</v>
      </c>
      <c r="W102" s="463" t="s">
        <v>394</v>
      </c>
      <c r="X102" s="465">
        <v>2.1</v>
      </c>
      <c r="Y102" s="463" t="s">
        <v>393</v>
      </c>
      <c r="Z102" s="358">
        <v>7</v>
      </c>
    </row>
    <row r="103" spans="1:26" x14ac:dyDescent="0.2">
      <c r="A103" s="362" t="s">
        <v>33</v>
      </c>
      <c r="B103" s="370">
        <v>0</v>
      </c>
      <c r="C103" s="371">
        <f>C93</f>
        <v>0.04</v>
      </c>
      <c r="D103" s="371">
        <f t="shared" ref="D103:X103" si="22">D93</f>
        <v>0.11600000000000001</v>
      </c>
      <c r="E103" s="371">
        <f t="shared" si="22"/>
        <v>0.21299999999999999</v>
      </c>
      <c r="F103" s="371">
        <f t="shared" si="22"/>
        <v>0.28599999999999998</v>
      </c>
      <c r="G103" s="371">
        <f t="shared" si="22"/>
        <v>0.32900000000000001</v>
      </c>
      <c r="H103" s="371">
        <f t="shared" si="22"/>
        <v>0.36899999999999999</v>
      </c>
      <c r="I103" s="371">
        <f t="shared" si="22"/>
        <v>0.42</v>
      </c>
      <c r="J103" s="371">
        <f t="shared" si="22"/>
        <v>0.495</v>
      </c>
      <c r="K103" s="371">
        <f t="shared" si="22"/>
        <v>0.59699999999999998</v>
      </c>
      <c r="L103" s="371">
        <f t="shared" si="22"/>
        <v>1.7110000000000001</v>
      </c>
      <c r="M103" s="371">
        <f t="shared" si="22"/>
        <v>1.8260000000000001</v>
      </c>
      <c r="N103" s="371">
        <f t="shared" si="22"/>
        <v>1.917</v>
      </c>
      <c r="O103" s="371">
        <f t="shared" si="22"/>
        <v>1.9750000000000001</v>
      </c>
      <c r="P103" s="371">
        <f t="shared" si="22"/>
        <v>2.206</v>
      </c>
      <c r="Q103" s="371">
        <f t="shared" si="22"/>
        <v>2.242</v>
      </c>
      <c r="R103" s="371">
        <f t="shared" si="22"/>
        <v>2.5</v>
      </c>
      <c r="S103" s="371">
        <f t="shared" si="22"/>
        <v>2.5</v>
      </c>
      <c r="T103" s="371">
        <f t="shared" si="22"/>
        <v>2.5</v>
      </c>
      <c r="U103" s="371">
        <f t="shared" si="22"/>
        <v>2.5</v>
      </c>
      <c r="V103" s="371">
        <f t="shared" si="22"/>
        <v>2.5</v>
      </c>
      <c r="W103" s="371">
        <f t="shared" si="22"/>
        <v>2.5</v>
      </c>
      <c r="X103" s="371">
        <f t="shared" si="22"/>
        <v>2.5</v>
      </c>
      <c r="Y103" s="381">
        <v>1000</v>
      </c>
    </row>
    <row r="104" spans="1:26" x14ac:dyDescent="0.2">
      <c r="A104" s="378" t="s">
        <v>34</v>
      </c>
      <c r="B104" s="372">
        <f>B94*3</f>
        <v>0</v>
      </c>
      <c r="C104" s="373">
        <f t="shared" ref="C104:X104" si="23">C94*3</f>
        <v>6.3330000000000002</v>
      </c>
      <c r="D104" s="373">
        <f t="shared" si="23"/>
        <v>29.055</v>
      </c>
      <c r="E104" s="373">
        <f t="shared" si="23"/>
        <v>75</v>
      </c>
      <c r="F104" s="373">
        <f t="shared" si="23"/>
        <v>47.213999999999999</v>
      </c>
      <c r="G104" s="373">
        <f t="shared" si="23"/>
        <v>37.415999999999997</v>
      </c>
      <c r="H104" s="373">
        <f t="shared" si="23"/>
        <v>32.01</v>
      </c>
      <c r="I104" s="373">
        <f t="shared" si="23"/>
        <v>29.138999999999996</v>
      </c>
      <c r="J104" s="373">
        <f t="shared" si="23"/>
        <v>27.534000000000002</v>
      </c>
      <c r="K104" s="373">
        <f t="shared" si="23"/>
        <v>26.688000000000002</v>
      </c>
      <c r="L104" s="373">
        <f t="shared" si="23"/>
        <v>26.775000000000002</v>
      </c>
      <c r="M104" s="373">
        <f t="shared" si="23"/>
        <v>26.097000000000001</v>
      </c>
      <c r="N104" s="373">
        <f t="shared" si="23"/>
        <v>24.155999999999999</v>
      </c>
      <c r="O104" s="373">
        <f t="shared" si="23"/>
        <v>20.861999999999998</v>
      </c>
      <c r="P104" s="373">
        <f t="shared" si="23"/>
        <v>3.21</v>
      </c>
      <c r="Q104" s="373">
        <f t="shared" si="23"/>
        <v>0</v>
      </c>
      <c r="R104" s="373">
        <f t="shared" si="23"/>
        <v>0</v>
      </c>
      <c r="S104" s="373">
        <f t="shared" si="23"/>
        <v>0</v>
      </c>
      <c r="T104" s="373">
        <f t="shared" si="23"/>
        <v>0</v>
      </c>
      <c r="U104" s="373">
        <f t="shared" si="23"/>
        <v>0</v>
      </c>
      <c r="V104" s="373">
        <f t="shared" si="23"/>
        <v>0</v>
      </c>
      <c r="W104" s="373">
        <f t="shared" si="23"/>
        <v>0</v>
      </c>
      <c r="X104" s="373">
        <f t="shared" si="23"/>
        <v>0</v>
      </c>
      <c r="Y104" s="382">
        <v>0</v>
      </c>
    </row>
    <row r="105" spans="1:26" ht="13.5" thickBot="1" x14ac:dyDescent="0.25">
      <c r="A105" s="379" t="s">
        <v>116</v>
      </c>
      <c r="B105" s="374">
        <f t="shared" ref="B105:X105" si="24">(C104+B104)*(C103-B103)/2</f>
        <v>0.12665999999999999</v>
      </c>
      <c r="C105" s="375">
        <f t="shared" si="24"/>
        <v>1.3447440000000002</v>
      </c>
      <c r="D105" s="375">
        <f t="shared" si="24"/>
        <v>5.0466674999999999</v>
      </c>
      <c r="E105" s="375">
        <f t="shared" si="24"/>
        <v>4.4608109999999987</v>
      </c>
      <c r="F105" s="375">
        <f t="shared" si="24"/>
        <v>1.8195450000000015</v>
      </c>
      <c r="G105" s="375">
        <f t="shared" si="24"/>
        <v>1.3885199999999991</v>
      </c>
      <c r="H105" s="375">
        <f t="shared" si="24"/>
        <v>1.5592994999999996</v>
      </c>
      <c r="I105" s="375">
        <f t="shared" si="24"/>
        <v>2.1252375000000003</v>
      </c>
      <c r="J105" s="375">
        <f t="shared" si="24"/>
        <v>2.7653219999999998</v>
      </c>
      <c r="K105" s="375">
        <f t="shared" si="24"/>
        <v>29.778891000000009</v>
      </c>
      <c r="L105" s="375">
        <f t="shared" si="24"/>
        <v>3.0401399999999996</v>
      </c>
      <c r="M105" s="375">
        <f t="shared" si="24"/>
        <v>2.2865114999999991</v>
      </c>
      <c r="N105" s="375">
        <f t="shared" si="24"/>
        <v>1.3055220000000012</v>
      </c>
      <c r="O105" s="375">
        <f t="shared" si="24"/>
        <v>2.7803159999999982</v>
      </c>
      <c r="P105" s="375">
        <f t="shared" si="24"/>
        <v>5.7780000000000054E-2</v>
      </c>
      <c r="Q105" s="375">
        <f t="shared" si="24"/>
        <v>0</v>
      </c>
      <c r="R105" s="375">
        <f t="shared" si="24"/>
        <v>0</v>
      </c>
      <c r="S105" s="375">
        <f t="shared" si="24"/>
        <v>0</v>
      </c>
      <c r="T105" s="375">
        <f t="shared" si="24"/>
        <v>0</v>
      </c>
      <c r="U105" s="375">
        <f t="shared" si="24"/>
        <v>0</v>
      </c>
      <c r="V105" s="375">
        <f t="shared" si="24"/>
        <v>0</v>
      </c>
      <c r="W105" s="375">
        <f t="shared" si="24"/>
        <v>0</v>
      </c>
      <c r="X105" s="375">
        <f t="shared" si="24"/>
        <v>0</v>
      </c>
      <c r="Y105" s="369"/>
    </row>
    <row r="107" spans="1:26" ht="13.5" thickBot="1" x14ac:dyDescent="0.25">
      <c r="A107" s="6" t="s">
        <v>317</v>
      </c>
    </row>
    <row r="108" spans="1:26" ht="13.5" thickBot="1" x14ac:dyDescent="0.25">
      <c r="A108" s="361" t="s">
        <v>319</v>
      </c>
      <c r="B108" s="359">
        <f>ROW(A108)</f>
        <v>108</v>
      </c>
      <c r="C108" s="363" t="s">
        <v>115</v>
      </c>
      <c r="D108" s="353">
        <f>SUM(B111:Y111)</f>
        <v>24.269519000000003</v>
      </c>
      <c r="E108" s="363" t="s">
        <v>114</v>
      </c>
      <c r="F108" s="354">
        <f>D108/g/J108</f>
        <v>154.62231778797147</v>
      </c>
      <c r="G108" s="363" t="s">
        <v>56</v>
      </c>
      <c r="H108" s="64">
        <v>5.1999999999999998E-2</v>
      </c>
      <c r="I108" s="363" t="s">
        <v>271</v>
      </c>
      <c r="J108" s="355">
        <f>H108-L108</f>
        <v>1.6E-2</v>
      </c>
      <c r="K108" s="363" t="s">
        <v>272</v>
      </c>
      <c r="L108" s="64">
        <v>3.5999999999999997E-2</v>
      </c>
      <c r="M108" s="363" t="s">
        <v>57</v>
      </c>
      <c r="N108" s="396">
        <v>35</v>
      </c>
      <c r="O108" s="363" t="s">
        <v>59</v>
      </c>
      <c r="P108" s="396">
        <v>35</v>
      </c>
      <c r="Q108" s="363" t="s">
        <v>60</v>
      </c>
      <c r="R108" s="65">
        <v>69</v>
      </c>
      <c r="S108" s="363" t="s">
        <v>61</v>
      </c>
      <c r="T108" s="65">
        <v>24</v>
      </c>
      <c r="U108" s="363" t="s">
        <v>54</v>
      </c>
      <c r="V108" s="66" t="s">
        <v>399</v>
      </c>
      <c r="W108" s="463" t="s">
        <v>394</v>
      </c>
      <c r="X108" s="465">
        <v>1</v>
      </c>
      <c r="Y108" s="463" t="s">
        <v>393</v>
      </c>
      <c r="Z108" s="358">
        <v>13</v>
      </c>
    </row>
    <row r="109" spans="1:26" x14ac:dyDescent="0.2">
      <c r="A109" s="362" t="s">
        <v>33</v>
      </c>
      <c r="B109" s="370">
        <v>0</v>
      </c>
      <c r="C109" s="371">
        <v>8.0000000000000002E-3</v>
      </c>
      <c r="D109" s="371">
        <v>2.5999999999999999E-2</v>
      </c>
      <c r="E109" s="371">
        <v>3.7999999999999999E-2</v>
      </c>
      <c r="F109" s="371">
        <v>6.7000000000000004E-2</v>
      </c>
      <c r="G109" s="371">
        <v>0.10100000000000001</v>
      </c>
      <c r="H109" s="371">
        <v>0.33</v>
      </c>
      <c r="I109" s="371">
        <v>0.52800000000000002</v>
      </c>
      <c r="J109" s="371">
        <v>0.71599999999999997</v>
      </c>
      <c r="K109" s="371">
        <v>0.84099999999999997</v>
      </c>
      <c r="L109" s="371">
        <v>0.91200000000000003</v>
      </c>
      <c r="M109" s="371">
        <v>0.98699999999999999</v>
      </c>
      <c r="N109" s="371">
        <v>1.016</v>
      </c>
      <c r="O109" s="371">
        <v>1.0649999999999999</v>
      </c>
      <c r="P109" s="371">
        <v>1.087</v>
      </c>
      <c r="Q109" s="371">
        <v>2</v>
      </c>
      <c r="R109" s="371">
        <v>2</v>
      </c>
      <c r="S109" s="371">
        <v>2</v>
      </c>
      <c r="T109" s="371">
        <v>2</v>
      </c>
      <c r="U109" s="371">
        <v>2</v>
      </c>
      <c r="V109" s="371">
        <v>2</v>
      </c>
      <c r="W109" s="371">
        <v>2</v>
      </c>
      <c r="X109" s="371">
        <v>2</v>
      </c>
      <c r="Y109" s="381">
        <v>1000</v>
      </c>
    </row>
    <row r="110" spans="1:26" x14ac:dyDescent="0.2">
      <c r="A110" s="378" t="s">
        <v>34</v>
      </c>
      <c r="B110" s="372">
        <v>0</v>
      </c>
      <c r="C110" s="373">
        <v>18.292000000000002</v>
      </c>
      <c r="D110" s="373">
        <v>30</v>
      </c>
      <c r="E110" s="373">
        <v>30.792000000000002</v>
      </c>
      <c r="F110" s="373">
        <v>18.707999999999998</v>
      </c>
      <c r="G110" s="373">
        <v>21.875</v>
      </c>
      <c r="H110" s="373">
        <v>26.082999999999998</v>
      </c>
      <c r="I110" s="373">
        <v>28.042000000000002</v>
      </c>
      <c r="J110" s="373">
        <v>27.875</v>
      </c>
      <c r="K110" s="373">
        <v>23.542000000000002</v>
      </c>
      <c r="L110" s="373">
        <v>17.832999999999998</v>
      </c>
      <c r="M110" s="373">
        <v>7</v>
      </c>
      <c r="N110" s="373">
        <v>3.3330000000000002</v>
      </c>
      <c r="O110" s="373">
        <v>1.083</v>
      </c>
      <c r="P110" s="373">
        <v>0</v>
      </c>
      <c r="Q110" s="373">
        <v>0</v>
      </c>
      <c r="R110" s="373">
        <v>0</v>
      </c>
      <c r="S110" s="373">
        <v>0</v>
      </c>
      <c r="T110" s="373">
        <f>S110</f>
        <v>0</v>
      </c>
      <c r="U110" s="373">
        <f>T110</f>
        <v>0</v>
      </c>
      <c r="V110" s="373">
        <f>U110</f>
        <v>0</v>
      </c>
      <c r="W110" s="373">
        <f>V110</f>
        <v>0</v>
      </c>
      <c r="X110" s="373">
        <f>W110</f>
        <v>0</v>
      </c>
      <c r="Y110" s="382">
        <v>0</v>
      </c>
    </row>
    <row r="111" spans="1:26" ht="13.5" thickBot="1" x14ac:dyDescent="0.25">
      <c r="A111" s="379" t="s">
        <v>116</v>
      </c>
      <c r="B111" s="374">
        <f t="shared" ref="B111:V111" si="25">(C110+B110)*(C109-B109)/2</f>
        <v>7.3168000000000011E-2</v>
      </c>
      <c r="C111" s="375">
        <f t="shared" si="25"/>
        <v>0.43462799999999996</v>
      </c>
      <c r="D111" s="375">
        <f t="shared" si="25"/>
        <v>0.36475200000000002</v>
      </c>
      <c r="E111" s="375">
        <f t="shared" si="25"/>
        <v>0.71775000000000011</v>
      </c>
      <c r="F111" s="375">
        <f t="shared" si="25"/>
        <v>0.68991100000000005</v>
      </c>
      <c r="G111" s="375">
        <f t="shared" si="25"/>
        <v>5.4911909999999997</v>
      </c>
      <c r="H111" s="375">
        <f t="shared" si="25"/>
        <v>5.3583750000000006</v>
      </c>
      <c r="I111" s="375">
        <f t="shared" si="25"/>
        <v>5.2561979999999986</v>
      </c>
      <c r="J111" s="375">
        <f>(K110+J110)*(K109-J109)/2</f>
        <v>3.2135625000000001</v>
      </c>
      <c r="K111" s="375">
        <f t="shared" si="25"/>
        <v>1.4688125000000014</v>
      </c>
      <c r="L111" s="375">
        <f t="shared" si="25"/>
        <v>0.93123749999999939</v>
      </c>
      <c r="M111" s="375">
        <f t="shared" si="25"/>
        <v>0.14982850000000014</v>
      </c>
      <c r="N111" s="375">
        <f t="shared" si="25"/>
        <v>0.10819199999999986</v>
      </c>
      <c r="O111" s="375">
        <f t="shared" si="25"/>
        <v>1.191300000000001E-2</v>
      </c>
      <c r="P111" s="375">
        <f t="shared" si="25"/>
        <v>0</v>
      </c>
      <c r="Q111" s="375">
        <f t="shared" si="25"/>
        <v>0</v>
      </c>
      <c r="R111" s="375">
        <f t="shared" si="25"/>
        <v>0</v>
      </c>
      <c r="S111" s="375">
        <f>(T110+S110)*(T109-S109)/2</f>
        <v>0</v>
      </c>
      <c r="T111" s="375">
        <f t="shared" si="25"/>
        <v>0</v>
      </c>
      <c r="U111" s="375">
        <f t="shared" si="25"/>
        <v>0</v>
      </c>
      <c r="V111" s="375">
        <f t="shared" si="25"/>
        <v>0</v>
      </c>
      <c r="W111" s="375">
        <f>(X110+W110)*(X109-W109)/2</f>
        <v>0</v>
      </c>
      <c r="X111" s="375">
        <f>(Y110+X110)*(Y109-X109)/2</f>
        <v>0</v>
      </c>
      <c r="Y111" s="369"/>
    </row>
    <row r="112" spans="1:26" ht="13.5" thickBot="1" x14ac:dyDescent="0.25"/>
    <row r="113" spans="1:26" ht="13.5" thickBot="1" x14ac:dyDescent="0.25">
      <c r="A113" s="361" t="s">
        <v>417</v>
      </c>
      <c r="B113" s="359">
        <f>ROW(A113)</f>
        <v>113</v>
      </c>
      <c r="C113" s="363" t="s">
        <v>115</v>
      </c>
      <c r="D113" s="353">
        <f>SUM(B116:Y116)</f>
        <v>24.488898000000002</v>
      </c>
      <c r="E113" s="363" t="s">
        <v>114</v>
      </c>
      <c r="F113" s="354">
        <f>D113/g/J113</f>
        <v>121.771701350041</v>
      </c>
      <c r="G113" s="363" t="s">
        <v>56</v>
      </c>
      <c r="H113" s="64">
        <v>5.6500000000000002E-2</v>
      </c>
      <c r="I113" s="363" t="s">
        <v>271</v>
      </c>
      <c r="J113" s="355">
        <f>H113-L113</f>
        <v>2.0500000000000004E-2</v>
      </c>
      <c r="K113" s="363" t="s">
        <v>272</v>
      </c>
      <c r="L113" s="64">
        <v>3.5999999999999997E-2</v>
      </c>
      <c r="M113" s="363" t="s">
        <v>57</v>
      </c>
      <c r="N113" s="396">
        <v>35</v>
      </c>
      <c r="O113" s="363" t="s">
        <v>59</v>
      </c>
      <c r="P113" s="396">
        <v>35</v>
      </c>
      <c r="Q113" s="363" t="s">
        <v>60</v>
      </c>
      <c r="R113" s="65">
        <v>69</v>
      </c>
      <c r="S113" s="363" t="s">
        <v>61</v>
      </c>
      <c r="T113" s="65">
        <v>24</v>
      </c>
      <c r="U113" s="363" t="s">
        <v>54</v>
      </c>
      <c r="V113" s="66" t="s">
        <v>400</v>
      </c>
      <c r="W113" s="463" t="s">
        <v>394</v>
      </c>
      <c r="X113" s="465">
        <v>0.33</v>
      </c>
      <c r="Y113" s="463" t="s">
        <v>393</v>
      </c>
      <c r="Z113" s="358">
        <v>17</v>
      </c>
    </row>
    <row r="114" spans="1:26" x14ac:dyDescent="0.2">
      <c r="A114" s="362" t="s">
        <v>33</v>
      </c>
      <c r="B114" s="370">
        <v>0</v>
      </c>
      <c r="C114" s="371">
        <v>8.9999999999999993E-3</v>
      </c>
      <c r="D114" s="371">
        <v>1.2E-2</v>
      </c>
      <c r="E114" s="371">
        <v>2.3E-2</v>
      </c>
      <c r="F114" s="371">
        <v>2.7E-2</v>
      </c>
      <c r="G114" s="371">
        <v>4.7E-2</v>
      </c>
      <c r="H114" s="371">
        <v>9.1999999999999998E-2</v>
      </c>
      <c r="I114" s="371">
        <v>0.11799999999999999</v>
      </c>
      <c r="J114" s="371">
        <v>0.14099999999999999</v>
      </c>
      <c r="K114" s="371">
        <v>0.192</v>
      </c>
      <c r="L114" s="371">
        <v>0.222</v>
      </c>
      <c r="M114" s="371">
        <v>0.25</v>
      </c>
      <c r="N114" s="371">
        <v>0.26</v>
      </c>
      <c r="O114" s="371">
        <v>0.28100000000000003</v>
      </c>
      <c r="P114" s="371">
        <v>0.28699999999999998</v>
      </c>
      <c r="Q114" s="371">
        <v>0.30599999999999999</v>
      </c>
      <c r="R114" s="371">
        <v>0.314</v>
      </c>
      <c r="S114" s="371">
        <v>0.32600000000000001</v>
      </c>
      <c r="T114" s="371">
        <v>0.32900000000000001</v>
      </c>
      <c r="U114" s="371">
        <v>0.5</v>
      </c>
      <c r="V114" s="371">
        <v>1</v>
      </c>
      <c r="W114" s="371">
        <v>2</v>
      </c>
      <c r="X114" s="371">
        <v>2</v>
      </c>
      <c r="Y114" s="381">
        <v>1000</v>
      </c>
    </row>
    <row r="115" spans="1:26" x14ac:dyDescent="0.2">
      <c r="A115" s="378" t="s">
        <v>34</v>
      </c>
      <c r="B115" s="372">
        <v>0</v>
      </c>
      <c r="C115" s="373">
        <v>84.212999999999994</v>
      </c>
      <c r="D115" s="373">
        <v>95.099000000000004</v>
      </c>
      <c r="E115" s="373">
        <v>77.08</v>
      </c>
      <c r="F115" s="373">
        <v>68.697000000000003</v>
      </c>
      <c r="G115" s="373">
        <v>73.451999999999998</v>
      </c>
      <c r="H115" s="373">
        <v>81.834999999999994</v>
      </c>
      <c r="I115" s="373">
        <v>83.837000000000003</v>
      </c>
      <c r="J115" s="373">
        <v>86.465000000000003</v>
      </c>
      <c r="K115" s="373">
        <v>86.965999999999994</v>
      </c>
      <c r="L115" s="373">
        <v>85.338999999999999</v>
      </c>
      <c r="M115" s="373">
        <v>80.082999999999998</v>
      </c>
      <c r="N115" s="373">
        <v>78.331999999999994</v>
      </c>
      <c r="O115" s="373">
        <v>82.960999999999999</v>
      </c>
      <c r="P115" s="373">
        <v>78.206000000000003</v>
      </c>
      <c r="Q115" s="373">
        <v>24.776</v>
      </c>
      <c r="R115" s="373">
        <v>14.14</v>
      </c>
      <c r="S115" s="373">
        <v>8.5090000000000003</v>
      </c>
      <c r="T115" s="373">
        <v>0</v>
      </c>
      <c r="U115" s="373">
        <f>T115</f>
        <v>0</v>
      </c>
      <c r="V115" s="373">
        <f>U115</f>
        <v>0</v>
      </c>
      <c r="W115" s="373">
        <f>V115</f>
        <v>0</v>
      </c>
      <c r="X115" s="373">
        <f>W115</f>
        <v>0</v>
      </c>
      <c r="Y115" s="382">
        <v>0</v>
      </c>
    </row>
    <row r="116" spans="1:26" ht="13.5" thickBot="1" x14ac:dyDescent="0.25">
      <c r="A116" s="379" t="s">
        <v>116</v>
      </c>
      <c r="B116" s="374">
        <f t="shared" ref="B116:V116" si="26">(C115+B115)*(C114-B114)/2</f>
        <v>0.37895849999999992</v>
      </c>
      <c r="C116" s="375">
        <f t="shared" si="26"/>
        <v>0.2689680000000001</v>
      </c>
      <c r="D116" s="375">
        <f t="shared" si="26"/>
        <v>0.94698450000000001</v>
      </c>
      <c r="E116" s="375">
        <f t="shared" si="26"/>
        <v>0.29155399999999998</v>
      </c>
      <c r="F116" s="375">
        <f t="shared" si="26"/>
        <v>1.4214900000000001</v>
      </c>
      <c r="G116" s="375">
        <f t="shared" si="26"/>
        <v>3.4939574999999992</v>
      </c>
      <c r="H116" s="375">
        <f t="shared" si="26"/>
        <v>2.1537359999999994</v>
      </c>
      <c r="I116" s="375">
        <f t="shared" si="26"/>
        <v>1.9584729999999997</v>
      </c>
      <c r="J116" s="375">
        <f>(K115+J115)*(K114-J114)/2</f>
        <v>4.4224905000000012</v>
      </c>
      <c r="K116" s="375">
        <f t="shared" si="26"/>
        <v>2.5845750000000001</v>
      </c>
      <c r="L116" s="375">
        <f t="shared" si="26"/>
        <v>2.3159079999999999</v>
      </c>
      <c r="M116" s="375">
        <f t="shared" si="26"/>
        <v>0.79207500000000064</v>
      </c>
      <c r="N116" s="375">
        <f t="shared" si="26"/>
        <v>1.6935765000000016</v>
      </c>
      <c r="O116" s="375">
        <f t="shared" si="26"/>
        <v>0.48350099999999596</v>
      </c>
      <c r="P116" s="375">
        <f t="shared" si="26"/>
        <v>0.97832900000000089</v>
      </c>
      <c r="Q116" s="375">
        <f t="shared" si="26"/>
        <v>0.15566400000000014</v>
      </c>
      <c r="R116" s="375">
        <f t="shared" si="26"/>
        <v>0.13589400000000013</v>
      </c>
      <c r="S116" s="375">
        <f>(T115+S115)*(T114-S114)/2</f>
        <v>1.2763500000000013E-2</v>
      </c>
      <c r="T116" s="375">
        <f t="shared" si="26"/>
        <v>0</v>
      </c>
      <c r="U116" s="375">
        <f t="shared" si="26"/>
        <v>0</v>
      </c>
      <c r="V116" s="375">
        <f t="shared" si="26"/>
        <v>0</v>
      </c>
      <c r="W116" s="375">
        <f>(X115+W115)*(X114-W114)/2</f>
        <v>0</v>
      </c>
      <c r="X116" s="375">
        <f>(Y115+X115)*(Y114-X114)/2</f>
        <v>0</v>
      </c>
      <c r="Y116" s="369"/>
    </row>
    <row r="117" spans="1:26" ht="13.5" thickBot="1" x14ac:dyDescent="0.25"/>
    <row r="118" spans="1:26" ht="13.5" thickBot="1" x14ac:dyDescent="0.25">
      <c r="A118" s="361" t="s">
        <v>320</v>
      </c>
      <c r="B118" s="359">
        <f>ROW(A118)</f>
        <v>118</v>
      </c>
      <c r="C118" s="363" t="s">
        <v>115</v>
      </c>
      <c r="D118" s="353">
        <f>SUM(B121:Y121)</f>
        <v>26.083982500000001</v>
      </c>
      <c r="E118" s="363" t="s">
        <v>114</v>
      </c>
      <c r="F118" s="354">
        <f>D118/g/J118</f>
        <v>166.18235537716615</v>
      </c>
      <c r="G118" s="363" t="s">
        <v>56</v>
      </c>
      <c r="H118" s="64">
        <v>5.1999999999999998E-2</v>
      </c>
      <c r="I118" s="363" t="s">
        <v>271</v>
      </c>
      <c r="J118" s="355">
        <f>H118-L118</f>
        <v>1.6E-2</v>
      </c>
      <c r="K118" s="363" t="s">
        <v>272</v>
      </c>
      <c r="L118" s="64">
        <v>3.5999999999999997E-2</v>
      </c>
      <c r="M118" s="363" t="s">
        <v>57</v>
      </c>
      <c r="N118" s="396">
        <v>35</v>
      </c>
      <c r="O118" s="363" t="s">
        <v>59</v>
      </c>
      <c r="P118" s="396">
        <v>35</v>
      </c>
      <c r="Q118" s="363" t="s">
        <v>60</v>
      </c>
      <c r="R118" s="65">
        <v>69</v>
      </c>
      <c r="S118" s="363" t="s">
        <v>61</v>
      </c>
      <c r="T118" s="65">
        <v>24</v>
      </c>
      <c r="U118" s="363" t="s">
        <v>54</v>
      </c>
      <c r="V118" s="66" t="s">
        <v>399</v>
      </c>
      <c r="W118" s="463" t="s">
        <v>394</v>
      </c>
      <c r="X118" s="465">
        <v>0.85</v>
      </c>
      <c r="Y118" s="463" t="s">
        <v>393</v>
      </c>
      <c r="Z118" s="358">
        <v>15</v>
      </c>
    </row>
    <row r="119" spans="1:26" x14ac:dyDescent="0.2">
      <c r="A119" s="362" t="s">
        <v>33</v>
      </c>
      <c r="B119" s="370">
        <v>0</v>
      </c>
      <c r="C119" s="371">
        <v>0.02</v>
      </c>
      <c r="D119" s="371">
        <v>2.7E-2</v>
      </c>
      <c r="E119" s="371">
        <v>4.9000000000000002E-2</v>
      </c>
      <c r="F119" s="371">
        <v>0.113</v>
      </c>
      <c r="G119" s="371">
        <v>0.193</v>
      </c>
      <c r="H119" s="371">
        <v>0.28199999999999997</v>
      </c>
      <c r="I119" s="371">
        <v>0.5</v>
      </c>
      <c r="J119" s="371">
        <v>0.72699999999999998</v>
      </c>
      <c r="K119" s="371">
        <v>0.77100000000000002</v>
      </c>
      <c r="L119" s="371">
        <v>0.80700000000000005</v>
      </c>
      <c r="M119" s="371">
        <v>0.84</v>
      </c>
      <c r="N119" s="371">
        <v>0.87</v>
      </c>
      <c r="O119" s="371">
        <v>1</v>
      </c>
      <c r="P119" s="371">
        <v>1</v>
      </c>
      <c r="Q119" s="371">
        <v>1</v>
      </c>
      <c r="R119" s="371">
        <v>1</v>
      </c>
      <c r="S119" s="371">
        <v>1</v>
      </c>
      <c r="T119" s="371">
        <v>1</v>
      </c>
      <c r="U119" s="371">
        <v>1</v>
      </c>
      <c r="V119" s="371">
        <v>1</v>
      </c>
      <c r="W119" s="371">
        <v>1</v>
      </c>
      <c r="X119" s="371">
        <v>2</v>
      </c>
      <c r="Y119" s="381">
        <v>1000</v>
      </c>
    </row>
    <row r="120" spans="1:26" x14ac:dyDescent="0.2">
      <c r="A120" s="378" t="s">
        <v>34</v>
      </c>
      <c r="B120" s="372">
        <v>0</v>
      </c>
      <c r="C120" s="373">
        <v>43.823999999999998</v>
      </c>
      <c r="D120" s="373">
        <v>39.963999999999999</v>
      </c>
      <c r="E120" s="373">
        <v>26.780999999999999</v>
      </c>
      <c r="F120" s="373">
        <v>32.600999999999999</v>
      </c>
      <c r="G120" s="373">
        <v>34.738999999999997</v>
      </c>
      <c r="H120" s="373">
        <v>35.808</v>
      </c>
      <c r="I120" s="373">
        <v>34.442</v>
      </c>
      <c r="J120" s="373">
        <v>29.276</v>
      </c>
      <c r="K120" s="373">
        <v>22.742999999999999</v>
      </c>
      <c r="L120" s="373">
        <v>9.5609999999999999</v>
      </c>
      <c r="M120" s="373">
        <v>3.5630000000000002</v>
      </c>
      <c r="N120" s="373">
        <v>0</v>
      </c>
      <c r="O120" s="373">
        <v>0</v>
      </c>
      <c r="P120" s="373">
        <v>0</v>
      </c>
      <c r="Q120" s="373">
        <v>0</v>
      </c>
      <c r="R120" s="373">
        <v>0</v>
      </c>
      <c r="S120" s="373">
        <v>0</v>
      </c>
      <c r="T120" s="373">
        <f>S120</f>
        <v>0</v>
      </c>
      <c r="U120" s="373">
        <f>T120</f>
        <v>0</v>
      </c>
      <c r="V120" s="373">
        <f>U120</f>
        <v>0</v>
      </c>
      <c r="W120" s="373">
        <f>V120</f>
        <v>0</v>
      </c>
      <c r="X120" s="373">
        <f>W120</f>
        <v>0</v>
      </c>
      <c r="Y120" s="382">
        <v>0</v>
      </c>
    </row>
    <row r="121" spans="1:26" ht="13.5" thickBot="1" x14ac:dyDescent="0.25">
      <c r="A121" s="379" t="s">
        <v>116</v>
      </c>
      <c r="B121" s="374">
        <f t="shared" ref="B121:V121" si="27">(C120+B120)*(C119-B119)/2</f>
        <v>0.43823999999999996</v>
      </c>
      <c r="C121" s="375">
        <f t="shared" si="27"/>
        <v>0.29325799999999996</v>
      </c>
      <c r="D121" s="375">
        <f t="shared" si="27"/>
        <v>0.73419500000000015</v>
      </c>
      <c r="E121" s="375">
        <f t="shared" si="27"/>
        <v>1.9002239999999999</v>
      </c>
      <c r="F121" s="375">
        <f t="shared" si="27"/>
        <v>2.6936</v>
      </c>
      <c r="G121" s="375">
        <f t="shared" si="27"/>
        <v>3.1393414999999987</v>
      </c>
      <c r="H121" s="375">
        <f t="shared" si="27"/>
        <v>7.6572500000000012</v>
      </c>
      <c r="I121" s="375">
        <f t="shared" si="27"/>
        <v>7.2319930000000001</v>
      </c>
      <c r="J121" s="375">
        <f>(K120+J120)*(K119-J119)/2</f>
        <v>1.144418000000001</v>
      </c>
      <c r="K121" s="375">
        <f t="shared" si="27"/>
        <v>0.58147200000000054</v>
      </c>
      <c r="L121" s="375">
        <f t="shared" si="27"/>
        <v>0.21654599999999946</v>
      </c>
      <c r="M121" s="375">
        <f t="shared" si="27"/>
        <v>5.3445000000000048E-2</v>
      </c>
      <c r="N121" s="375">
        <f t="shared" si="27"/>
        <v>0</v>
      </c>
      <c r="O121" s="375">
        <f t="shared" si="27"/>
        <v>0</v>
      </c>
      <c r="P121" s="375">
        <f t="shared" si="27"/>
        <v>0</v>
      </c>
      <c r="Q121" s="375">
        <f t="shared" si="27"/>
        <v>0</v>
      </c>
      <c r="R121" s="375">
        <f t="shared" si="27"/>
        <v>0</v>
      </c>
      <c r="S121" s="375">
        <f>(T120+S120)*(T119-S119)/2</f>
        <v>0</v>
      </c>
      <c r="T121" s="375">
        <f t="shared" si="27"/>
        <v>0</v>
      </c>
      <c r="U121" s="375">
        <f t="shared" si="27"/>
        <v>0</v>
      </c>
      <c r="V121" s="375">
        <f t="shared" si="27"/>
        <v>0</v>
      </c>
      <c r="W121" s="375">
        <f>(X120+W120)*(X119-W119)/2</f>
        <v>0</v>
      </c>
      <c r="X121" s="375">
        <f>(Y120+X120)*(Y119-X119)/2</f>
        <v>0</v>
      </c>
      <c r="Y121" s="369"/>
    </row>
    <row r="122" spans="1:26" ht="13.5" thickBot="1" x14ac:dyDescent="0.25">
      <c r="A122" s="6" t="s">
        <v>389</v>
      </c>
    </row>
    <row r="123" spans="1:26" ht="13.5" thickBot="1" x14ac:dyDescent="0.25">
      <c r="A123" s="361" t="s">
        <v>390</v>
      </c>
      <c r="B123" s="359">
        <f>ROW(A123)</f>
        <v>123</v>
      </c>
      <c r="C123" s="363" t="s">
        <v>115</v>
      </c>
      <c r="D123" s="353">
        <f>SUM(B126:Y126)</f>
        <v>49.788765499999997</v>
      </c>
      <c r="E123" s="363" t="s">
        <v>114</v>
      </c>
      <c r="F123" s="354">
        <v>231</v>
      </c>
      <c r="G123" s="363" t="s">
        <v>56</v>
      </c>
      <c r="H123" s="64">
        <v>7.2999999999999995E-2</v>
      </c>
      <c r="I123" s="363" t="s">
        <v>271</v>
      </c>
      <c r="J123" s="355">
        <f>H123-L123</f>
        <v>2.7999999999999997E-2</v>
      </c>
      <c r="K123" s="363" t="s">
        <v>272</v>
      </c>
      <c r="L123" s="64">
        <v>4.4999999999999998E-2</v>
      </c>
      <c r="M123" s="363" t="s">
        <v>57</v>
      </c>
      <c r="N123" s="396">
        <v>50</v>
      </c>
      <c r="O123" s="363" t="s">
        <v>59</v>
      </c>
      <c r="P123" s="396">
        <v>50</v>
      </c>
      <c r="Q123" s="363" t="s">
        <v>60</v>
      </c>
      <c r="R123" s="65">
        <v>101</v>
      </c>
      <c r="S123" s="363" t="s">
        <v>61</v>
      </c>
      <c r="T123" s="65">
        <v>24</v>
      </c>
      <c r="U123" s="363" t="s">
        <v>54</v>
      </c>
      <c r="V123" s="66" t="s">
        <v>119</v>
      </c>
      <c r="W123" s="463" t="s">
        <v>394</v>
      </c>
      <c r="X123" s="465">
        <v>1</v>
      </c>
      <c r="Y123" s="463" t="s">
        <v>393</v>
      </c>
      <c r="Z123" s="358">
        <v>13</v>
      </c>
    </row>
    <row r="124" spans="1:26" x14ac:dyDescent="0.2">
      <c r="A124" s="362" t="s">
        <v>33</v>
      </c>
      <c r="B124" s="470">
        <v>0</v>
      </c>
      <c r="C124" s="470">
        <v>1E-3</v>
      </c>
      <c r="D124" s="470">
        <v>2.7E-2</v>
      </c>
      <c r="E124" s="470">
        <v>5.0999999999999997E-2</v>
      </c>
      <c r="F124" s="470">
        <v>0.06</v>
      </c>
      <c r="G124" s="470">
        <v>9.1999999999999998E-2</v>
      </c>
      <c r="H124" s="470">
        <v>0.11899999999999999</v>
      </c>
      <c r="I124" s="470">
        <v>0.17</v>
      </c>
      <c r="J124" s="470">
        <v>0.3</v>
      </c>
      <c r="K124" s="470">
        <v>0.46200000000000002</v>
      </c>
      <c r="L124" s="470">
        <v>0.56899999999999995</v>
      </c>
      <c r="M124" s="470">
        <v>0.67500000000000004</v>
      </c>
      <c r="N124" s="470">
        <v>0.77800000000000002</v>
      </c>
      <c r="O124" s="470">
        <v>0.84599999999999997</v>
      </c>
      <c r="P124" s="470">
        <v>0.91700000000000004</v>
      </c>
      <c r="Q124" s="470">
        <v>1.0089999999999999</v>
      </c>
      <c r="R124" s="470">
        <v>1.032</v>
      </c>
      <c r="S124" s="470">
        <v>1.0449999999999999</v>
      </c>
      <c r="T124" s="371">
        <v>2</v>
      </c>
      <c r="U124" s="371">
        <v>2</v>
      </c>
      <c r="V124" s="371">
        <v>2</v>
      </c>
      <c r="W124" s="371">
        <v>2</v>
      </c>
      <c r="X124" s="371">
        <v>2</v>
      </c>
      <c r="Y124" s="381">
        <v>1000</v>
      </c>
    </row>
    <row r="125" spans="1:26" x14ac:dyDescent="0.2">
      <c r="A125" s="378" t="s">
        <v>34</v>
      </c>
      <c r="B125" s="470">
        <v>0</v>
      </c>
      <c r="C125" s="470">
        <v>5.1449999999999996</v>
      </c>
      <c r="D125" s="470">
        <v>67.975999999999999</v>
      </c>
      <c r="E125" s="470">
        <v>53.807000000000002</v>
      </c>
      <c r="F125" s="470">
        <v>52.88</v>
      </c>
      <c r="G125" s="470">
        <v>55.915999999999997</v>
      </c>
      <c r="H125" s="470">
        <v>57.94</v>
      </c>
      <c r="I125" s="470">
        <v>59.710999999999999</v>
      </c>
      <c r="J125" s="470">
        <v>61.145000000000003</v>
      </c>
      <c r="K125" s="470">
        <v>58.951999999999998</v>
      </c>
      <c r="L125" s="470">
        <v>55.578000000000003</v>
      </c>
      <c r="M125" s="470">
        <v>52.204999999999998</v>
      </c>
      <c r="N125" s="470">
        <v>46.386000000000003</v>
      </c>
      <c r="O125" s="470">
        <v>38.119999999999997</v>
      </c>
      <c r="P125" s="470">
        <v>20.324999999999999</v>
      </c>
      <c r="Q125" s="470">
        <v>3.5419999999999998</v>
      </c>
      <c r="R125" s="470">
        <v>1.6020000000000001</v>
      </c>
      <c r="S125" s="470">
        <v>0</v>
      </c>
      <c r="T125" s="373">
        <f>S125</f>
        <v>0</v>
      </c>
      <c r="U125" s="373">
        <f>T125</f>
        <v>0</v>
      </c>
      <c r="V125" s="373">
        <f>U125</f>
        <v>0</v>
      </c>
      <c r="W125" s="373">
        <f>V125</f>
        <v>0</v>
      </c>
      <c r="X125" s="373">
        <f>W125</f>
        <v>0</v>
      </c>
      <c r="Y125" s="382">
        <v>0</v>
      </c>
    </row>
    <row r="126" spans="1:26" ht="13.5" thickBot="1" x14ac:dyDescent="0.25">
      <c r="A126" s="379" t="s">
        <v>116</v>
      </c>
      <c r="B126" s="374">
        <f t="shared" ref="B126:X126" si="28">(C125+B125)*(C124-B124)/2</f>
        <v>2.5724999999999997E-3</v>
      </c>
      <c r="C126" s="375">
        <f t="shared" si="28"/>
        <v>0.95057299999999989</v>
      </c>
      <c r="D126" s="375">
        <f t="shared" si="28"/>
        <v>1.4613959999999999</v>
      </c>
      <c r="E126" s="375">
        <f t="shared" si="28"/>
        <v>0.48009150000000012</v>
      </c>
      <c r="F126" s="375">
        <f t="shared" si="28"/>
        <v>1.7407359999999998</v>
      </c>
      <c r="G126" s="375">
        <f t="shared" si="28"/>
        <v>1.5370559999999998</v>
      </c>
      <c r="H126" s="375">
        <f t="shared" si="28"/>
        <v>3.0001005000000007</v>
      </c>
      <c r="I126" s="375">
        <f t="shared" si="28"/>
        <v>7.8556399999999984</v>
      </c>
      <c r="J126" s="375">
        <f t="shared" si="28"/>
        <v>9.727857000000002</v>
      </c>
      <c r="K126" s="375">
        <f t="shared" si="28"/>
        <v>6.1273549999999961</v>
      </c>
      <c r="L126" s="375">
        <f t="shared" si="28"/>
        <v>5.7124990000000055</v>
      </c>
      <c r="M126" s="375">
        <f t="shared" si="28"/>
        <v>5.0774364999999992</v>
      </c>
      <c r="N126" s="375">
        <f t="shared" si="28"/>
        <v>2.8732039999999976</v>
      </c>
      <c r="O126" s="375">
        <f t="shared" si="28"/>
        <v>2.0747975000000016</v>
      </c>
      <c r="P126" s="375">
        <f t="shared" si="28"/>
        <v>1.0978819999999982</v>
      </c>
      <c r="Q126" s="375">
        <f t="shared" si="28"/>
        <v>5.915600000000034E-2</v>
      </c>
      <c r="R126" s="375">
        <f t="shared" si="28"/>
        <v>1.0412999999999921E-2</v>
      </c>
      <c r="S126" s="375">
        <f t="shared" si="28"/>
        <v>0</v>
      </c>
      <c r="T126" s="375">
        <f t="shared" si="28"/>
        <v>0</v>
      </c>
      <c r="U126" s="375">
        <f t="shared" si="28"/>
        <v>0</v>
      </c>
      <c r="V126" s="375">
        <f t="shared" si="28"/>
        <v>0</v>
      </c>
      <c r="W126" s="375">
        <f t="shared" si="28"/>
        <v>0</v>
      </c>
      <c r="X126" s="375">
        <f t="shared" si="28"/>
        <v>0</v>
      </c>
      <c r="Y126" s="369"/>
    </row>
    <row r="127" spans="1:26" ht="13.5" thickBot="1" x14ac:dyDescent="0.25"/>
    <row r="128" spans="1:26" ht="13.5" thickBot="1" x14ac:dyDescent="0.25">
      <c r="A128" s="361" t="s">
        <v>391</v>
      </c>
      <c r="B128" s="359">
        <f>ROW(A128)</f>
        <v>128</v>
      </c>
      <c r="C128" s="363" t="s">
        <v>115</v>
      </c>
      <c r="D128" s="353">
        <f>SUM(B131:Y131)</f>
        <v>52.815674000000008</v>
      </c>
      <c r="E128" s="363" t="s">
        <v>114</v>
      </c>
      <c r="F128" s="354">
        <v>239</v>
      </c>
      <c r="G128" s="363" t="s">
        <v>56</v>
      </c>
      <c r="H128" s="64">
        <v>7.2999999999999995E-2</v>
      </c>
      <c r="I128" s="363" t="s">
        <v>271</v>
      </c>
      <c r="J128" s="355">
        <f>H128-L128</f>
        <v>2.8999999999999998E-2</v>
      </c>
      <c r="K128" s="363" t="s">
        <v>272</v>
      </c>
      <c r="L128" s="64">
        <v>4.3999999999999997E-2</v>
      </c>
      <c r="M128" s="363" t="s">
        <v>57</v>
      </c>
      <c r="N128" s="396">
        <v>50</v>
      </c>
      <c r="O128" s="363" t="s">
        <v>59</v>
      </c>
      <c r="P128" s="396">
        <v>50</v>
      </c>
      <c r="Q128" s="363" t="s">
        <v>60</v>
      </c>
      <c r="R128" s="65">
        <v>101</v>
      </c>
      <c r="S128" s="363" t="s">
        <v>61</v>
      </c>
      <c r="T128" s="65">
        <v>24</v>
      </c>
      <c r="U128" s="363" t="s">
        <v>54</v>
      </c>
      <c r="V128" s="66" t="s">
        <v>119</v>
      </c>
      <c r="W128" s="463" t="s">
        <v>394</v>
      </c>
      <c r="X128" s="465">
        <v>0.77</v>
      </c>
      <c r="Y128" s="463" t="s">
        <v>393</v>
      </c>
      <c r="Z128" s="358">
        <v>14</v>
      </c>
    </row>
    <row r="129" spans="1:26" x14ac:dyDescent="0.2">
      <c r="A129" s="362" t="s">
        <v>33</v>
      </c>
      <c r="B129" s="470">
        <v>0</v>
      </c>
      <c r="C129" s="470">
        <v>1E-3</v>
      </c>
      <c r="D129" s="470">
        <v>1.2999999999999999E-2</v>
      </c>
      <c r="E129" s="470">
        <v>2.3E-2</v>
      </c>
      <c r="F129" s="470">
        <v>5.1999999999999998E-2</v>
      </c>
      <c r="G129" s="470">
        <v>0.1</v>
      </c>
      <c r="H129" s="470">
        <v>0.379</v>
      </c>
      <c r="I129" s="470">
        <v>0.64100000000000001</v>
      </c>
      <c r="J129" s="470">
        <v>0.66500000000000004</v>
      </c>
      <c r="K129" s="470">
        <v>0.70599999999999996</v>
      </c>
      <c r="L129" s="470">
        <v>0.74399999999999999</v>
      </c>
      <c r="M129" s="470">
        <v>0.78700000000000003</v>
      </c>
      <c r="N129" s="470">
        <v>0.81599999999999995</v>
      </c>
      <c r="O129" s="371">
        <v>1</v>
      </c>
      <c r="P129" s="371">
        <v>1</v>
      </c>
      <c r="Q129" s="371">
        <v>1</v>
      </c>
      <c r="R129" s="371">
        <v>1</v>
      </c>
      <c r="S129" s="371">
        <v>1</v>
      </c>
      <c r="T129" s="371">
        <v>1</v>
      </c>
      <c r="U129" s="371">
        <v>1</v>
      </c>
      <c r="V129" s="371">
        <v>1</v>
      </c>
      <c r="W129" s="371">
        <v>2</v>
      </c>
      <c r="X129" s="371">
        <v>2</v>
      </c>
      <c r="Y129" s="381">
        <v>1000</v>
      </c>
    </row>
    <row r="130" spans="1:26" x14ac:dyDescent="0.2">
      <c r="A130" s="378" t="s">
        <v>34</v>
      </c>
      <c r="B130" s="470">
        <v>0</v>
      </c>
      <c r="C130" s="470">
        <v>8.3030000000000008</v>
      </c>
      <c r="D130" s="470">
        <v>85.68</v>
      </c>
      <c r="E130" s="470">
        <v>96.149000000000001</v>
      </c>
      <c r="F130" s="470">
        <v>78.820999999999998</v>
      </c>
      <c r="G130" s="470">
        <v>83.634</v>
      </c>
      <c r="H130" s="470">
        <v>77.858000000000004</v>
      </c>
      <c r="I130" s="470">
        <v>62.575000000000003</v>
      </c>
      <c r="J130" s="470">
        <v>55.716000000000001</v>
      </c>
      <c r="K130" s="470">
        <v>23.946999999999999</v>
      </c>
      <c r="L130" s="470">
        <v>9.1460000000000008</v>
      </c>
      <c r="M130" s="470">
        <v>2.7679999999999998</v>
      </c>
      <c r="N130" s="470">
        <v>0</v>
      </c>
      <c r="O130" s="373">
        <v>0</v>
      </c>
      <c r="P130" s="373">
        <v>0</v>
      </c>
      <c r="Q130" s="373">
        <v>0</v>
      </c>
      <c r="R130" s="373">
        <v>0</v>
      </c>
      <c r="S130" s="373">
        <v>0</v>
      </c>
      <c r="T130" s="373">
        <v>0</v>
      </c>
      <c r="U130" s="373">
        <v>0</v>
      </c>
      <c r="V130" s="373">
        <f>U130</f>
        <v>0</v>
      </c>
      <c r="W130" s="373">
        <f>V130</f>
        <v>0</v>
      </c>
      <c r="X130" s="373">
        <f>W130</f>
        <v>0</v>
      </c>
      <c r="Y130" s="382">
        <v>0</v>
      </c>
    </row>
    <row r="131" spans="1:26" ht="13.5" thickBot="1" x14ac:dyDescent="0.25">
      <c r="A131" s="379" t="s">
        <v>116</v>
      </c>
      <c r="B131" s="374">
        <f t="shared" ref="B131:X131" si="29">(C130+B130)*(C129-B129)/2</f>
        <v>4.1515000000000007E-3</v>
      </c>
      <c r="C131" s="375">
        <f t="shared" si="29"/>
        <v>0.56389800000000001</v>
      </c>
      <c r="D131" s="375">
        <f t="shared" si="29"/>
        <v>0.90914500000000009</v>
      </c>
      <c r="E131" s="375">
        <f t="shared" si="29"/>
        <v>2.5370649999999997</v>
      </c>
      <c r="F131" s="375">
        <f t="shared" si="29"/>
        <v>3.8989200000000004</v>
      </c>
      <c r="G131" s="375">
        <f t="shared" si="29"/>
        <v>22.528134000000005</v>
      </c>
      <c r="H131" s="375">
        <f t="shared" si="29"/>
        <v>18.396723000000001</v>
      </c>
      <c r="I131" s="375">
        <f t="shared" si="29"/>
        <v>1.4194920000000013</v>
      </c>
      <c r="J131" s="375">
        <f t="shared" si="29"/>
        <v>1.633091499999997</v>
      </c>
      <c r="K131" s="375">
        <f t="shared" si="29"/>
        <v>0.62876700000000063</v>
      </c>
      <c r="L131" s="375">
        <f t="shared" si="29"/>
        <v>0.25615100000000024</v>
      </c>
      <c r="M131" s="375">
        <f t="shared" si="29"/>
        <v>4.013599999999988E-2</v>
      </c>
      <c r="N131" s="375">
        <f t="shared" si="29"/>
        <v>0</v>
      </c>
      <c r="O131" s="375">
        <f t="shared" si="29"/>
        <v>0</v>
      </c>
      <c r="P131" s="375">
        <f t="shared" si="29"/>
        <v>0</v>
      </c>
      <c r="Q131" s="375">
        <f t="shared" si="29"/>
        <v>0</v>
      </c>
      <c r="R131" s="375">
        <f t="shared" si="29"/>
        <v>0</v>
      </c>
      <c r="S131" s="375">
        <f t="shared" si="29"/>
        <v>0</v>
      </c>
      <c r="T131" s="375">
        <f t="shared" si="29"/>
        <v>0</v>
      </c>
      <c r="U131" s="375">
        <f t="shared" si="29"/>
        <v>0</v>
      </c>
      <c r="V131" s="375">
        <f t="shared" si="29"/>
        <v>0</v>
      </c>
      <c r="W131" s="375">
        <f t="shared" si="29"/>
        <v>0</v>
      </c>
      <c r="X131" s="375">
        <f t="shared" si="29"/>
        <v>0</v>
      </c>
      <c r="Y131" s="369"/>
    </row>
    <row r="132" spans="1:26" ht="13.5" thickBot="1" x14ac:dyDescent="0.25">
      <c r="A132" s="6" t="s">
        <v>314</v>
      </c>
    </row>
    <row r="133" spans="1:26" ht="13.5" thickBot="1" x14ac:dyDescent="0.25">
      <c r="A133" s="361" t="s">
        <v>381</v>
      </c>
      <c r="B133" s="359">
        <f>ROW(A133)</f>
        <v>133</v>
      </c>
      <c r="C133" s="363" t="s">
        <v>115</v>
      </c>
      <c r="D133" s="353">
        <f>SUM(B136:Y136)</f>
        <v>41.835000000000015</v>
      </c>
      <c r="E133" s="363" t="s">
        <v>114</v>
      </c>
      <c r="F133" s="354">
        <f>D133/g/J133</f>
        <v>121.84359982525126</v>
      </c>
      <c r="G133" s="363" t="s">
        <v>56</v>
      </c>
      <c r="H133" s="64">
        <v>0.104</v>
      </c>
      <c r="I133" s="363" t="s">
        <v>271</v>
      </c>
      <c r="J133" s="355">
        <f>H133-L133</f>
        <v>3.4999999999999989E-2</v>
      </c>
      <c r="K133" s="363" t="s">
        <v>272</v>
      </c>
      <c r="L133" s="64">
        <v>6.9000000000000006E-2</v>
      </c>
      <c r="M133" s="363" t="s">
        <v>57</v>
      </c>
      <c r="N133" s="65">
        <v>49</v>
      </c>
      <c r="O133" s="363" t="s">
        <v>59</v>
      </c>
      <c r="P133" s="65">
        <v>49</v>
      </c>
      <c r="Q133" s="363" t="s">
        <v>60</v>
      </c>
      <c r="R133" s="65">
        <v>98</v>
      </c>
      <c r="S133" s="363" t="s">
        <v>61</v>
      </c>
      <c r="T133" s="65">
        <v>29</v>
      </c>
      <c r="U133" s="363" t="s">
        <v>54</v>
      </c>
      <c r="V133" s="66" t="s">
        <v>399</v>
      </c>
      <c r="W133" s="463" t="s">
        <v>394</v>
      </c>
      <c r="X133" s="465">
        <v>1.07</v>
      </c>
      <c r="Y133" s="463" t="s">
        <v>393</v>
      </c>
      <c r="Z133" s="358">
        <v>11</v>
      </c>
    </row>
    <row r="134" spans="1:26" x14ac:dyDescent="0.2">
      <c r="A134" s="362" t="s">
        <v>33</v>
      </c>
      <c r="B134" s="370">
        <v>0</v>
      </c>
      <c r="C134" s="371">
        <v>0.01</v>
      </c>
      <c r="D134" s="371">
        <v>0.02</v>
      </c>
      <c r="E134" s="371">
        <v>0.03</v>
      </c>
      <c r="F134" s="371">
        <v>0.04</v>
      </c>
      <c r="G134" s="371">
        <v>0.06</v>
      </c>
      <c r="H134" s="371">
        <v>7.0000000000000007E-2</v>
      </c>
      <c r="I134" s="371">
        <v>0.08</v>
      </c>
      <c r="J134" s="371">
        <v>0.1</v>
      </c>
      <c r="K134" s="371">
        <v>0.2</v>
      </c>
      <c r="L134" s="371">
        <v>0.3</v>
      </c>
      <c r="M134" s="371">
        <v>0.4</v>
      </c>
      <c r="N134" s="371">
        <v>0.5</v>
      </c>
      <c r="O134" s="371">
        <v>0.6</v>
      </c>
      <c r="P134" s="371">
        <v>0.7</v>
      </c>
      <c r="Q134" s="371">
        <v>0.8</v>
      </c>
      <c r="R134" s="371">
        <v>0.85</v>
      </c>
      <c r="S134" s="371">
        <v>0.92</v>
      </c>
      <c r="T134" s="371">
        <v>0.95</v>
      </c>
      <c r="U134" s="371">
        <v>0.99</v>
      </c>
      <c r="V134" s="371">
        <v>1.05</v>
      </c>
      <c r="W134" s="371">
        <v>1.05</v>
      </c>
      <c r="X134" s="371">
        <v>2</v>
      </c>
      <c r="Y134" s="381">
        <v>1000</v>
      </c>
    </row>
    <row r="135" spans="1:26" x14ac:dyDescent="0.2">
      <c r="A135" s="378" t="s">
        <v>34</v>
      </c>
      <c r="B135" s="372">
        <v>0</v>
      </c>
      <c r="C135" s="373">
        <v>12</v>
      </c>
      <c r="D135" s="373">
        <v>46</v>
      </c>
      <c r="E135" s="373">
        <v>75</v>
      </c>
      <c r="F135" s="373">
        <v>79</v>
      </c>
      <c r="G135" s="373">
        <v>77</v>
      </c>
      <c r="H135" s="373">
        <v>62</v>
      </c>
      <c r="I135" s="373">
        <v>32</v>
      </c>
      <c r="J135" s="373">
        <v>35</v>
      </c>
      <c r="K135" s="373">
        <v>38</v>
      </c>
      <c r="L135" s="373">
        <v>39</v>
      </c>
      <c r="M135" s="373">
        <v>41</v>
      </c>
      <c r="N135" s="373">
        <v>43</v>
      </c>
      <c r="O135" s="373">
        <v>43</v>
      </c>
      <c r="P135" s="373">
        <v>43</v>
      </c>
      <c r="Q135" s="373">
        <v>43</v>
      </c>
      <c r="R135" s="373">
        <v>47</v>
      </c>
      <c r="S135" s="373">
        <v>54</v>
      </c>
      <c r="T135" s="373">
        <v>32</v>
      </c>
      <c r="U135" s="373">
        <v>8</v>
      </c>
      <c r="V135" s="373">
        <v>0</v>
      </c>
      <c r="W135" s="373">
        <v>0</v>
      </c>
      <c r="X135" s="373">
        <v>0</v>
      </c>
      <c r="Y135" s="382">
        <v>0</v>
      </c>
    </row>
    <row r="136" spans="1:26" ht="13.5" thickBot="1" x14ac:dyDescent="0.25">
      <c r="A136" s="379" t="s">
        <v>116</v>
      </c>
      <c r="B136" s="374">
        <f t="shared" ref="B136:X136" si="30">(C135+B135)*(C134-B134)/2</f>
        <v>0.06</v>
      </c>
      <c r="C136" s="375">
        <f t="shared" si="30"/>
        <v>0.28999999999999998</v>
      </c>
      <c r="D136" s="375">
        <f t="shared" si="30"/>
        <v>0.60499999999999987</v>
      </c>
      <c r="E136" s="375">
        <f t="shared" si="30"/>
        <v>0.77000000000000013</v>
      </c>
      <c r="F136" s="375">
        <f t="shared" si="30"/>
        <v>1.5599999999999998</v>
      </c>
      <c r="G136" s="375">
        <f t="shared" si="30"/>
        <v>0.69500000000000062</v>
      </c>
      <c r="H136" s="375">
        <f t="shared" si="30"/>
        <v>0.46999999999999975</v>
      </c>
      <c r="I136" s="375">
        <f t="shared" si="30"/>
        <v>0.67000000000000015</v>
      </c>
      <c r="J136" s="375">
        <f t="shared" si="30"/>
        <v>3.6500000000000004</v>
      </c>
      <c r="K136" s="375">
        <f t="shared" si="30"/>
        <v>3.8499999999999992</v>
      </c>
      <c r="L136" s="375">
        <f t="shared" si="30"/>
        <v>4.0000000000000018</v>
      </c>
      <c r="M136" s="375">
        <f t="shared" si="30"/>
        <v>4.1999999999999993</v>
      </c>
      <c r="N136" s="375">
        <f t="shared" si="30"/>
        <v>4.2999999999999989</v>
      </c>
      <c r="O136" s="375">
        <f t="shared" si="30"/>
        <v>4.2999999999999989</v>
      </c>
      <c r="P136" s="375">
        <f t="shared" si="30"/>
        <v>4.3000000000000043</v>
      </c>
      <c r="Q136" s="375">
        <f t="shared" si="30"/>
        <v>2.2499999999999969</v>
      </c>
      <c r="R136" s="375">
        <f t="shared" si="30"/>
        <v>3.5350000000000033</v>
      </c>
      <c r="S136" s="375">
        <f t="shared" si="30"/>
        <v>1.2899999999999965</v>
      </c>
      <c r="T136" s="375">
        <f t="shared" si="30"/>
        <v>0.80000000000000071</v>
      </c>
      <c r="U136" s="375">
        <f t="shared" si="30"/>
        <v>0.24000000000000021</v>
      </c>
      <c r="V136" s="375">
        <f t="shared" si="30"/>
        <v>0</v>
      </c>
      <c r="W136" s="375">
        <f t="shared" si="30"/>
        <v>0</v>
      </c>
      <c r="X136" s="375">
        <f t="shared" si="30"/>
        <v>0</v>
      </c>
      <c r="Y136" s="369"/>
    </row>
    <row r="137" spans="1:26" ht="13.5" thickBot="1" x14ac:dyDescent="0.2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6" ht="13.5" thickBot="1" x14ac:dyDescent="0.25">
      <c r="A138" s="361" t="s">
        <v>382</v>
      </c>
      <c r="B138" s="359">
        <f>ROW(A138)</f>
        <v>138</v>
      </c>
      <c r="C138" s="363" t="s">
        <v>115</v>
      </c>
      <c r="D138" s="353">
        <f>SUM(B141:Y141)</f>
        <v>52.564999999999998</v>
      </c>
      <c r="E138" s="363" t="s">
        <v>114</v>
      </c>
      <c r="F138" s="354">
        <f>D138/g/J138</f>
        <v>167.44712028542301</v>
      </c>
      <c r="G138" s="363" t="s">
        <v>56</v>
      </c>
      <c r="H138" s="64">
        <v>0.10100000000000001</v>
      </c>
      <c r="I138" s="363" t="s">
        <v>271</v>
      </c>
      <c r="J138" s="355">
        <f>H138-L138</f>
        <v>3.2000000000000001E-2</v>
      </c>
      <c r="K138" s="363" t="s">
        <v>272</v>
      </c>
      <c r="L138" s="64">
        <v>6.9000000000000006E-2</v>
      </c>
      <c r="M138" s="363" t="s">
        <v>57</v>
      </c>
      <c r="N138" s="65">
        <v>49</v>
      </c>
      <c r="O138" s="363" t="s">
        <v>59</v>
      </c>
      <c r="P138" s="65">
        <v>49</v>
      </c>
      <c r="Q138" s="363" t="s">
        <v>60</v>
      </c>
      <c r="R138" s="65">
        <v>98</v>
      </c>
      <c r="S138" s="363" t="s">
        <v>61</v>
      </c>
      <c r="T138" s="65">
        <v>29</v>
      </c>
      <c r="U138" s="363" t="s">
        <v>54</v>
      </c>
      <c r="V138" s="66" t="s">
        <v>400</v>
      </c>
      <c r="W138" s="463" t="s">
        <v>394</v>
      </c>
      <c r="X138" s="465">
        <v>1.8</v>
      </c>
      <c r="Y138" s="463" t="s">
        <v>393</v>
      </c>
      <c r="Z138" s="358">
        <v>12</v>
      </c>
    </row>
    <row r="139" spans="1:26" x14ac:dyDescent="0.2">
      <c r="A139" s="362" t="s">
        <v>33</v>
      </c>
      <c r="B139" s="370">
        <v>0</v>
      </c>
      <c r="C139" s="371">
        <v>0.01</v>
      </c>
      <c r="D139" s="371">
        <v>0.03</v>
      </c>
      <c r="E139" s="371">
        <v>0.04</v>
      </c>
      <c r="F139" s="371">
        <v>0.05</v>
      </c>
      <c r="G139" s="371">
        <v>0.06</v>
      </c>
      <c r="H139" s="371">
        <v>7.0000000000000007E-2</v>
      </c>
      <c r="I139" s="371">
        <v>0.08</v>
      </c>
      <c r="J139" s="371">
        <v>0.09</v>
      </c>
      <c r="K139" s="371">
        <v>0.1</v>
      </c>
      <c r="L139" s="371">
        <v>0.2</v>
      </c>
      <c r="M139" s="371">
        <v>0.3</v>
      </c>
      <c r="N139" s="371">
        <v>0.4</v>
      </c>
      <c r="O139" s="371">
        <v>0.5</v>
      </c>
      <c r="P139" s="371">
        <v>0.7</v>
      </c>
      <c r="Q139" s="371">
        <v>0.8</v>
      </c>
      <c r="R139" s="371">
        <v>0.9</v>
      </c>
      <c r="S139" s="371">
        <v>1</v>
      </c>
      <c r="T139" s="371">
        <v>1.1000000000000001</v>
      </c>
      <c r="U139" s="371">
        <v>1.24</v>
      </c>
      <c r="V139" s="371">
        <v>1.3</v>
      </c>
      <c r="W139" s="371">
        <v>1.5</v>
      </c>
      <c r="X139" s="371">
        <v>2</v>
      </c>
      <c r="Y139" s="381">
        <v>1000</v>
      </c>
    </row>
    <row r="140" spans="1:26" x14ac:dyDescent="0.2">
      <c r="A140" s="378" t="s">
        <v>34</v>
      </c>
      <c r="B140" s="372">
        <v>0</v>
      </c>
      <c r="C140" s="373">
        <v>12</v>
      </c>
      <c r="D140" s="373">
        <v>41</v>
      </c>
      <c r="E140" s="373">
        <v>42</v>
      </c>
      <c r="F140" s="373">
        <v>42</v>
      </c>
      <c r="G140" s="373">
        <v>40</v>
      </c>
      <c r="H140" s="373">
        <v>34</v>
      </c>
      <c r="I140" s="373">
        <v>34</v>
      </c>
      <c r="J140" s="373">
        <v>35</v>
      </c>
      <c r="K140" s="373">
        <v>36</v>
      </c>
      <c r="L140" s="373">
        <v>40</v>
      </c>
      <c r="M140" s="373">
        <v>42</v>
      </c>
      <c r="N140" s="373">
        <v>43</v>
      </c>
      <c r="O140" s="373">
        <v>43</v>
      </c>
      <c r="P140" s="373">
        <v>43</v>
      </c>
      <c r="Q140" s="373">
        <v>42</v>
      </c>
      <c r="R140" s="373">
        <v>41</v>
      </c>
      <c r="S140" s="373">
        <v>40</v>
      </c>
      <c r="T140" s="373">
        <v>38</v>
      </c>
      <c r="U140" s="373">
        <v>37</v>
      </c>
      <c r="V140" s="373">
        <v>12</v>
      </c>
      <c r="W140" s="373">
        <v>0</v>
      </c>
      <c r="X140" s="373">
        <v>0</v>
      </c>
      <c r="Y140" s="382">
        <v>0</v>
      </c>
    </row>
    <row r="141" spans="1:26" ht="13.5" thickBot="1" x14ac:dyDescent="0.25">
      <c r="A141" s="379" t="s">
        <v>116</v>
      </c>
      <c r="B141" s="374">
        <f t="shared" ref="B141:X141" si="31">(C140+B140)*(C139-B139)/2</f>
        <v>0.06</v>
      </c>
      <c r="C141" s="375">
        <f t="shared" si="31"/>
        <v>0.52999999999999992</v>
      </c>
      <c r="D141" s="375">
        <f t="shared" si="31"/>
        <v>0.41500000000000009</v>
      </c>
      <c r="E141" s="375">
        <f t="shared" si="31"/>
        <v>0.4200000000000001</v>
      </c>
      <c r="F141" s="375">
        <f t="shared" si="31"/>
        <v>0.40999999999999981</v>
      </c>
      <c r="G141" s="375">
        <f t="shared" si="31"/>
        <v>0.37000000000000033</v>
      </c>
      <c r="H141" s="375">
        <f t="shared" si="31"/>
        <v>0.33999999999999986</v>
      </c>
      <c r="I141" s="375">
        <f t="shared" si="31"/>
        <v>0.34499999999999981</v>
      </c>
      <c r="J141" s="375">
        <f t="shared" si="31"/>
        <v>0.35500000000000032</v>
      </c>
      <c r="K141" s="375">
        <f t="shared" si="31"/>
        <v>3.8000000000000003</v>
      </c>
      <c r="L141" s="375">
        <f t="shared" si="31"/>
        <v>4.0999999999999988</v>
      </c>
      <c r="M141" s="375">
        <f t="shared" si="31"/>
        <v>4.2500000000000018</v>
      </c>
      <c r="N141" s="375">
        <f t="shared" si="31"/>
        <v>4.2999999999999989</v>
      </c>
      <c r="O141" s="375">
        <f t="shared" si="31"/>
        <v>8.5999999999999979</v>
      </c>
      <c r="P141" s="375">
        <f t="shared" si="31"/>
        <v>4.2500000000000036</v>
      </c>
      <c r="Q141" s="375">
        <f t="shared" si="31"/>
        <v>4.1499999999999995</v>
      </c>
      <c r="R141" s="375">
        <f t="shared" si="31"/>
        <v>4.0499999999999989</v>
      </c>
      <c r="S141" s="375">
        <f t="shared" si="31"/>
        <v>3.9000000000000035</v>
      </c>
      <c r="T141" s="375">
        <f t="shared" si="31"/>
        <v>5.2499999999999964</v>
      </c>
      <c r="U141" s="375">
        <f t="shared" si="31"/>
        <v>1.4700000000000013</v>
      </c>
      <c r="V141" s="375">
        <f t="shared" si="31"/>
        <v>1.1999999999999997</v>
      </c>
      <c r="W141" s="375">
        <f t="shared" si="31"/>
        <v>0</v>
      </c>
      <c r="X141" s="375">
        <f t="shared" si="31"/>
        <v>0</v>
      </c>
      <c r="Y141" s="369"/>
    </row>
    <row r="142" spans="1:26" ht="13.5" thickBot="1" x14ac:dyDescent="0.25">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6" ht="13.5" thickBot="1" x14ac:dyDescent="0.25">
      <c r="A143" s="361" t="s">
        <v>383</v>
      </c>
      <c r="B143" s="359">
        <f>ROW(A143)</f>
        <v>143</v>
      </c>
      <c r="C143" s="363" t="s">
        <v>115</v>
      </c>
      <c r="D143" s="353">
        <f>SUM(B146:Y146)</f>
        <v>54.110016122119539</v>
      </c>
      <c r="E143" s="363" t="s">
        <v>114</v>
      </c>
      <c r="F143" s="354">
        <f>D143/g/J143</f>
        <v>146.69685764124625</v>
      </c>
      <c r="G143" s="363" t="s">
        <v>56</v>
      </c>
      <c r="H143" s="64">
        <v>0.10580000000000001</v>
      </c>
      <c r="I143" s="363" t="s">
        <v>271</v>
      </c>
      <c r="J143" s="355">
        <f>H143-L143</f>
        <v>3.7600000000000008E-2</v>
      </c>
      <c r="K143" s="363" t="s">
        <v>272</v>
      </c>
      <c r="L143" s="64">
        <v>6.8199999999999997E-2</v>
      </c>
      <c r="M143" s="363" t="s">
        <v>57</v>
      </c>
      <c r="N143" s="65">
        <v>49</v>
      </c>
      <c r="O143" s="363" t="s">
        <v>59</v>
      </c>
      <c r="P143" s="65">
        <v>49</v>
      </c>
      <c r="Q143" s="363" t="s">
        <v>60</v>
      </c>
      <c r="R143" s="65">
        <v>98</v>
      </c>
      <c r="S143" s="363" t="s">
        <v>61</v>
      </c>
      <c r="T143" s="65">
        <v>29</v>
      </c>
      <c r="U143" s="363" t="s">
        <v>54</v>
      </c>
      <c r="V143" s="66" t="s">
        <v>399</v>
      </c>
      <c r="W143" s="463" t="s">
        <v>394</v>
      </c>
      <c r="X143" s="465">
        <v>1.9</v>
      </c>
      <c r="Y143" s="463" t="s">
        <v>393</v>
      </c>
      <c r="Z143" s="358">
        <v>12</v>
      </c>
    </row>
    <row r="144" spans="1:26" x14ac:dyDescent="0.2">
      <c r="A144" s="362" t="s">
        <v>33</v>
      </c>
      <c r="B144" s="370">
        <v>0</v>
      </c>
      <c r="C144" s="371">
        <v>2.5000000000000001E-2</v>
      </c>
      <c r="D144" s="371">
        <v>0.05</v>
      </c>
      <c r="E144" s="371">
        <v>7.4999999999999997E-2</v>
      </c>
      <c r="F144" s="371">
        <v>0.1</v>
      </c>
      <c r="G144" s="371">
        <v>0.15</v>
      </c>
      <c r="H144" s="371">
        <v>0.17499999999999999</v>
      </c>
      <c r="I144" s="371">
        <v>0.2</v>
      </c>
      <c r="J144" s="371">
        <v>0.3</v>
      </c>
      <c r="K144" s="371">
        <v>0.4</v>
      </c>
      <c r="L144" s="371">
        <v>0.5</v>
      </c>
      <c r="M144" s="371">
        <v>0.6</v>
      </c>
      <c r="N144" s="371">
        <v>0.7</v>
      </c>
      <c r="O144" s="371">
        <v>0.8</v>
      </c>
      <c r="P144" s="371">
        <v>0.9</v>
      </c>
      <c r="Q144" s="371">
        <v>1.1000000000000001</v>
      </c>
      <c r="R144" s="371">
        <v>1.2</v>
      </c>
      <c r="S144" s="371">
        <v>1.6</v>
      </c>
      <c r="T144" s="371">
        <v>1.7</v>
      </c>
      <c r="U144" s="371">
        <v>1.8</v>
      </c>
      <c r="V144" s="371">
        <v>1.9</v>
      </c>
      <c r="W144" s="371">
        <v>1.9999</v>
      </c>
      <c r="X144" s="371">
        <v>2</v>
      </c>
      <c r="Y144" s="381">
        <v>1000</v>
      </c>
    </row>
    <row r="145" spans="1:26" x14ac:dyDescent="0.2">
      <c r="A145" s="378" t="s">
        <v>34</v>
      </c>
      <c r="B145" s="372">
        <v>0</v>
      </c>
      <c r="C145" s="376">
        <v>15.2574001848975</v>
      </c>
      <c r="D145" s="376">
        <v>26.377954255522496</v>
      </c>
      <c r="E145" s="376">
        <v>21.484910464447498</v>
      </c>
      <c r="F145" s="376">
        <v>24.020396792549999</v>
      </c>
      <c r="G145" s="376">
        <v>28.11276069054</v>
      </c>
      <c r="H145" s="376">
        <v>28.691029502212498</v>
      </c>
      <c r="I145" s="376">
        <v>29.180333881319996</v>
      </c>
      <c r="J145" s="376">
        <v>31.493409128009997</v>
      </c>
      <c r="K145" s="376">
        <v>32.560982318789996</v>
      </c>
      <c r="L145" s="376">
        <v>32.827875616484995</v>
      </c>
      <c r="M145" s="376">
        <v>32.649946751354996</v>
      </c>
      <c r="N145" s="376">
        <v>32.383053453659997</v>
      </c>
      <c r="O145" s="376">
        <v>32.249606804812501</v>
      </c>
      <c r="P145" s="376">
        <v>31.804784641987499</v>
      </c>
      <c r="Q145" s="376">
        <v>30.559282586077497</v>
      </c>
      <c r="R145" s="376">
        <v>30.069978206969999</v>
      </c>
      <c r="S145" s="376">
        <v>26.377954255522496</v>
      </c>
      <c r="T145" s="376">
        <v>24.865558901917499</v>
      </c>
      <c r="U145" s="376">
        <v>18.4601197572375</v>
      </c>
      <c r="V145" s="376">
        <v>7.5174945517424998</v>
      </c>
      <c r="W145" s="376">
        <v>1.3789487047575</v>
      </c>
      <c r="X145" s="373">
        <v>0</v>
      </c>
      <c r="Y145" s="382">
        <v>0</v>
      </c>
    </row>
    <row r="146" spans="1:26" ht="13.5" thickBot="1" x14ac:dyDescent="0.25">
      <c r="A146" s="379" t="s">
        <v>116</v>
      </c>
      <c r="B146" s="374">
        <f t="shared" ref="B146:V146" si="32">(C145+B145)*(C144-B144)/2</f>
        <v>0.19071750231121876</v>
      </c>
      <c r="C146" s="375">
        <f t="shared" si="32"/>
        <v>0.52044193050525001</v>
      </c>
      <c r="D146" s="375">
        <f t="shared" si="32"/>
        <v>0.5982858089996248</v>
      </c>
      <c r="E146" s="375">
        <f t="shared" si="32"/>
        <v>0.56881634071246889</v>
      </c>
      <c r="F146" s="375">
        <f t="shared" si="32"/>
        <v>1.3033289370772498</v>
      </c>
      <c r="G146" s="375">
        <f t="shared" si="32"/>
        <v>0.71004737740940616</v>
      </c>
      <c r="H146" s="375">
        <f t="shared" si="32"/>
        <v>0.72339204229415688</v>
      </c>
      <c r="I146" s="375">
        <f t="shared" si="32"/>
        <v>3.0336871504664993</v>
      </c>
      <c r="J146" s="375">
        <f>(K145+J145)*(K144-J144)/2</f>
        <v>3.2027195723400008</v>
      </c>
      <c r="K146" s="375">
        <f t="shared" si="32"/>
        <v>3.2694428967637483</v>
      </c>
      <c r="L146" s="375">
        <f t="shared" si="32"/>
        <v>3.2738911183919988</v>
      </c>
      <c r="M146" s="375">
        <f t="shared" si="32"/>
        <v>3.2516500102507484</v>
      </c>
      <c r="N146" s="375">
        <f t="shared" si="32"/>
        <v>3.2316330129236279</v>
      </c>
      <c r="O146" s="375">
        <f t="shared" si="32"/>
        <v>3.202719572339999</v>
      </c>
      <c r="P146" s="375">
        <f t="shared" si="32"/>
        <v>6.2364067228065014</v>
      </c>
      <c r="Q146" s="375">
        <f t="shared" si="32"/>
        <v>3.0314630396523707</v>
      </c>
      <c r="R146" s="375">
        <f t="shared" si="32"/>
        <v>11.289586492498502</v>
      </c>
      <c r="S146" s="375">
        <f>(T145+S145)*(T144-S144)/2</f>
        <v>2.5621756578719963</v>
      </c>
      <c r="T146" s="375">
        <f t="shared" si="32"/>
        <v>2.1662839329577519</v>
      </c>
      <c r="U146" s="375">
        <f t="shared" si="32"/>
        <v>1.2988807154489983</v>
      </c>
      <c r="V146" s="375">
        <f t="shared" si="32"/>
        <v>0.44437734066217544</v>
      </c>
      <c r="W146" s="375">
        <f>(X145+W145)*(X144-W144)/2</f>
        <v>6.894743523786741E-5</v>
      </c>
      <c r="X146" s="375">
        <f>(Y145+X145)*(Y144-X144)/2</f>
        <v>0</v>
      </c>
      <c r="Y146" s="369"/>
    </row>
    <row r="147" spans="1:26" ht="13.5" thickBot="1" x14ac:dyDescent="0.25">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6" ht="13.5" thickBot="1" x14ac:dyDescent="0.25">
      <c r="A148" s="361" t="s">
        <v>543</v>
      </c>
      <c r="B148" s="359">
        <f>ROW(A148)</f>
        <v>148</v>
      </c>
      <c r="C148" s="363" t="s">
        <v>115</v>
      </c>
      <c r="D148" s="353">
        <f>SUM(B151:Y151)</f>
        <v>55.589492</v>
      </c>
      <c r="E148" s="363" t="s">
        <v>114</v>
      </c>
      <c r="F148" s="354">
        <f>D148/g/J148</f>
        <v>177.08171508664634</v>
      </c>
      <c r="G148" s="363" t="s">
        <v>56</v>
      </c>
      <c r="H148" s="64">
        <v>0.10199999999999999</v>
      </c>
      <c r="I148" s="363" t="s">
        <v>271</v>
      </c>
      <c r="J148" s="355">
        <f>H148-L148</f>
        <v>3.1999999999999987E-2</v>
      </c>
      <c r="K148" s="363" t="s">
        <v>272</v>
      </c>
      <c r="L148" s="64">
        <v>7.0000000000000007E-2</v>
      </c>
      <c r="M148" s="363" t="s">
        <v>57</v>
      </c>
      <c r="N148" s="65">
        <v>49</v>
      </c>
      <c r="O148" s="363" t="s">
        <v>59</v>
      </c>
      <c r="P148" s="65">
        <v>49</v>
      </c>
      <c r="Q148" s="363" t="s">
        <v>60</v>
      </c>
      <c r="R148" s="65">
        <v>98</v>
      </c>
      <c r="S148" s="363" t="s">
        <v>61</v>
      </c>
      <c r="T148" s="65">
        <v>29</v>
      </c>
      <c r="U148" s="363" t="s">
        <v>54</v>
      </c>
      <c r="V148" s="66" t="s">
        <v>400</v>
      </c>
      <c r="W148" s="463" t="s">
        <v>394</v>
      </c>
      <c r="X148" s="465">
        <v>0.45</v>
      </c>
      <c r="Y148" s="463" t="s">
        <v>393</v>
      </c>
      <c r="Z148" s="358">
        <v>12</v>
      </c>
    </row>
    <row r="149" spans="1:26" x14ac:dyDescent="0.2">
      <c r="A149" s="362" t="s">
        <v>33</v>
      </c>
      <c r="B149" s="370">
        <v>0</v>
      </c>
      <c r="C149" s="371">
        <v>1E-3</v>
      </c>
      <c r="D149" s="371">
        <v>2.3E-2</v>
      </c>
      <c r="E149" s="371">
        <v>0.05</v>
      </c>
      <c r="F149" s="371">
        <v>5.8999999999999997E-2</v>
      </c>
      <c r="G149" s="371">
        <v>9.5000000000000001E-2</v>
      </c>
      <c r="H149" s="371">
        <v>0.21199999999999999</v>
      </c>
      <c r="I149" s="371">
        <v>0.34399999999999997</v>
      </c>
      <c r="J149" s="371">
        <v>1.5669999999999999</v>
      </c>
      <c r="K149" s="371">
        <v>1.631</v>
      </c>
      <c r="L149" s="371">
        <v>1.663</v>
      </c>
      <c r="M149" s="371">
        <v>1.7849999999999999</v>
      </c>
      <c r="N149" s="371">
        <v>1.8280000000000001</v>
      </c>
      <c r="O149" s="371">
        <v>2</v>
      </c>
      <c r="P149" s="371">
        <v>2</v>
      </c>
      <c r="Q149" s="371">
        <v>2</v>
      </c>
      <c r="R149" s="371">
        <v>2</v>
      </c>
      <c r="S149" s="371">
        <v>2</v>
      </c>
      <c r="T149" s="371">
        <v>2</v>
      </c>
      <c r="U149" s="371">
        <v>2</v>
      </c>
      <c r="V149" s="371">
        <v>2</v>
      </c>
      <c r="W149" s="371">
        <v>2</v>
      </c>
      <c r="X149" s="371">
        <v>2</v>
      </c>
      <c r="Y149" s="381">
        <v>1000</v>
      </c>
    </row>
    <row r="150" spans="1:26" x14ac:dyDescent="0.2">
      <c r="A150" s="378" t="s">
        <v>34</v>
      </c>
      <c r="B150" s="372">
        <v>0</v>
      </c>
      <c r="C150" s="373">
        <v>3.4830000000000001</v>
      </c>
      <c r="D150" s="373">
        <v>64.052999999999997</v>
      </c>
      <c r="E150" s="373">
        <v>31.347000000000001</v>
      </c>
      <c r="F150" s="373">
        <v>28.459</v>
      </c>
      <c r="G150" s="373">
        <v>32.027000000000001</v>
      </c>
      <c r="H150" s="373">
        <v>36.189</v>
      </c>
      <c r="I150" s="373">
        <v>37.548999999999999</v>
      </c>
      <c r="J150" s="373">
        <v>26.164999999999999</v>
      </c>
      <c r="K150" s="373">
        <v>26.93</v>
      </c>
      <c r="L150" s="373">
        <v>25.315999999999999</v>
      </c>
      <c r="M150" s="373">
        <v>3.653</v>
      </c>
      <c r="N150" s="373">
        <v>0</v>
      </c>
      <c r="O150" s="373">
        <v>0</v>
      </c>
      <c r="P150" s="373">
        <v>0</v>
      </c>
      <c r="Q150" s="373">
        <v>0</v>
      </c>
      <c r="R150" s="373">
        <v>0</v>
      </c>
      <c r="S150" s="373">
        <v>0</v>
      </c>
      <c r="T150" s="373">
        <v>0</v>
      </c>
      <c r="U150" s="373">
        <v>0</v>
      </c>
      <c r="V150" s="373">
        <v>0</v>
      </c>
      <c r="W150" s="373">
        <v>0</v>
      </c>
      <c r="X150" s="373">
        <v>0</v>
      </c>
      <c r="Y150" s="382">
        <v>0</v>
      </c>
    </row>
    <row r="151" spans="1:26" ht="13.5" thickBot="1" x14ac:dyDescent="0.25">
      <c r="A151" s="379" t="s">
        <v>116</v>
      </c>
      <c r="B151" s="374">
        <f t="shared" ref="B151" si="33">(C150+B150)*(C149-B149)/2</f>
        <v>1.7415E-3</v>
      </c>
      <c r="C151" s="375">
        <f t="shared" ref="C151" si="34">(D150+C150)*(D149-C149)/2</f>
        <v>0.742896</v>
      </c>
      <c r="D151" s="375">
        <f t="shared" ref="D151" si="35">(E150+D150)*(E149-D149)/2</f>
        <v>1.2879000000000003</v>
      </c>
      <c r="E151" s="375">
        <f t="shared" ref="E151" si="36">(F150+E150)*(F149-E149)/2</f>
        <v>0.26912699999999984</v>
      </c>
      <c r="F151" s="375">
        <f t="shared" ref="F151" si="37">(G150+F150)*(G149-F149)/2</f>
        <v>1.0887480000000003</v>
      </c>
      <c r="G151" s="375">
        <f t="shared" ref="G151" si="38">(H150+G150)*(H149-G149)/2</f>
        <v>3.9906360000000003</v>
      </c>
      <c r="H151" s="375">
        <f t="shared" ref="H151" si="39">(I150+H150)*(I149-H149)/2</f>
        <v>4.8667079999999991</v>
      </c>
      <c r="I151" s="375">
        <f t="shared" ref="I151" si="40">(J150+I150)*(J149-I149)/2</f>
        <v>38.961110999999995</v>
      </c>
      <c r="J151" s="375">
        <f t="shared" ref="J151" si="41">(K150+J150)*(K149-J149)/2</f>
        <v>1.6990400000000014</v>
      </c>
      <c r="K151" s="375">
        <f t="shared" ref="K151" si="42">(L150+K150)*(L149-K149)/2</f>
        <v>0.83593600000000068</v>
      </c>
      <c r="L151" s="375">
        <f t="shared" ref="L151" si="43">(M150+L150)*(M149-L149)/2</f>
        <v>1.7671089999999983</v>
      </c>
      <c r="M151" s="375">
        <f t="shared" ref="M151" si="44">(N150+M150)*(N149-M149)/2</f>
        <v>7.8539500000000276E-2</v>
      </c>
      <c r="N151" s="375">
        <f t="shared" ref="N151" si="45">(O150+N150)*(O149-N149)/2</f>
        <v>0</v>
      </c>
      <c r="O151" s="375">
        <f t="shared" ref="O151" si="46">(P150+O150)*(P149-O149)/2</f>
        <v>0</v>
      </c>
      <c r="P151" s="375">
        <f t="shared" ref="P151" si="47">(Q150+P150)*(Q149-P149)/2</f>
        <v>0</v>
      </c>
      <c r="Q151" s="375">
        <f t="shared" ref="Q151" si="48">(R150+Q150)*(R149-Q149)/2</f>
        <v>0</v>
      </c>
      <c r="R151" s="375">
        <f t="shared" ref="R151" si="49">(S150+R150)*(S149-R149)/2</f>
        <v>0</v>
      </c>
      <c r="S151" s="375">
        <f t="shared" ref="S151" si="50">(T150+S150)*(T149-S149)/2</f>
        <v>0</v>
      </c>
      <c r="T151" s="375">
        <f t="shared" ref="T151" si="51">(U150+T150)*(U149-T149)/2</f>
        <v>0</v>
      </c>
      <c r="U151" s="375">
        <f t="shared" ref="U151" si="52">(V150+U150)*(V149-U149)/2</f>
        <v>0</v>
      </c>
      <c r="V151" s="375">
        <f t="shared" ref="V151" si="53">(W150+V150)*(W149-V149)/2</f>
        <v>0</v>
      </c>
      <c r="W151" s="375">
        <f t="shared" ref="W151" si="54">(X150+W150)*(X149-W149)/2</f>
        <v>0</v>
      </c>
      <c r="X151" s="375">
        <f t="shared" ref="X151" si="55">(Y150+X150)*(Y149-X149)/2</f>
        <v>0</v>
      </c>
      <c r="Y151" s="369"/>
    </row>
    <row r="152" spans="1:26" ht="13.5" thickBot="1" x14ac:dyDescent="0.25">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spans="1:26" ht="13.5" thickBot="1" x14ac:dyDescent="0.25">
      <c r="A153" s="361" t="s">
        <v>384</v>
      </c>
      <c r="B153" s="359">
        <f>ROW(A153)</f>
        <v>153</v>
      </c>
      <c r="C153" s="363" t="s">
        <v>115</v>
      </c>
      <c r="D153" s="353">
        <f>SUM(B156:Y156)</f>
        <v>55.705884500000003</v>
      </c>
      <c r="E153" s="363" t="s">
        <v>114</v>
      </c>
      <c r="F153" s="354">
        <f>D153/g/J153</f>
        <v>180.84329814241278</v>
      </c>
      <c r="G153" s="363" t="s">
        <v>56</v>
      </c>
      <c r="H153" s="64">
        <v>0.1062</v>
      </c>
      <c r="I153" s="363" t="s">
        <v>271</v>
      </c>
      <c r="J153" s="355">
        <f>H153-L153</f>
        <v>3.1400000000000011E-2</v>
      </c>
      <c r="K153" s="363" t="s">
        <v>272</v>
      </c>
      <c r="L153" s="64">
        <v>7.4799999999999991E-2</v>
      </c>
      <c r="M153" s="363" t="s">
        <v>57</v>
      </c>
      <c r="N153" s="65">
        <v>49</v>
      </c>
      <c r="O153" s="363" t="s">
        <v>59</v>
      </c>
      <c r="P153" s="65">
        <v>49</v>
      </c>
      <c r="Q153" s="363" t="s">
        <v>60</v>
      </c>
      <c r="R153" s="65">
        <v>98</v>
      </c>
      <c r="S153" s="363" t="s">
        <v>61</v>
      </c>
      <c r="T153" s="65">
        <v>29</v>
      </c>
      <c r="U153" s="363" t="s">
        <v>54</v>
      </c>
      <c r="V153" s="66" t="s">
        <v>400</v>
      </c>
      <c r="W153" s="463" t="s">
        <v>394</v>
      </c>
      <c r="X153" s="465">
        <v>0.45</v>
      </c>
      <c r="Y153" s="463" t="s">
        <v>393</v>
      </c>
      <c r="Z153" s="358">
        <v>14</v>
      </c>
    </row>
    <row r="154" spans="1:26" x14ac:dyDescent="0.2">
      <c r="A154" s="362" t="s">
        <v>33</v>
      </c>
      <c r="B154" s="370">
        <v>0</v>
      </c>
      <c r="C154" s="371">
        <v>1.2999999999999999E-2</v>
      </c>
      <c r="D154" s="371">
        <v>1.7000000000000001E-2</v>
      </c>
      <c r="E154" s="371">
        <v>0.04</v>
      </c>
      <c r="F154" s="371">
        <v>0.125</v>
      </c>
      <c r="G154" s="371">
        <v>0.17899999999999999</v>
      </c>
      <c r="H154" s="371">
        <v>0.222</v>
      </c>
      <c r="I154" s="371">
        <v>0.28899999999999998</v>
      </c>
      <c r="J154" s="371">
        <v>0.35399999999999998</v>
      </c>
      <c r="K154" s="371">
        <v>0.39400000000000002</v>
      </c>
      <c r="L154" s="371">
        <v>0.40600000000000003</v>
      </c>
      <c r="M154" s="371">
        <v>0.41599999999999998</v>
      </c>
      <c r="N154" s="371">
        <v>0.42299999999999999</v>
      </c>
      <c r="O154" s="371">
        <v>0.43099999999999999</v>
      </c>
      <c r="P154" s="371">
        <v>0.44700000000000001</v>
      </c>
      <c r="Q154" s="371">
        <v>0.45300000000000001</v>
      </c>
      <c r="R154" s="371">
        <v>0.45500000000000002</v>
      </c>
      <c r="S154" s="371">
        <v>0.45500000000000002</v>
      </c>
      <c r="T154" s="371">
        <v>0.45500000000000002</v>
      </c>
      <c r="U154" s="371">
        <v>0.45500000000000002</v>
      </c>
      <c r="V154" s="371">
        <v>0.45500000000000002</v>
      </c>
      <c r="W154" s="371">
        <v>0.45500000000000002</v>
      </c>
      <c r="X154" s="371">
        <v>2</v>
      </c>
      <c r="Y154" s="381">
        <v>1000</v>
      </c>
    </row>
    <row r="155" spans="1:26" x14ac:dyDescent="0.2">
      <c r="A155" s="378" t="s">
        <v>34</v>
      </c>
      <c r="B155" s="372">
        <v>0</v>
      </c>
      <c r="C155" s="373">
        <v>79.242000000000004</v>
      </c>
      <c r="D155" s="373">
        <v>90.427000000000007</v>
      </c>
      <c r="E155" s="373">
        <v>101.422</v>
      </c>
      <c r="F155" s="373">
        <v>127.583</v>
      </c>
      <c r="G155" s="373">
        <v>136.114</v>
      </c>
      <c r="H155" s="373">
        <v>139.905</v>
      </c>
      <c r="I155" s="373">
        <v>143.50700000000001</v>
      </c>
      <c r="J155" s="373">
        <v>138.578</v>
      </c>
      <c r="K155" s="373">
        <v>125.498</v>
      </c>
      <c r="L155" s="373">
        <v>123.602</v>
      </c>
      <c r="M155" s="373">
        <v>125.11799999999999</v>
      </c>
      <c r="N155" s="373">
        <v>130.047</v>
      </c>
      <c r="O155" s="373">
        <v>120.569</v>
      </c>
      <c r="P155" s="373">
        <v>25.591999999999999</v>
      </c>
      <c r="Q155" s="373">
        <v>8.7200000000000006</v>
      </c>
      <c r="R155" s="373">
        <v>0</v>
      </c>
      <c r="S155" s="373">
        <v>0</v>
      </c>
      <c r="T155" s="373">
        <v>0</v>
      </c>
      <c r="U155" s="373">
        <v>0</v>
      </c>
      <c r="V155" s="373">
        <v>0</v>
      </c>
      <c r="W155" s="373">
        <v>0</v>
      </c>
      <c r="X155" s="373">
        <v>0</v>
      </c>
      <c r="Y155" s="382">
        <v>0</v>
      </c>
    </row>
    <row r="156" spans="1:26" ht="13.5" thickBot="1" x14ac:dyDescent="0.25">
      <c r="A156" s="379" t="s">
        <v>116</v>
      </c>
      <c r="B156" s="374">
        <f t="shared" ref="B156:X156" si="56">(C155+B155)*(C154-B154)/2</f>
        <v>0.515073</v>
      </c>
      <c r="C156" s="375">
        <f t="shared" si="56"/>
        <v>0.3393380000000002</v>
      </c>
      <c r="D156" s="375">
        <f t="shared" si="56"/>
        <v>2.2062634999999999</v>
      </c>
      <c r="E156" s="375">
        <f t="shared" si="56"/>
        <v>9.7327124999999981</v>
      </c>
      <c r="F156" s="375">
        <f t="shared" si="56"/>
        <v>7.1198189999999988</v>
      </c>
      <c r="G156" s="375">
        <f t="shared" si="56"/>
        <v>5.9344085000000018</v>
      </c>
      <c r="H156" s="375">
        <f t="shared" si="56"/>
        <v>9.4943019999999976</v>
      </c>
      <c r="I156" s="375">
        <f t="shared" si="56"/>
        <v>9.167762500000002</v>
      </c>
      <c r="J156" s="375">
        <f t="shared" si="56"/>
        <v>5.2815200000000049</v>
      </c>
      <c r="K156" s="375">
        <f t="shared" si="56"/>
        <v>1.4946000000000015</v>
      </c>
      <c r="L156" s="375">
        <f t="shared" si="56"/>
        <v>1.2435999999999943</v>
      </c>
      <c r="M156" s="375">
        <f t="shared" si="56"/>
        <v>0.89307750000000075</v>
      </c>
      <c r="N156" s="375">
        <f t="shared" si="56"/>
        <v>1.0024640000000009</v>
      </c>
      <c r="O156" s="375">
        <f t="shared" si="56"/>
        <v>1.169288000000001</v>
      </c>
      <c r="P156" s="375">
        <f t="shared" si="56"/>
        <v>0.10293600000000008</v>
      </c>
      <c r="Q156" s="375">
        <f t="shared" si="56"/>
        <v>8.720000000000009E-3</v>
      </c>
      <c r="R156" s="375">
        <f t="shared" si="56"/>
        <v>0</v>
      </c>
      <c r="S156" s="375">
        <f t="shared" si="56"/>
        <v>0</v>
      </c>
      <c r="T156" s="375">
        <f t="shared" si="56"/>
        <v>0</v>
      </c>
      <c r="U156" s="375">
        <f t="shared" si="56"/>
        <v>0</v>
      </c>
      <c r="V156" s="375">
        <f t="shared" si="56"/>
        <v>0</v>
      </c>
      <c r="W156" s="375">
        <f t="shared" si="56"/>
        <v>0</v>
      </c>
      <c r="X156" s="375">
        <f t="shared" si="56"/>
        <v>0</v>
      </c>
      <c r="Y156" s="369"/>
    </row>
    <row r="157" spans="1:26" ht="13.5" thickBot="1" x14ac:dyDescent="0.25">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spans="1:26" ht="13.5" thickBot="1" x14ac:dyDescent="0.25">
      <c r="A158" s="361" t="s">
        <v>385</v>
      </c>
      <c r="B158" s="359">
        <f>ROW(A158)</f>
        <v>158</v>
      </c>
      <c r="C158" s="363" t="s">
        <v>115</v>
      </c>
      <c r="D158" s="353">
        <f>SUM(B161:Y161)</f>
        <v>57.190000000000005</v>
      </c>
      <c r="E158" s="363" t="s">
        <v>114</v>
      </c>
      <c r="F158" s="354">
        <f>D158/g/J158</f>
        <v>188.05695307618953</v>
      </c>
      <c r="G158" s="363" t="s">
        <v>56</v>
      </c>
      <c r="H158" s="64">
        <v>9.9000000000000005E-2</v>
      </c>
      <c r="I158" s="363" t="s">
        <v>271</v>
      </c>
      <c r="J158" s="355">
        <f>H158-L158</f>
        <v>3.1E-2</v>
      </c>
      <c r="K158" s="363" t="s">
        <v>272</v>
      </c>
      <c r="L158" s="64">
        <v>6.8000000000000005E-2</v>
      </c>
      <c r="M158" s="363" t="s">
        <v>57</v>
      </c>
      <c r="N158" s="65">
        <v>49</v>
      </c>
      <c r="O158" s="363" t="s">
        <v>59</v>
      </c>
      <c r="P158" s="65">
        <v>49</v>
      </c>
      <c r="Q158" s="363" t="s">
        <v>60</v>
      </c>
      <c r="R158" s="65">
        <v>98</v>
      </c>
      <c r="S158" s="363" t="s">
        <v>61</v>
      </c>
      <c r="T158" s="65">
        <v>29</v>
      </c>
      <c r="U158" s="363" t="s">
        <v>54</v>
      </c>
      <c r="V158" s="66" t="s">
        <v>400</v>
      </c>
      <c r="W158" s="463" t="s">
        <v>394</v>
      </c>
      <c r="X158" s="465">
        <v>0.96</v>
      </c>
      <c r="Y158" s="463" t="s">
        <v>393</v>
      </c>
      <c r="Z158" s="358">
        <v>12</v>
      </c>
    </row>
    <row r="159" spans="1:26" x14ac:dyDescent="0.2">
      <c r="A159" s="362" t="s">
        <v>33</v>
      </c>
      <c r="B159" s="370">
        <v>0</v>
      </c>
      <c r="C159" s="371">
        <v>0.01</v>
      </c>
      <c r="D159" s="371">
        <v>0.02</v>
      </c>
      <c r="E159" s="371">
        <v>0.03</v>
      </c>
      <c r="F159" s="371">
        <v>0.04</v>
      </c>
      <c r="G159" s="371">
        <v>7.0000000000000007E-2</v>
      </c>
      <c r="H159" s="371">
        <v>0.1</v>
      </c>
      <c r="I159" s="371">
        <v>0.2</v>
      </c>
      <c r="J159" s="371">
        <v>0.3</v>
      </c>
      <c r="K159" s="371">
        <v>0.4</v>
      </c>
      <c r="L159" s="371">
        <v>0.5</v>
      </c>
      <c r="M159" s="371">
        <v>0.6</v>
      </c>
      <c r="N159" s="371">
        <v>0.7</v>
      </c>
      <c r="O159" s="371">
        <v>0.87</v>
      </c>
      <c r="P159" s="371">
        <v>0.9</v>
      </c>
      <c r="Q159" s="371">
        <v>0.97</v>
      </c>
      <c r="R159" s="371">
        <v>0.97</v>
      </c>
      <c r="S159" s="371">
        <v>0.97</v>
      </c>
      <c r="T159" s="371">
        <v>0.97</v>
      </c>
      <c r="U159" s="371">
        <v>0.97</v>
      </c>
      <c r="V159" s="371">
        <v>0.97</v>
      </c>
      <c r="W159" s="371">
        <v>0.97</v>
      </c>
      <c r="X159" s="371">
        <v>2</v>
      </c>
      <c r="Y159" s="381">
        <v>1000</v>
      </c>
    </row>
    <row r="160" spans="1:26" x14ac:dyDescent="0.2">
      <c r="A160" s="378" t="s">
        <v>34</v>
      </c>
      <c r="B160" s="372">
        <v>0</v>
      </c>
      <c r="C160" s="373">
        <v>16</v>
      </c>
      <c r="D160" s="373">
        <v>62</v>
      </c>
      <c r="E160" s="373">
        <v>67</v>
      </c>
      <c r="F160" s="373">
        <v>71</v>
      </c>
      <c r="G160" s="373">
        <v>58</v>
      </c>
      <c r="H160" s="373">
        <v>63</v>
      </c>
      <c r="I160" s="373">
        <v>67</v>
      </c>
      <c r="J160" s="373">
        <v>69</v>
      </c>
      <c r="K160" s="373">
        <v>67</v>
      </c>
      <c r="L160" s="373">
        <v>65</v>
      </c>
      <c r="M160" s="373">
        <v>63</v>
      </c>
      <c r="N160" s="373">
        <v>61</v>
      </c>
      <c r="O160" s="373">
        <v>60</v>
      </c>
      <c r="P160" s="373">
        <v>23</v>
      </c>
      <c r="Q160" s="373">
        <v>0</v>
      </c>
      <c r="R160" s="373">
        <v>0</v>
      </c>
      <c r="S160" s="373">
        <v>0</v>
      </c>
      <c r="T160" s="373">
        <v>0</v>
      </c>
      <c r="U160" s="373">
        <v>0</v>
      </c>
      <c r="V160" s="373">
        <v>0</v>
      </c>
      <c r="W160" s="373">
        <v>0</v>
      </c>
      <c r="X160" s="373">
        <v>0</v>
      </c>
      <c r="Y160" s="382">
        <v>0</v>
      </c>
    </row>
    <row r="161" spans="1:26" ht="13.5" thickBot="1" x14ac:dyDescent="0.25">
      <c r="A161" s="379" t="s">
        <v>116</v>
      </c>
      <c r="B161" s="374">
        <f t="shared" ref="B161:X161" si="57">(C160+B160)*(C159-B159)/2</f>
        <v>0.08</v>
      </c>
      <c r="C161" s="375">
        <f t="shared" si="57"/>
        <v>0.39</v>
      </c>
      <c r="D161" s="375">
        <f t="shared" si="57"/>
        <v>0.64499999999999991</v>
      </c>
      <c r="E161" s="375">
        <f t="shared" si="57"/>
        <v>0.69000000000000017</v>
      </c>
      <c r="F161" s="375">
        <f t="shared" si="57"/>
        <v>1.9350000000000003</v>
      </c>
      <c r="G161" s="375">
        <f t="shared" si="57"/>
        <v>1.8149999999999999</v>
      </c>
      <c r="H161" s="375">
        <f t="shared" si="57"/>
        <v>6.5</v>
      </c>
      <c r="I161" s="375">
        <f t="shared" si="57"/>
        <v>6.7999999999999989</v>
      </c>
      <c r="J161" s="375">
        <f t="shared" si="57"/>
        <v>6.8000000000000025</v>
      </c>
      <c r="K161" s="375">
        <f t="shared" si="57"/>
        <v>6.5999999999999988</v>
      </c>
      <c r="L161" s="375">
        <f t="shared" si="57"/>
        <v>6.3999999999999986</v>
      </c>
      <c r="M161" s="375">
        <f t="shared" si="57"/>
        <v>6.1999999999999984</v>
      </c>
      <c r="N161" s="375">
        <f t="shared" si="57"/>
        <v>10.285000000000002</v>
      </c>
      <c r="O161" s="375">
        <f t="shared" si="57"/>
        <v>1.245000000000001</v>
      </c>
      <c r="P161" s="375">
        <f t="shared" si="57"/>
        <v>0.80499999999999949</v>
      </c>
      <c r="Q161" s="375">
        <f t="shared" si="57"/>
        <v>0</v>
      </c>
      <c r="R161" s="375">
        <f t="shared" si="57"/>
        <v>0</v>
      </c>
      <c r="S161" s="375">
        <f t="shared" si="57"/>
        <v>0</v>
      </c>
      <c r="T161" s="375">
        <f t="shared" si="57"/>
        <v>0</v>
      </c>
      <c r="U161" s="375">
        <f t="shared" si="57"/>
        <v>0</v>
      </c>
      <c r="V161" s="375">
        <f t="shared" si="57"/>
        <v>0</v>
      </c>
      <c r="W161" s="375">
        <f t="shared" si="57"/>
        <v>0</v>
      </c>
      <c r="X161" s="375">
        <f t="shared" si="57"/>
        <v>0</v>
      </c>
      <c r="Y161" s="369"/>
    </row>
    <row r="162" spans="1:26" ht="13.5" thickBot="1" x14ac:dyDescent="0.25">
      <c r="A162" s="6" t="s">
        <v>315</v>
      </c>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spans="1:26" ht="13.5" thickBot="1" x14ac:dyDescent="0.25">
      <c r="A163" s="361" t="s">
        <v>321</v>
      </c>
      <c r="B163" s="359">
        <f>ROW(A163)</f>
        <v>163</v>
      </c>
      <c r="C163" s="363" t="s">
        <v>115</v>
      </c>
      <c r="D163" s="353">
        <f>SUM(B166:Y166)</f>
        <v>59.702267000000006</v>
      </c>
      <c r="E163" s="363" t="s">
        <v>114</v>
      </c>
      <c r="F163" s="354">
        <f>D163/g/J163</f>
        <v>190.77924771281306</v>
      </c>
      <c r="G163" s="363" t="s">
        <v>56</v>
      </c>
      <c r="H163" s="64">
        <v>9.3899999999999997E-2</v>
      </c>
      <c r="I163" s="363" t="s">
        <v>271</v>
      </c>
      <c r="J163" s="355">
        <f>H163-L163</f>
        <v>3.1899999999999998E-2</v>
      </c>
      <c r="K163" s="363" t="s">
        <v>272</v>
      </c>
      <c r="L163" s="64">
        <f>0.095-0.033</f>
        <v>6.2E-2</v>
      </c>
      <c r="M163" s="363" t="s">
        <v>57</v>
      </c>
      <c r="N163" s="396">
        <v>66.5</v>
      </c>
      <c r="O163" s="363" t="s">
        <v>59</v>
      </c>
      <c r="P163" s="396">
        <v>66.5</v>
      </c>
      <c r="Q163" s="363" t="s">
        <v>60</v>
      </c>
      <c r="R163" s="65">
        <v>133</v>
      </c>
      <c r="S163" s="363" t="s">
        <v>61</v>
      </c>
      <c r="T163" s="65">
        <v>24</v>
      </c>
      <c r="U163" s="363" t="s">
        <v>54</v>
      </c>
      <c r="V163" s="66" t="s">
        <v>399</v>
      </c>
      <c r="W163" s="463" t="s">
        <v>394</v>
      </c>
      <c r="X163" s="465">
        <v>1.2</v>
      </c>
      <c r="Y163" s="463" t="s">
        <v>393</v>
      </c>
      <c r="Z163" s="358">
        <v>13</v>
      </c>
    </row>
    <row r="164" spans="1:26" x14ac:dyDescent="0.2">
      <c r="A164" s="362" t="s">
        <v>33</v>
      </c>
      <c r="B164" s="370">
        <v>0</v>
      </c>
      <c r="C164" s="371">
        <v>1.4999999999999999E-2</v>
      </c>
      <c r="D164" s="371">
        <v>2.1999999999999999E-2</v>
      </c>
      <c r="E164" s="371">
        <v>6.4000000000000001E-2</v>
      </c>
      <c r="F164" s="371">
        <v>0.11799999999999999</v>
      </c>
      <c r="G164" s="371">
        <v>0.34200000000000003</v>
      </c>
      <c r="H164" s="371">
        <v>0.53600000000000003</v>
      </c>
      <c r="I164" s="371">
        <v>0.74299999999999999</v>
      </c>
      <c r="J164" s="371">
        <v>0.88400000000000001</v>
      </c>
      <c r="K164" s="371">
        <v>0.97599999999999998</v>
      </c>
      <c r="L164" s="371">
        <v>1.0960000000000001</v>
      </c>
      <c r="M164" s="371">
        <v>1.246</v>
      </c>
      <c r="N164" s="371">
        <v>1.298</v>
      </c>
      <c r="O164" s="371">
        <v>2</v>
      </c>
      <c r="P164" s="371">
        <v>2</v>
      </c>
      <c r="Q164" s="371">
        <v>2</v>
      </c>
      <c r="R164" s="371">
        <v>2</v>
      </c>
      <c r="S164" s="371">
        <v>2</v>
      </c>
      <c r="T164" s="371">
        <v>2</v>
      </c>
      <c r="U164" s="371">
        <v>2</v>
      </c>
      <c r="V164" s="371">
        <v>2</v>
      </c>
      <c r="W164" s="371">
        <v>2</v>
      </c>
      <c r="X164" s="371">
        <f t="shared" ref="T164:X165" si="58">W164</f>
        <v>2</v>
      </c>
      <c r="Y164" s="381">
        <v>1000</v>
      </c>
    </row>
    <row r="165" spans="1:26" x14ac:dyDescent="0.2">
      <c r="A165" s="378" t="s">
        <v>34</v>
      </c>
      <c r="B165" s="372">
        <v>0</v>
      </c>
      <c r="C165" s="373">
        <v>64.981999999999999</v>
      </c>
      <c r="D165" s="373">
        <v>69.516000000000005</v>
      </c>
      <c r="E165" s="373">
        <v>55.536999999999999</v>
      </c>
      <c r="F165" s="373">
        <v>62.81</v>
      </c>
      <c r="G165" s="373">
        <v>62.149000000000001</v>
      </c>
      <c r="H165" s="373">
        <v>59.41</v>
      </c>
      <c r="I165" s="373">
        <v>53.837000000000003</v>
      </c>
      <c r="J165" s="373">
        <v>46.942</v>
      </c>
      <c r="K165" s="373">
        <v>40.046999999999997</v>
      </c>
      <c r="L165" s="373">
        <v>12.561999999999999</v>
      </c>
      <c r="M165" s="373">
        <v>2.0779999999999998</v>
      </c>
      <c r="N165" s="373">
        <v>0</v>
      </c>
      <c r="O165" s="373">
        <v>0</v>
      </c>
      <c r="P165" s="373">
        <v>0</v>
      </c>
      <c r="Q165" s="373">
        <v>0</v>
      </c>
      <c r="R165" s="373">
        <v>0</v>
      </c>
      <c r="S165" s="373">
        <v>0</v>
      </c>
      <c r="T165" s="373">
        <f t="shared" si="58"/>
        <v>0</v>
      </c>
      <c r="U165" s="373">
        <f t="shared" si="58"/>
        <v>0</v>
      </c>
      <c r="V165" s="373">
        <f t="shared" si="58"/>
        <v>0</v>
      </c>
      <c r="W165" s="373">
        <f t="shared" si="58"/>
        <v>0</v>
      </c>
      <c r="X165" s="373">
        <f t="shared" si="58"/>
        <v>0</v>
      </c>
      <c r="Y165" s="382">
        <v>0</v>
      </c>
    </row>
    <row r="166" spans="1:26" ht="13.5" thickBot="1" x14ac:dyDescent="0.25">
      <c r="A166" s="379" t="s">
        <v>116</v>
      </c>
      <c r="B166" s="374">
        <f t="shared" ref="B166:V166" si="59">(C165+B165)*(C164-B164)/2</f>
        <v>0.48736499999999999</v>
      </c>
      <c r="C166" s="375">
        <f t="shared" si="59"/>
        <v>0.47074299999999991</v>
      </c>
      <c r="D166" s="375">
        <f t="shared" si="59"/>
        <v>2.6261130000000001</v>
      </c>
      <c r="E166" s="375">
        <f t="shared" si="59"/>
        <v>3.1953689999999999</v>
      </c>
      <c r="F166" s="375">
        <f t="shared" si="59"/>
        <v>13.995408000000003</v>
      </c>
      <c r="G166" s="375">
        <f t="shared" si="59"/>
        <v>11.791223</v>
      </c>
      <c r="H166" s="375">
        <f t="shared" si="59"/>
        <v>11.721064499999997</v>
      </c>
      <c r="I166" s="375">
        <f t="shared" si="59"/>
        <v>7.1049195000000003</v>
      </c>
      <c r="J166" s="375">
        <f>(K165+J165)*(K164-J164)/2</f>
        <v>4.0014939999999992</v>
      </c>
      <c r="K166" s="375">
        <f t="shared" si="59"/>
        <v>3.1565400000000023</v>
      </c>
      <c r="L166" s="375">
        <f t="shared" si="59"/>
        <v>1.0979999999999992</v>
      </c>
      <c r="M166" s="375">
        <f t="shared" si="59"/>
        <v>5.4028000000000041E-2</v>
      </c>
      <c r="N166" s="375">
        <f t="shared" si="59"/>
        <v>0</v>
      </c>
      <c r="O166" s="375">
        <f t="shared" si="59"/>
        <v>0</v>
      </c>
      <c r="P166" s="375">
        <f t="shared" si="59"/>
        <v>0</v>
      </c>
      <c r="Q166" s="375">
        <f t="shared" si="59"/>
        <v>0</v>
      </c>
      <c r="R166" s="375">
        <f t="shared" si="59"/>
        <v>0</v>
      </c>
      <c r="S166" s="375">
        <f>(T165+S165)*(T164-S164)/2</f>
        <v>0</v>
      </c>
      <c r="T166" s="375">
        <f t="shared" si="59"/>
        <v>0</v>
      </c>
      <c r="U166" s="375">
        <f t="shared" si="59"/>
        <v>0</v>
      </c>
      <c r="V166" s="375">
        <f t="shared" si="59"/>
        <v>0</v>
      </c>
      <c r="W166" s="375">
        <f>(X165+W165)*(X164-W164)/2</f>
        <v>0</v>
      </c>
      <c r="X166" s="375">
        <f>(Y165+X165)*(Y164-X164)/2</f>
        <v>0</v>
      </c>
      <c r="Y166" s="369"/>
    </row>
    <row r="167" spans="1:26" ht="13.5" thickBot="1" x14ac:dyDescent="0.25"/>
    <row r="168" spans="1:26" ht="13.5" thickBot="1" x14ac:dyDescent="0.25">
      <c r="A168" s="361" t="s">
        <v>322</v>
      </c>
      <c r="B168" s="359">
        <f>ROW(A168)</f>
        <v>168</v>
      </c>
      <c r="C168" s="363" t="s">
        <v>115</v>
      </c>
      <c r="D168" s="353">
        <f>SUM(B171:Y171)</f>
        <v>68.380602999999994</v>
      </c>
      <c r="E168" s="363" t="s">
        <v>114</v>
      </c>
      <c r="F168" s="354">
        <f>D168/g/J168</f>
        <v>134.04807300243078</v>
      </c>
      <c r="G168" s="363" t="s">
        <v>56</v>
      </c>
      <c r="H168" s="64">
        <v>0.1075</v>
      </c>
      <c r="I168" s="363" t="s">
        <v>271</v>
      </c>
      <c r="J168" s="355">
        <f>H168-L168</f>
        <v>5.1999999999999998E-2</v>
      </c>
      <c r="K168" s="363" t="s">
        <v>272</v>
      </c>
      <c r="L168" s="64">
        <v>5.5500000000000001E-2</v>
      </c>
      <c r="M168" s="363" t="s">
        <v>57</v>
      </c>
      <c r="N168" s="396">
        <v>66.5</v>
      </c>
      <c r="O168" s="363" t="s">
        <v>59</v>
      </c>
      <c r="P168" s="396">
        <v>66.5</v>
      </c>
      <c r="Q168" s="363" t="s">
        <v>60</v>
      </c>
      <c r="R168" s="65">
        <v>133</v>
      </c>
      <c r="S168" s="363" t="s">
        <v>61</v>
      </c>
      <c r="T168" s="65">
        <v>24</v>
      </c>
      <c r="U168" s="363" t="s">
        <v>54</v>
      </c>
      <c r="V168" s="66" t="s">
        <v>399</v>
      </c>
      <c r="W168" s="463" t="s">
        <v>394</v>
      </c>
      <c r="X168" s="465">
        <v>0.86</v>
      </c>
      <c r="Y168" s="463" t="s">
        <v>393</v>
      </c>
      <c r="Z168" s="358">
        <v>13</v>
      </c>
    </row>
    <row r="169" spans="1:26" x14ac:dyDescent="0.2">
      <c r="A169" s="362" t="s">
        <v>33</v>
      </c>
      <c r="B169" s="370">
        <v>0</v>
      </c>
      <c r="C169" s="371">
        <v>5.0000000000000001E-3</v>
      </c>
      <c r="D169" s="371">
        <v>1.2999999999999999E-2</v>
      </c>
      <c r="E169" s="371">
        <v>2.1999999999999999E-2</v>
      </c>
      <c r="F169" s="371">
        <v>4.2999999999999997E-2</v>
      </c>
      <c r="G169" s="371">
        <v>0.11899999999999999</v>
      </c>
      <c r="H169" s="371">
        <v>0.19800000000000001</v>
      </c>
      <c r="I169" s="371">
        <v>0.26700000000000002</v>
      </c>
      <c r="J169" s="371">
        <v>0.34300000000000003</v>
      </c>
      <c r="K169" s="371">
        <v>0.40400000000000003</v>
      </c>
      <c r="L169" s="371">
        <v>0.498</v>
      </c>
      <c r="M169" s="371">
        <v>0.55500000000000005</v>
      </c>
      <c r="N169" s="371">
        <v>0.622</v>
      </c>
      <c r="O169" s="371">
        <v>0.66300000000000003</v>
      </c>
      <c r="P169" s="371">
        <v>0.70399999999999996</v>
      </c>
      <c r="Q169" s="371">
        <v>0.72899999999999998</v>
      </c>
      <c r="R169" s="371">
        <v>0.747</v>
      </c>
      <c r="S169" s="371">
        <v>0.76800000000000002</v>
      </c>
      <c r="T169" s="371">
        <v>0.82099999999999995</v>
      </c>
      <c r="U169" s="371">
        <v>0.85199999999999998</v>
      </c>
      <c r="V169" s="371">
        <v>0.89200000000000002</v>
      </c>
      <c r="W169" s="371">
        <v>1</v>
      </c>
      <c r="X169" s="371">
        <v>2</v>
      </c>
      <c r="Y169" s="381">
        <v>1000</v>
      </c>
    </row>
    <row r="170" spans="1:26" x14ac:dyDescent="0.2">
      <c r="A170" s="378" t="s">
        <v>34</v>
      </c>
      <c r="B170" s="372">
        <v>0</v>
      </c>
      <c r="C170" s="373">
        <v>60</v>
      </c>
      <c r="D170" s="373">
        <v>89.007000000000005</v>
      </c>
      <c r="E170" s="373">
        <v>96.290999999999997</v>
      </c>
      <c r="F170" s="373">
        <v>81.721999999999994</v>
      </c>
      <c r="G170" s="373">
        <v>85.563000000000002</v>
      </c>
      <c r="H170" s="373">
        <v>87.947000000000003</v>
      </c>
      <c r="I170" s="373">
        <v>89.272000000000006</v>
      </c>
      <c r="J170" s="373">
        <v>89.933999999999997</v>
      </c>
      <c r="K170" s="373">
        <v>90.861000000000004</v>
      </c>
      <c r="L170" s="373">
        <v>91.522999999999996</v>
      </c>
      <c r="M170" s="373">
        <v>89.668999999999997</v>
      </c>
      <c r="N170" s="373">
        <v>83.974000000000004</v>
      </c>
      <c r="O170" s="373">
        <v>80.53</v>
      </c>
      <c r="P170" s="373">
        <v>78.94</v>
      </c>
      <c r="Q170" s="373">
        <v>74.171999999999997</v>
      </c>
      <c r="R170" s="373">
        <v>66.887</v>
      </c>
      <c r="S170" s="373">
        <v>53.774999999999999</v>
      </c>
      <c r="T170" s="373">
        <v>18.542999999999999</v>
      </c>
      <c r="U170" s="373">
        <v>7.8150000000000004</v>
      </c>
      <c r="V170" s="373">
        <v>2.1190000000000002</v>
      </c>
      <c r="W170" s="373">
        <v>0</v>
      </c>
      <c r="X170" s="373">
        <v>0</v>
      </c>
      <c r="Y170" s="382">
        <v>0</v>
      </c>
    </row>
    <row r="171" spans="1:26" ht="13.5" thickBot="1" x14ac:dyDescent="0.25">
      <c r="A171" s="379" t="s">
        <v>116</v>
      </c>
      <c r="B171" s="374">
        <f t="shared" ref="B171:X171" si="60">(C170+B170)*(C169-B169)/2</f>
        <v>0.15</v>
      </c>
      <c r="C171" s="375">
        <f t="shared" si="60"/>
        <v>0.596028</v>
      </c>
      <c r="D171" s="375">
        <f t="shared" si="60"/>
        <v>0.83384099999999994</v>
      </c>
      <c r="E171" s="375">
        <f t="shared" si="60"/>
        <v>1.8691364999999995</v>
      </c>
      <c r="F171" s="375">
        <f t="shared" si="60"/>
        <v>6.3568299999999995</v>
      </c>
      <c r="G171" s="375">
        <f t="shared" si="60"/>
        <v>6.8536450000000011</v>
      </c>
      <c r="H171" s="375">
        <f t="shared" si="60"/>
        <v>6.1140555000000001</v>
      </c>
      <c r="I171" s="375">
        <f t="shared" si="60"/>
        <v>6.8098280000000013</v>
      </c>
      <c r="J171" s="375">
        <f t="shared" si="60"/>
        <v>5.5142475000000006</v>
      </c>
      <c r="K171" s="375">
        <f t="shared" si="60"/>
        <v>8.5720479999999988</v>
      </c>
      <c r="L171" s="375">
        <f t="shared" si="60"/>
        <v>5.1639720000000047</v>
      </c>
      <c r="M171" s="375">
        <f t="shared" si="60"/>
        <v>5.8170404999999956</v>
      </c>
      <c r="N171" s="375">
        <f t="shared" si="60"/>
        <v>3.3723320000000032</v>
      </c>
      <c r="O171" s="375">
        <f t="shared" si="60"/>
        <v>3.2691349999999941</v>
      </c>
      <c r="P171" s="375">
        <f t="shared" si="60"/>
        <v>1.9139000000000017</v>
      </c>
      <c r="Q171" s="375">
        <f t="shared" si="60"/>
        <v>1.2695310000000011</v>
      </c>
      <c r="R171" s="375">
        <f t="shared" si="60"/>
        <v>1.2669510000000013</v>
      </c>
      <c r="S171" s="375">
        <f t="shared" si="60"/>
        <v>1.9164269999999977</v>
      </c>
      <c r="T171" s="375">
        <f t="shared" si="60"/>
        <v>0.40854900000000038</v>
      </c>
      <c r="U171" s="375">
        <f t="shared" si="60"/>
        <v>0.19868000000000019</v>
      </c>
      <c r="V171" s="375">
        <f t="shared" si="60"/>
        <v>0.114426</v>
      </c>
      <c r="W171" s="375">
        <f t="shared" si="60"/>
        <v>0</v>
      </c>
      <c r="X171" s="375">
        <f t="shared" si="60"/>
        <v>0</v>
      </c>
      <c r="Y171" s="369"/>
    </row>
    <row r="172" spans="1:26" ht="13.5" thickBot="1" x14ac:dyDescent="0.25">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spans="1:26" ht="13.5" thickBot="1" x14ac:dyDescent="0.25">
      <c r="A173" s="361" t="s">
        <v>323</v>
      </c>
      <c r="B173" s="359">
        <f>ROW(A173)</f>
        <v>173</v>
      </c>
      <c r="C173" s="363" t="s">
        <v>115</v>
      </c>
      <c r="D173" s="353">
        <f>SUM(B176:Y176)</f>
        <v>67.985428500000012</v>
      </c>
      <c r="E173" s="363" t="s">
        <v>114</v>
      </c>
      <c r="F173" s="354">
        <f>D173/g/J173</f>
        <v>181.89545859519862</v>
      </c>
      <c r="G173" s="363" t="s">
        <v>56</v>
      </c>
      <c r="H173" s="64">
        <v>9.1799999999999993E-2</v>
      </c>
      <c r="I173" s="363" t="s">
        <v>271</v>
      </c>
      <c r="J173" s="355">
        <f>H173-L173</f>
        <v>3.8099999999999988E-2</v>
      </c>
      <c r="K173" s="363" t="s">
        <v>272</v>
      </c>
      <c r="L173" s="64">
        <v>5.3700000000000005E-2</v>
      </c>
      <c r="M173" s="363" t="s">
        <v>57</v>
      </c>
      <c r="N173" s="396">
        <v>66.5</v>
      </c>
      <c r="O173" s="363" t="s">
        <v>59</v>
      </c>
      <c r="P173" s="396">
        <v>66.5</v>
      </c>
      <c r="Q173" s="363" t="s">
        <v>60</v>
      </c>
      <c r="R173" s="65">
        <v>133</v>
      </c>
      <c r="S173" s="363" t="s">
        <v>61</v>
      </c>
      <c r="T173" s="65">
        <v>24</v>
      </c>
      <c r="U173" s="363" t="s">
        <v>54</v>
      </c>
      <c r="V173" s="66" t="s">
        <v>399</v>
      </c>
      <c r="W173" s="463" t="s">
        <v>394</v>
      </c>
      <c r="X173" s="465">
        <v>0.33</v>
      </c>
      <c r="Y173" s="463" t="s">
        <v>393</v>
      </c>
      <c r="Z173" s="358">
        <v>15</v>
      </c>
    </row>
    <row r="174" spans="1:26" x14ac:dyDescent="0.2">
      <c r="A174" s="362" t="s">
        <v>33</v>
      </c>
      <c r="B174" s="370">
        <v>0</v>
      </c>
      <c r="C174" s="371">
        <v>4.0000000000000001E-3</v>
      </c>
      <c r="D174" s="371">
        <v>7.0000000000000001E-3</v>
      </c>
      <c r="E174" s="371">
        <v>0.01</v>
      </c>
      <c r="F174" s="371">
        <v>2.1999999999999999E-2</v>
      </c>
      <c r="G174" s="371">
        <v>2.8000000000000001E-2</v>
      </c>
      <c r="H174" s="371">
        <v>4.1000000000000002E-2</v>
      </c>
      <c r="I174" s="371">
        <v>5.8000000000000003E-2</v>
      </c>
      <c r="J174" s="371">
        <v>7.6999999999999999E-2</v>
      </c>
      <c r="K174" s="371">
        <v>8.8999999999999996E-2</v>
      </c>
      <c r="L174" s="371">
        <v>9.7000000000000003E-2</v>
      </c>
      <c r="M174" s="371">
        <v>0.11899999999999999</v>
      </c>
      <c r="N174" s="371">
        <v>0.14699999999999999</v>
      </c>
      <c r="O174" s="371">
        <v>0.17699999999999999</v>
      </c>
      <c r="P174" s="371">
        <v>0.20699999999999999</v>
      </c>
      <c r="Q174" s="371">
        <v>0.253</v>
      </c>
      <c r="R174" s="371">
        <v>0.25900000000000001</v>
      </c>
      <c r="S174" s="371">
        <v>0.27200000000000002</v>
      </c>
      <c r="T174" s="371">
        <v>0.28000000000000003</v>
      </c>
      <c r="U174" s="371">
        <v>0.28599999999999998</v>
      </c>
      <c r="V174" s="371">
        <v>0.29399999999999998</v>
      </c>
      <c r="W174" s="371">
        <v>0.32800000000000001</v>
      </c>
      <c r="X174" s="371">
        <v>2</v>
      </c>
      <c r="Y174" s="381">
        <v>1000</v>
      </c>
    </row>
    <row r="175" spans="1:26" x14ac:dyDescent="0.2">
      <c r="A175" s="378" t="s">
        <v>34</v>
      </c>
      <c r="B175" s="372">
        <v>0</v>
      </c>
      <c r="C175" s="376">
        <v>100.52800000000001</v>
      </c>
      <c r="D175" s="376">
        <v>197.49299999999999</v>
      </c>
      <c r="E175" s="376">
        <v>222.03200000000001</v>
      </c>
      <c r="F175" s="376">
        <v>241.42500000000001</v>
      </c>
      <c r="G175" s="376">
        <v>237.863</v>
      </c>
      <c r="H175" s="376">
        <v>239.446</v>
      </c>
      <c r="I175" s="376">
        <v>252.50700000000001</v>
      </c>
      <c r="J175" s="376">
        <v>263.98399999999998</v>
      </c>
      <c r="K175" s="376">
        <v>275.46199999999999</v>
      </c>
      <c r="L175" s="376">
        <v>271.50400000000002</v>
      </c>
      <c r="M175" s="376">
        <v>278.62799999999999</v>
      </c>
      <c r="N175" s="376">
        <v>281.39800000000002</v>
      </c>
      <c r="O175" s="376">
        <v>272.29599999999999</v>
      </c>
      <c r="P175" s="376">
        <v>258.44299999999998</v>
      </c>
      <c r="Q175" s="376">
        <v>218.47</v>
      </c>
      <c r="R175" s="376">
        <v>188.786</v>
      </c>
      <c r="S175" s="376">
        <v>74.802000000000007</v>
      </c>
      <c r="T175" s="376">
        <v>31.265999999999998</v>
      </c>
      <c r="U175" s="376">
        <v>15.831</v>
      </c>
      <c r="V175" s="376">
        <v>8.7070000000000007</v>
      </c>
      <c r="W175" s="376">
        <v>0</v>
      </c>
      <c r="X175" s="373">
        <v>0</v>
      </c>
      <c r="Y175" s="382">
        <v>0</v>
      </c>
    </row>
    <row r="176" spans="1:26" ht="13.5" thickBot="1" x14ac:dyDescent="0.25">
      <c r="A176" s="379" t="s">
        <v>116</v>
      </c>
      <c r="B176" s="374">
        <f t="shared" ref="B176:X176" si="61">(C175+B175)*(C174-B174)/2</f>
        <v>0.20105600000000001</v>
      </c>
      <c r="C176" s="375">
        <f t="shared" si="61"/>
        <v>0.44703150000000003</v>
      </c>
      <c r="D176" s="375">
        <f t="shared" si="61"/>
        <v>0.6292875</v>
      </c>
      <c r="E176" s="375">
        <f t="shared" si="61"/>
        <v>2.7807419999999996</v>
      </c>
      <c r="F176" s="375">
        <f t="shared" si="61"/>
        <v>1.4378640000000005</v>
      </c>
      <c r="G176" s="375">
        <f t="shared" si="61"/>
        <v>3.1025084999999999</v>
      </c>
      <c r="H176" s="375">
        <f t="shared" si="61"/>
        <v>4.1816005000000001</v>
      </c>
      <c r="I176" s="375">
        <f t="shared" si="61"/>
        <v>4.9066644999999989</v>
      </c>
      <c r="J176" s="375">
        <f t="shared" si="61"/>
        <v>3.2366759999999988</v>
      </c>
      <c r="K176" s="375">
        <f t="shared" si="61"/>
        <v>2.187864000000002</v>
      </c>
      <c r="L176" s="375">
        <f t="shared" si="61"/>
        <v>6.0514519999999985</v>
      </c>
      <c r="M176" s="375">
        <f t="shared" si="61"/>
        <v>7.8403640000000001</v>
      </c>
      <c r="N176" s="375">
        <f t="shared" si="61"/>
        <v>8.3054099999999984</v>
      </c>
      <c r="O176" s="375">
        <f t="shared" si="61"/>
        <v>7.9610850000000006</v>
      </c>
      <c r="P176" s="375">
        <f t="shared" si="61"/>
        <v>10.968999000000004</v>
      </c>
      <c r="Q176" s="375">
        <f t="shared" si="61"/>
        <v>1.2217680000000011</v>
      </c>
      <c r="R176" s="375">
        <f t="shared" si="61"/>
        <v>1.7133220000000016</v>
      </c>
      <c r="S176" s="375">
        <f t="shared" si="61"/>
        <v>0.42427200000000043</v>
      </c>
      <c r="T176" s="375">
        <f t="shared" si="61"/>
        <v>0.14129099999999881</v>
      </c>
      <c r="U176" s="375">
        <f t="shared" si="61"/>
        <v>9.8152000000000086E-2</v>
      </c>
      <c r="V176" s="375">
        <f t="shared" si="61"/>
        <v>0.14801900000000015</v>
      </c>
      <c r="W176" s="375">
        <f t="shared" si="61"/>
        <v>0</v>
      </c>
      <c r="X176" s="375">
        <f t="shared" si="61"/>
        <v>0</v>
      </c>
      <c r="Y176" s="369"/>
    </row>
    <row r="177" spans="1:26" ht="13.5" thickBot="1" x14ac:dyDescent="0.25">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spans="1:26" ht="13.5" thickBot="1" x14ac:dyDescent="0.25">
      <c r="A178" s="361" t="s">
        <v>324</v>
      </c>
      <c r="B178" s="359">
        <f>ROW(A178)</f>
        <v>178</v>
      </c>
      <c r="C178" s="363" t="s">
        <v>115</v>
      </c>
      <c r="D178" s="353">
        <f>SUM(B181:Y181)</f>
        <v>73.557381500000005</v>
      </c>
      <c r="E178" s="363" t="s">
        <v>114</v>
      </c>
      <c r="F178" s="354">
        <f>D178/g/J178</f>
        <v>156.86619302308719</v>
      </c>
      <c r="G178" s="363" t="s">
        <v>56</v>
      </c>
      <c r="H178" s="64">
        <v>0.1022</v>
      </c>
      <c r="I178" s="363" t="s">
        <v>271</v>
      </c>
      <c r="J178" s="355">
        <f>H178-L178</f>
        <v>4.7800000000000002E-2</v>
      </c>
      <c r="K178" s="363" t="s">
        <v>272</v>
      </c>
      <c r="L178" s="64">
        <v>5.4399999999999997E-2</v>
      </c>
      <c r="M178" s="363" t="s">
        <v>57</v>
      </c>
      <c r="N178" s="396">
        <v>66.5</v>
      </c>
      <c r="O178" s="363" t="s">
        <v>59</v>
      </c>
      <c r="P178" s="396">
        <v>66.5</v>
      </c>
      <c r="Q178" s="363" t="s">
        <v>60</v>
      </c>
      <c r="R178" s="65">
        <v>133</v>
      </c>
      <c r="S178" s="363" t="s">
        <v>61</v>
      </c>
      <c r="T178" s="65">
        <v>24</v>
      </c>
      <c r="U178" s="363" t="s">
        <v>54</v>
      </c>
      <c r="V178" s="66" t="s">
        <v>399</v>
      </c>
      <c r="W178" s="463" t="s">
        <v>394</v>
      </c>
      <c r="X178" s="465">
        <v>2.36</v>
      </c>
      <c r="Y178" s="463" t="s">
        <v>393</v>
      </c>
      <c r="Z178" s="358">
        <v>6</v>
      </c>
    </row>
    <row r="179" spans="1:26" x14ac:dyDescent="0.2">
      <c r="A179" s="362" t="s">
        <v>33</v>
      </c>
      <c r="B179" s="370">
        <v>0</v>
      </c>
      <c r="C179" s="371">
        <v>1.4E-2</v>
      </c>
      <c r="D179" s="371">
        <v>5.6000000000000001E-2</v>
      </c>
      <c r="E179" s="371">
        <v>9.1999999999999998E-2</v>
      </c>
      <c r="F179" s="371">
        <v>0.16</v>
      </c>
      <c r="G179" s="371">
        <v>0.23200000000000001</v>
      </c>
      <c r="H179" s="371">
        <v>0.36299999999999999</v>
      </c>
      <c r="I179" s="371">
        <v>0.499</v>
      </c>
      <c r="J179" s="371">
        <v>0.65500000000000003</v>
      </c>
      <c r="K179" s="371">
        <v>0.84299999999999997</v>
      </c>
      <c r="L179" s="371">
        <v>1.216</v>
      </c>
      <c r="M179" s="371">
        <v>1.3680000000000001</v>
      </c>
      <c r="N179" s="371">
        <v>1.54</v>
      </c>
      <c r="O179" s="371">
        <v>1.675</v>
      </c>
      <c r="P179" s="371">
        <v>1.861</v>
      </c>
      <c r="Q179" s="371">
        <v>2.0129999999999999</v>
      </c>
      <c r="R179" s="371">
        <v>2.1589999999999998</v>
      </c>
      <c r="S179" s="371">
        <v>2.302</v>
      </c>
      <c r="T179" s="371">
        <v>2.4620000000000002</v>
      </c>
      <c r="U179" s="371">
        <v>2.5979999999999999</v>
      </c>
      <c r="V179" s="371">
        <v>2.5979999999999999</v>
      </c>
      <c r="W179" s="371">
        <v>2.5979999999999999</v>
      </c>
      <c r="X179" s="371">
        <v>2.5979999999999999</v>
      </c>
      <c r="Y179" s="381">
        <v>1000</v>
      </c>
    </row>
    <row r="180" spans="1:26" x14ac:dyDescent="0.2">
      <c r="A180" s="378" t="s">
        <v>34</v>
      </c>
      <c r="B180" s="372">
        <v>0</v>
      </c>
      <c r="C180" s="376">
        <v>54.222000000000001</v>
      </c>
      <c r="D180" s="376">
        <v>43.456000000000003</v>
      </c>
      <c r="E180" s="376">
        <v>50.185000000000002</v>
      </c>
      <c r="F180" s="376">
        <v>54.063000000000002</v>
      </c>
      <c r="G180" s="376">
        <v>48.363999999999997</v>
      </c>
      <c r="H180" s="376">
        <v>45.752000000000002</v>
      </c>
      <c r="I180" s="376">
        <v>43.14</v>
      </c>
      <c r="J180" s="376">
        <v>40.29</v>
      </c>
      <c r="K180" s="376">
        <v>37.835999999999999</v>
      </c>
      <c r="L180" s="376">
        <v>32.612000000000002</v>
      </c>
      <c r="M180" s="376">
        <v>30.317</v>
      </c>
      <c r="N180" s="376">
        <v>26.359000000000002</v>
      </c>
      <c r="O180" s="376">
        <v>23.509</v>
      </c>
      <c r="P180" s="376">
        <v>19.077000000000002</v>
      </c>
      <c r="Q180" s="376">
        <v>14.565</v>
      </c>
      <c r="R180" s="376">
        <v>10.053000000000001</v>
      </c>
      <c r="S180" s="376">
        <v>4.8280000000000003</v>
      </c>
      <c r="T180" s="376">
        <v>1.504</v>
      </c>
      <c r="U180" s="373">
        <v>0</v>
      </c>
      <c r="V180" s="373">
        <v>0</v>
      </c>
      <c r="W180" s="373">
        <v>0</v>
      </c>
      <c r="X180" s="373">
        <v>0</v>
      </c>
      <c r="Y180" s="382">
        <v>0</v>
      </c>
    </row>
    <row r="181" spans="1:26" ht="13.5" thickBot="1" x14ac:dyDescent="0.25">
      <c r="A181" s="379" t="s">
        <v>116</v>
      </c>
      <c r="B181" s="374">
        <f t="shared" ref="B181:X181" si="62">(C180+B180)*(C179-B179)/2</f>
        <v>0.379554</v>
      </c>
      <c r="C181" s="375">
        <f t="shared" si="62"/>
        <v>2.0512380000000001</v>
      </c>
      <c r="D181" s="375">
        <f t="shared" si="62"/>
        <v>1.685538</v>
      </c>
      <c r="E181" s="375">
        <f t="shared" si="62"/>
        <v>3.5444320000000005</v>
      </c>
      <c r="F181" s="375">
        <f t="shared" si="62"/>
        <v>3.6873720000000003</v>
      </c>
      <c r="G181" s="375">
        <f t="shared" si="62"/>
        <v>6.1645979999999989</v>
      </c>
      <c r="H181" s="375">
        <f t="shared" si="62"/>
        <v>6.0446559999999998</v>
      </c>
      <c r="I181" s="375">
        <f t="shared" si="62"/>
        <v>6.5075400000000014</v>
      </c>
      <c r="J181" s="375">
        <f t="shared" si="62"/>
        <v>7.343843999999998</v>
      </c>
      <c r="K181" s="375">
        <f t="shared" si="62"/>
        <v>13.138552000000001</v>
      </c>
      <c r="L181" s="375">
        <f t="shared" si="62"/>
        <v>4.7826040000000045</v>
      </c>
      <c r="M181" s="375">
        <f t="shared" si="62"/>
        <v>4.8741359999999982</v>
      </c>
      <c r="N181" s="375">
        <f t="shared" si="62"/>
        <v>3.3660900000000002</v>
      </c>
      <c r="O181" s="375">
        <f t="shared" si="62"/>
        <v>3.9604979999999985</v>
      </c>
      <c r="P181" s="375">
        <f t="shared" si="62"/>
        <v>2.5567919999999988</v>
      </c>
      <c r="Q181" s="375">
        <f t="shared" si="62"/>
        <v>1.797113999999999</v>
      </c>
      <c r="R181" s="375">
        <f t="shared" si="62"/>
        <v>1.0639915000000018</v>
      </c>
      <c r="S181" s="375">
        <f t="shared" si="62"/>
        <v>0.50656000000000045</v>
      </c>
      <c r="T181" s="375">
        <f t="shared" si="62"/>
        <v>0.10227199999999975</v>
      </c>
      <c r="U181" s="375">
        <f t="shared" si="62"/>
        <v>0</v>
      </c>
      <c r="V181" s="375">
        <f t="shared" si="62"/>
        <v>0</v>
      </c>
      <c r="W181" s="375">
        <f t="shared" si="62"/>
        <v>0</v>
      </c>
      <c r="X181" s="375">
        <f t="shared" si="62"/>
        <v>0</v>
      </c>
      <c r="Y181" s="369"/>
    </row>
    <row r="182" spans="1:26" ht="13.5" thickBot="1" x14ac:dyDescent="0.25">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spans="1:26" ht="13.5" thickBot="1" x14ac:dyDescent="0.25">
      <c r="A183" s="361" t="s">
        <v>325</v>
      </c>
      <c r="B183" s="359">
        <f>ROW(A183)</f>
        <v>183</v>
      </c>
      <c r="C183" s="363" t="s">
        <v>115</v>
      </c>
      <c r="D183" s="353">
        <f>SUM(B186:Y186)</f>
        <v>73.169517999999997</v>
      </c>
      <c r="E183" s="363" t="s">
        <v>114</v>
      </c>
      <c r="F183" s="354">
        <f>D183/g/J183</f>
        <v>177.58729673316827</v>
      </c>
      <c r="G183" s="363" t="s">
        <v>56</v>
      </c>
      <c r="H183" s="64">
        <v>9.6000000000000002E-2</v>
      </c>
      <c r="I183" s="363" t="s">
        <v>271</v>
      </c>
      <c r="J183" s="355">
        <f>H183-L183</f>
        <v>4.2000000000000003E-2</v>
      </c>
      <c r="K183" s="363" t="s">
        <v>272</v>
      </c>
      <c r="L183" s="64">
        <v>5.3999999999999999E-2</v>
      </c>
      <c r="M183" s="363" t="s">
        <v>57</v>
      </c>
      <c r="N183" s="396">
        <v>66.5</v>
      </c>
      <c r="O183" s="363" t="s">
        <v>59</v>
      </c>
      <c r="P183" s="396">
        <v>66.5</v>
      </c>
      <c r="Q183" s="363" t="s">
        <v>60</v>
      </c>
      <c r="R183" s="65">
        <v>133</v>
      </c>
      <c r="S183" s="363" t="s">
        <v>61</v>
      </c>
      <c r="T183" s="65">
        <v>24</v>
      </c>
      <c r="U183" s="363" t="s">
        <v>54</v>
      </c>
      <c r="V183" s="66" t="s">
        <v>400</v>
      </c>
      <c r="W183" s="463" t="s">
        <v>394</v>
      </c>
      <c r="X183" s="465">
        <v>0.87</v>
      </c>
      <c r="Y183" s="463" t="s">
        <v>393</v>
      </c>
      <c r="Z183" s="358">
        <v>15</v>
      </c>
    </row>
    <row r="184" spans="1:26" x14ac:dyDescent="0.2">
      <c r="A184" s="362" t="s">
        <v>33</v>
      </c>
      <c r="B184" s="370">
        <v>0</v>
      </c>
      <c r="C184" s="371">
        <v>0.01</v>
      </c>
      <c r="D184" s="371">
        <v>2.3E-2</v>
      </c>
      <c r="E184" s="371">
        <v>0.04</v>
      </c>
      <c r="F184" s="371">
        <v>0.11799999999999999</v>
      </c>
      <c r="G184" s="371">
        <v>0.28299999999999997</v>
      </c>
      <c r="H184" s="371">
        <v>0.51</v>
      </c>
      <c r="I184" s="371">
        <v>0.68799999999999994</v>
      </c>
      <c r="J184" s="371">
        <v>0.78700000000000003</v>
      </c>
      <c r="K184" s="371">
        <v>0.85199999999999998</v>
      </c>
      <c r="L184" s="371">
        <v>0.873</v>
      </c>
      <c r="M184" s="371">
        <v>0.873</v>
      </c>
      <c r="N184" s="371">
        <v>0.873</v>
      </c>
      <c r="O184" s="371">
        <v>0.873</v>
      </c>
      <c r="P184" s="371">
        <v>0.873</v>
      </c>
      <c r="Q184" s="371">
        <v>0.873</v>
      </c>
      <c r="R184" s="371">
        <v>0.873</v>
      </c>
      <c r="S184" s="371">
        <v>0.873</v>
      </c>
      <c r="T184" s="371">
        <v>0.873</v>
      </c>
      <c r="U184" s="371">
        <v>0.873</v>
      </c>
      <c r="V184" s="371">
        <v>0.873</v>
      </c>
      <c r="W184" s="371">
        <v>0.873</v>
      </c>
      <c r="X184" s="371">
        <v>2</v>
      </c>
      <c r="Y184" s="381">
        <v>1000</v>
      </c>
    </row>
    <row r="185" spans="1:26" x14ac:dyDescent="0.2">
      <c r="A185" s="378" t="s">
        <v>34</v>
      </c>
      <c r="B185" s="372">
        <v>0</v>
      </c>
      <c r="C185" s="376">
        <v>76.073999999999998</v>
      </c>
      <c r="D185" s="376">
        <v>100.185</v>
      </c>
      <c r="E185" s="376">
        <v>92.424999999999997</v>
      </c>
      <c r="F185" s="376">
        <v>100.878</v>
      </c>
      <c r="G185" s="376">
        <v>102.402</v>
      </c>
      <c r="H185" s="376">
        <v>96.442999999999998</v>
      </c>
      <c r="I185" s="376">
        <v>87.436000000000007</v>
      </c>
      <c r="J185" s="376">
        <v>25.911999999999999</v>
      </c>
      <c r="K185" s="376">
        <v>7.2060000000000004</v>
      </c>
      <c r="L185" s="373">
        <v>0</v>
      </c>
      <c r="M185" s="373">
        <v>0</v>
      </c>
      <c r="N185" s="373">
        <v>0</v>
      </c>
      <c r="O185" s="373">
        <v>0</v>
      </c>
      <c r="P185" s="373">
        <v>0</v>
      </c>
      <c r="Q185" s="373">
        <v>0</v>
      </c>
      <c r="R185" s="373">
        <v>0</v>
      </c>
      <c r="S185" s="373">
        <v>0</v>
      </c>
      <c r="T185" s="373">
        <v>0</v>
      </c>
      <c r="U185" s="373">
        <v>0</v>
      </c>
      <c r="V185" s="373">
        <v>0</v>
      </c>
      <c r="W185" s="373">
        <v>0</v>
      </c>
      <c r="X185" s="373">
        <v>0</v>
      </c>
      <c r="Y185" s="382">
        <v>0</v>
      </c>
    </row>
    <row r="186" spans="1:26" ht="13.5" thickBot="1" x14ac:dyDescent="0.25">
      <c r="A186" s="379" t="s">
        <v>116</v>
      </c>
      <c r="B186" s="374">
        <f t="shared" ref="B186:X186" si="63">(C185+B185)*(C184-B184)/2</f>
        <v>0.38036999999999999</v>
      </c>
      <c r="C186" s="375">
        <f t="shared" si="63"/>
        <v>1.1456835000000001</v>
      </c>
      <c r="D186" s="375">
        <f t="shared" si="63"/>
        <v>1.6371850000000003</v>
      </c>
      <c r="E186" s="375">
        <f t="shared" si="63"/>
        <v>7.5388169999999981</v>
      </c>
      <c r="F186" s="375">
        <f t="shared" si="63"/>
        <v>16.770599999999998</v>
      </c>
      <c r="G186" s="375">
        <f t="shared" si="63"/>
        <v>22.568907500000002</v>
      </c>
      <c r="H186" s="375">
        <f t="shared" si="63"/>
        <v>16.365230999999994</v>
      </c>
      <c r="I186" s="375">
        <f t="shared" si="63"/>
        <v>5.6107260000000059</v>
      </c>
      <c r="J186" s="375">
        <f t="shared" si="63"/>
        <v>1.0763349999999992</v>
      </c>
      <c r="K186" s="375">
        <f t="shared" si="63"/>
        <v>7.5663000000000077E-2</v>
      </c>
      <c r="L186" s="375">
        <f t="shared" si="63"/>
        <v>0</v>
      </c>
      <c r="M186" s="375">
        <f t="shared" si="63"/>
        <v>0</v>
      </c>
      <c r="N186" s="375">
        <f t="shared" si="63"/>
        <v>0</v>
      </c>
      <c r="O186" s="375">
        <f t="shared" si="63"/>
        <v>0</v>
      </c>
      <c r="P186" s="375">
        <f t="shared" si="63"/>
        <v>0</v>
      </c>
      <c r="Q186" s="375">
        <f t="shared" si="63"/>
        <v>0</v>
      </c>
      <c r="R186" s="375">
        <f t="shared" si="63"/>
        <v>0</v>
      </c>
      <c r="S186" s="375">
        <f t="shared" si="63"/>
        <v>0</v>
      </c>
      <c r="T186" s="375">
        <f t="shared" si="63"/>
        <v>0</v>
      </c>
      <c r="U186" s="375">
        <f t="shared" si="63"/>
        <v>0</v>
      </c>
      <c r="V186" s="375">
        <f t="shared" si="63"/>
        <v>0</v>
      </c>
      <c r="W186" s="375">
        <f t="shared" si="63"/>
        <v>0</v>
      </c>
      <c r="X186" s="375">
        <f t="shared" si="63"/>
        <v>0</v>
      </c>
      <c r="Y186" s="369"/>
    </row>
    <row r="187" spans="1:26" ht="13.5" thickBot="1" x14ac:dyDescent="0.25">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spans="1:26" ht="13.5" thickBot="1" x14ac:dyDescent="0.25">
      <c r="A188" s="361" t="s">
        <v>326</v>
      </c>
      <c r="B188" s="359">
        <f>ROW(A188)</f>
        <v>188</v>
      </c>
      <c r="C188" s="363" t="s">
        <v>115</v>
      </c>
      <c r="D188" s="353">
        <f>SUM(B191:Y191)</f>
        <v>75.254384000000016</v>
      </c>
      <c r="E188" s="363" t="s">
        <v>114</v>
      </c>
      <c r="F188" s="354">
        <f>D188/g/J188</f>
        <v>232.46033422914161</v>
      </c>
      <c r="G188" s="363" t="s">
        <v>56</v>
      </c>
      <c r="H188" s="64">
        <v>9.5000000000000001E-2</v>
      </c>
      <c r="I188" s="363" t="s">
        <v>271</v>
      </c>
      <c r="J188" s="355">
        <f>H188-L188</f>
        <v>3.3000000000000002E-2</v>
      </c>
      <c r="K188" s="363" t="s">
        <v>272</v>
      </c>
      <c r="L188" s="64">
        <f>0.095-0.033</f>
        <v>6.2E-2</v>
      </c>
      <c r="M188" s="363" t="s">
        <v>57</v>
      </c>
      <c r="N188" s="396">
        <v>66.5</v>
      </c>
      <c r="O188" s="363" t="s">
        <v>59</v>
      </c>
      <c r="P188" s="396">
        <v>66.5</v>
      </c>
      <c r="Q188" s="363" t="s">
        <v>60</v>
      </c>
      <c r="R188" s="65">
        <v>133</v>
      </c>
      <c r="S188" s="363" t="s">
        <v>61</v>
      </c>
      <c r="T188" s="65">
        <v>24</v>
      </c>
      <c r="U188" s="363" t="s">
        <v>54</v>
      </c>
      <c r="V188" s="66" t="s">
        <v>400</v>
      </c>
      <c r="W188" s="463" t="s">
        <v>394</v>
      </c>
      <c r="X188" s="465">
        <v>1.5</v>
      </c>
      <c r="Y188" s="463" t="s">
        <v>393</v>
      </c>
      <c r="Z188" s="358">
        <v>12</v>
      </c>
    </row>
    <row r="189" spans="1:26" x14ac:dyDescent="0.2">
      <c r="A189" s="362" t="s">
        <v>33</v>
      </c>
      <c r="B189" s="370">
        <v>0</v>
      </c>
      <c r="C189" s="371">
        <v>0.02</v>
      </c>
      <c r="D189" s="371">
        <v>3.1E-2</v>
      </c>
      <c r="E189" s="371">
        <v>6.2E-2</v>
      </c>
      <c r="F189" s="371">
        <v>0.11700000000000001</v>
      </c>
      <c r="G189" s="371">
        <v>1.2110000000000001</v>
      </c>
      <c r="H189" s="371">
        <v>1.3759999999999999</v>
      </c>
      <c r="I189" s="371">
        <v>1.456</v>
      </c>
      <c r="J189" s="371">
        <v>1.532</v>
      </c>
      <c r="K189" s="371">
        <v>1.577</v>
      </c>
      <c r="L189" s="371">
        <v>2</v>
      </c>
      <c r="M189" s="371">
        <v>2</v>
      </c>
      <c r="N189" s="371">
        <v>2</v>
      </c>
      <c r="O189" s="371">
        <v>2</v>
      </c>
      <c r="P189" s="371">
        <v>2</v>
      </c>
      <c r="Q189" s="371">
        <v>2</v>
      </c>
      <c r="R189" s="371">
        <v>2</v>
      </c>
      <c r="S189" s="371">
        <v>2</v>
      </c>
      <c r="T189" s="371">
        <v>2</v>
      </c>
      <c r="U189" s="371">
        <v>2</v>
      </c>
      <c r="V189" s="371">
        <v>2</v>
      </c>
      <c r="W189" s="371">
        <v>2</v>
      </c>
      <c r="X189" s="371">
        <f t="shared" ref="T189:X190" si="64">W189</f>
        <v>2</v>
      </c>
      <c r="Y189" s="381">
        <v>1000</v>
      </c>
    </row>
    <row r="190" spans="1:26" x14ac:dyDescent="0.2">
      <c r="A190" s="378" t="s">
        <v>34</v>
      </c>
      <c r="B190" s="372">
        <v>0</v>
      </c>
      <c r="C190" s="373">
        <v>75.924000000000007</v>
      </c>
      <c r="D190" s="373">
        <v>84.147999999999996</v>
      </c>
      <c r="E190" s="373">
        <v>70.441000000000003</v>
      </c>
      <c r="F190" s="373">
        <v>73.659000000000006</v>
      </c>
      <c r="G190" s="373">
        <v>38.737000000000002</v>
      </c>
      <c r="H190" s="373">
        <v>14.779</v>
      </c>
      <c r="I190" s="373">
        <v>7.2709999999999999</v>
      </c>
      <c r="J190" s="373">
        <v>3.3370000000000002</v>
      </c>
      <c r="K190" s="373">
        <v>0</v>
      </c>
      <c r="L190" s="373">
        <v>0</v>
      </c>
      <c r="M190" s="373">
        <v>0</v>
      </c>
      <c r="N190" s="373">
        <v>0</v>
      </c>
      <c r="O190" s="373">
        <v>0</v>
      </c>
      <c r="P190" s="373">
        <v>0</v>
      </c>
      <c r="Q190" s="373">
        <v>0</v>
      </c>
      <c r="R190" s="373">
        <v>0</v>
      </c>
      <c r="S190" s="373">
        <v>0</v>
      </c>
      <c r="T190" s="373">
        <f t="shared" si="64"/>
        <v>0</v>
      </c>
      <c r="U190" s="373">
        <f t="shared" si="64"/>
        <v>0</v>
      </c>
      <c r="V190" s="373">
        <f t="shared" si="64"/>
        <v>0</v>
      </c>
      <c r="W190" s="373">
        <f t="shared" si="64"/>
        <v>0</v>
      </c>
      <c r="X190" s="373">
        <f t="shared" si="64"/>
        <v>0</v>
      </c>
      <c r="Y190" s="382">
        <v>0</v>
      </c>
    </row>
    <row r="191" spans="1:26" ht="13.5" thickBot="1" x14ac:dyDescent="0.25">
      <c r="A191" s="379" t="s">
        <v>116</v>
      </c>
      <c r="B191" s="374">
        <f t="shared" ref="B191:V191" si="65">(C190+B190)*(C189-B189)/2</f>
        <v>0.75924000000000014</v>
      </c>
      <c r="C191" s="375">
        <f t="shared" si="65"/>
        <v>0.88039599999999996</v>
      </c>
      <c r="D191" s="375">
        <f t="shared" si="65"/>
        <v>2.3961294999999998</v>
      </c>
      <c r="E191" s="375">
        <f t="shared" si="65"/>
        <v>3.9627500000000011</v>
      </c>
      <c r="F191" s="375">
        <f t="shared" si="65"/>
        <v>61.480612000000015</v>
      </c>
      <c r="G191" s="375">
        <f t="shared" si="65"/>
        <v>4.4150699999999956</v>
      </c>
      <c r="H191" s="375">
        <f t="shared" si="65"/>
        <v>0.88200000000000078</v>
      </c>
      <c r="I191" s="375">
        <f t="shared" si="65"/>
        <v>0.40310400000000035</v>
      </c>
      <c r="J191" s="375">
        <f>(K190+J190)*(K189-J189)/2</f>
        <v>7.5082499999999885E-2</v>
      </c>
      <c r="K191" s="375">
        <f t="shared" si="65"/>
        <v>0</v>
      </c>
      <c r="L191" s="375">
        <f t="shared" si="65"/>
        <v>0</v>
      </c>
      <c r="M191" s="375">
        <f t="shared" si="65"/>
        <v>0</v>
      </c>
      <c r="N191" s="375">
        <f t="shared" si="65"/>
        <v>0</v>
      </c>
      <c r="O191" s="375">
        <f t="shared" si="65"/>
        <v>0</v>
      </c>
      <c r="P191" s="375">
        <f t="shared" si="65"/>
        <v>0</v>
      </c>
      <c r="Q191" s="375">
        <f t="shared" si="65"/>
        <v>0</v>
      </c>
      <c r="R191" s="375">
        <f t="shared" si="65"/>
        <v>0</v>
      </c>
      <c r="S191" s="375">
        <f>(T190+S190)*(T189-S189)/2</f>
        <v>0</v>
      </c>
      <c r="T191" s="375">
        <f t="shared" si="65"/>
        <v>0</v>
      </c>
      <c r="U191" s="375">
        <f t="shared" si="65"/>
        <v>0</v>
      </c>
      <c r="V191" s="375">
        <f t="shared" si="65"/>
        <v>0</v>
      </c>
      <c r="W191" s="375">
        <f>(X190+W190)*(X189-W189)/2</f>
        <v>0</v>
      </c>
      <c r="X191" s="375">
        <f>(Y190+X190)*(Y189-X189)/2</f>
        <v>0</v>
      </c>
      <c r="Y191" s="369"/>
    </row>
    <row r="192" spans="1:26" ht="13.5" thickBot="1" x14ac:dyDescent="0.25">
      <c r="A192" s="6" t="s">
        <v>373</v>
      </c>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spans="1:26" ht="13.5" thickBot="1" x14ac:dyDescent="0.25">
      <c r="A193" s="361" t="s">
        <v>535</v>
      </c>
      <c r="B193" s="359">
        <f>ROW(A193)</f>
        <v>193</v>
      </c>
      <c r="C193" s="363" t="s">
        <v>115</v>
      </c>
      <c r="D193" s="353">
        <f>SUM(B196:Y196)</f>
        <v>141.04999999999998</v>
      </c>
      <c r="E193" s="363" t="s">
        <v>114</v>
      </c>
      <c r="F193" s="354">
        <f>D193/g/J193</f>
        <v>186.24592648930721</v>
      </c>
      <c r="G193" s="363" t="s">
        <v>56</v>
      </c>
      <c r="H193" s="64">
        <v>0.16189999999999999</v>
      </c>
      <c r="I193" s="363" t="s">
        <v>271</v>
      </c>
      <c r="J193" s="355">
        <f>H193-L193</f>
        <v>7.7199999999999991E-2</v>
      </c>
      <c r="K193" s="363" t="s">
        <v>272</v>
      </c>
      <c r="L193" s="64">
        <v>8.4699999999999998E-2</v>
      </c>
      <c r="M193" s="363" t="s">
        <v>57</v>
      </c>
      <c r="N193" s="65">
        <v>114</v>
      </c>
      <c r="O193" s="363" t="s">
        <v>59</v>
      </c>
      <c r="P193" s="65">
        <v>114</v>
      </c>
      <c r="Q193" s="363" t="s">
        <v>60</v>
      </c>
      <c r="R193" s="65">
        <v>228</v>
      </c>
      <c r="S193" s="363" t="s">
        <v>61</v>
      </c>
      <c r="T193" s="65">
        <v>24</v>
      </c>
      <c r="U193" s="363" t="s">
        <v>54</v>
      </c>
      <c r="V193" s="66" t="s">
        <v>119</v>
      </c>
      <c r="W193" s="463" t="s">
        <v>394</v>
      </c>
      <c r="X193" s="465">
        <v>0.96</v>
      </c>
      <c r="Y193" s="463" t="s">
        <v>393</v>
      </c>
      <c r="Z193" s="358">
        <v>15</v>
      </c>
    </row>
    <row r="194" spans="1:26" x14ac:dyDescent="0.2">
      <c r="A194" s="362" t="s">
        <v>33</v>
      </c>
      <c r="B194" s="370">
        <v>0</v>
      </c>
      <c r="C194" s="371">
        <v>0.02</v>
      </c>
      <c r="D194" s="371">
        <v>0.03</v>
      </c>
      <c r="E194" s="371">
        <v>0.05</v>
      </c>
      <c r="F194" s="371">
        <v>0.6</v>
      </c>
      <c r="G194" s="371">
        <v>0.67</v>
      </c>
      <c r="H194" s="371">
        <v>0.7</v>
      </c>
      <c r="I194" s="371">
        <v>0.8</v>
      </c>
      <c r="J194" s="371">
        <v>0.9</v>
      </c>
      <c r="K194" s="371">
        <v>1.05</v>
      </c>
      <c r="L194" s="371">
        <f t="shared" ref="L194:W194" si="66">K194</f>
        <v>1.05</v>
      </c>
      <c r="M194" s="371">
        <f t="shared" si="66"/>
        <v>1.05</v>
      </c>
      <c r="N194" s="371">
        <f t="shared" si="66"/>
        <v>1.05</v>
      </c>
      <c r="O194" s="371">
        <f t="shared" si="66"/>
        <v>1.05</v>
      </c>
      <c r="P194" s="371">
        <f t="shared" si="66"/>
        <v>1.05</v>
      </c>
      <c r="Q194" s="371">
        <f t="shared" si="66"/>
        <v>1.05</v>
      </c>
      <c r="R194" s="371">
        <f t="shared" si="66"/>
        <v>1.05</v>
      </c>
      <c r="S194" s="371">
        <f t="shared" si="66"/>
        <v>1.05</v>
      </c>
      <c r="T194" s="371">
        <f t="shared" si="66"/>
        <v>1.05</v>
      </c>
      <c r="U194" s="371">
        <f t="shared" si="66"/>
        <v>1.05</v>
      </c>
      <c r="V194" s="371">
        <f t="shared" si="66"/>
        <v>1.05</v>
      </c>
      <c r="W194" s="371">
        <f t="shared" si="66"/>
        <v>1.05</v>
      </c>
      <c r="X194" s="371">
        <v>2</v>
      </c>
      <c r="Y194" s="381">
        <v>1000</v>
      </c>
    </row>
    <row r="195" spans="1:26" x14ac:dyDescent="0.2">
      <c r="A195" s="378" t="s">
        <v>34</v>
      </c>
      <c r="B195" s="372">
        <v>0</v>
      </c>
      <c r="C195" s="373">
        <v>350</v>
      </c>
      <c r="D195" s="373">
        <v>250</v>
      </c>
      <c r="E195" s="373">
        <v>210</v>
      </c>
      <c r="F195" s="373">
        <v>150</v>
      </c>
      <c r="G195" s="373">
        <v>140</v>
      </c>
      <c r="H195" s="373">
        <v>130</v>
      </c>
      <c r="I195" s="373">
        <v>65</v>
      </c>
      <c r="J195" s="373">
        <v>30</v>
      </c>
      <c r="K195" s="373">
        <v>0</v>
      </c>
      <c r="L195" s="373">
        <v>0</v>
      </c>
      <c r="M195" s="373">
        <v>0</v>
      </c>
      <c r="N195" s="373">
        <v>0</v>
      </c>
      <c r="O195" s="373">
        <v>0</v>
      </c>
      <c r="P195" s="373">
        <v>0</v>
      </c>
      <c r="Q195" s="373">
        <v>0</v>
      </c>
      <c r="R195" s="373">
        <v>0</v>
      </c>
      <c r="S195" s="373">
        <f t="shared" ref="S195:X195" si="67">R195</f>
        <v>0</v>
      </c>
      <c r="T195" s="373">
        <f t="shared" si="67"/>
        <v>0</v>
      </c>
      <c r="U195" s="373">
        <f t="shared" si="67"/>
        <v>0</v>
      </c>
      <c r="V195" s="373">
        <f t="shared" si="67"/>
        <v>0</v>
      </c>
      <c r="W195" s="373">
        <f t="shared" si="67"/>
        <v>0</v>
      </c>
      <c r="X195" s="373">
        <f t="shared" si="67"/>
        <v>0</v>
      </c>
      <c r="Y195" s="382">
        <v>0</v>
      </c>
    </row>
    <row r="196" spans="1:26" ht="13.5" thickBot="1" x14ac:dyDescent="0.25">
      <c r="A196" s="379" t="s">
        <v>116</v>
      </c>
      <c r="B196" s="374">
        <f t="shared" ref="B196:X196" si="68">(C195+B195)*(C194-B194)/2</f>
        <v>3.5</v>
      </c>
      <c r="C196" s="375">
        <f t="shared" si="68"/>
        <v>2.9999999999999996</v>
      </c>
      <c r="D196" s="375">
        <f t="shared" si="68"/>
        <v>4.6000000000000005</v>
      </c>
      <c r="E196" s="375">
        <f t="shared" si="68"/>
        <v>98.999999999999986</v>
      </c>
      <c r="F196" s="375">
        <f t="shared" si="68"/>
        <v>10.150000000000009</v>
      </c>
      <c r="G196" s="375">
        <f t="shared" si="68"/>
        <v>4.0499999999999883</v>
      </c>
      <c r="H196" s="375">
        <f t="shared" si="68"/>
        <v>9.7500000000000089</v>
      </c>
      <c r="I196" s="375">
        <f t="shared" si="68"/>
        <v>4.7499999999999991</v>
      </c>
      <c r="J196" s="375">
        <f t="shared" si="68"/>
        <v>2.2500000000000004</v>
      </c>
      <c r="K196" s="375">
        <f t="shared" si="68"/>
        <v>0</v>
      </c>
      <c r="L196" s="375">
        <f t="shared" si="68"/>
        <v>0</v>
      </c>
      <c r="M196" s="375">
        <f t="shared" si="68"/>
        <v>0</v>
      </c>
      <c r="N196" s="375">
        <f t="shared" si="68"/>
        <v>0</v>
      </c>
      <c r="O196" s="375">
        <f t="shared" si="68"/>
        <v>0</v>
      </c>
      <c r="P196" s="375">
        <f t="shared" si="68"/>
        <v>0</v>
      </c>
      <c r="Q196" s="375">
        <f t="shared" si="68"/>
        <v>0</v>
      </c>
      <c r="R196" s="375">
        <f t="shared" si="68"/>
        <v>0</v>
      </c>
      <c r="S196" s="375">
        <f t="shared" si="68"/>
        <v>0</v>
      </c>
      <c r="T196" s="375">
        <f t="shared" si="68"/>
        <v>0</v>
      </c>
      <c r="U196" s="375">
        <f t="shared" si="68"/>
        <v>0</v>
      </c>
      <c r="V196" s="375">
        <f t="shared" si="68"/>
        <v>0</v>
      </c>
      <c r="W196" s="375">
        <f t="shared" si="68"/>
        <v>0</v>
      </c>
      <c r="X196" s="375">
        <f t="shared" si="68"/>
        <v>0</v>
      </c>
      <c r="Y196" s="369"/>
    </row>
    <row r="197" spans="1:26" ht="13.5" thickBot="1" x14ac:dyDescent="0.25">
      <c r="A197" s="12" t="s">
        <v>544</v>
      </c>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spans="1:26" ht="13.5" thickBot="1" x14ac:dyDescent="0.25">
      <c r="A198" s="361" t="s">
        <v>547</v>
      </c>
      <c r="B198" s="359">
        <f>ROW(A198)</f>
        <v>198</v>
      </c>
      <c r="C198" s="363" t="s">
        <v>115</v>
      </c>
      <c r="D198" s="353">
        <f>SUM(B201:Y201)</f>
        <v>142.44</v>
      </c>
      <c r="E198" s="363" t="s">
        <v>114</v>
      </c>
      <c r="F198" s="354">
        <f>D198/g/J198</f>
        <v>192.06187401906058</v>
      </c>
      <c r="G198" s="363" t="s">
        <v>56</v>
      </c>
      <c r="H198" s="64">
        <v>0.15989999999999999</v>
      </c>
      <c r="I198" s="363" t="s">
        <v>271</v>
      </c>
      <c r="J198" s="355">
        <f>H198-L198</f>
        <v>7.5599999999999987E-2</v>
      </c>
      <c r="K198" s="363" t="s">
        <v>272</v>
      </c>
      <c r="L198" s="64">
        <v>8.43E-2</v>
      </c>
      <c r="M198" s="363" t="s">
        <v>57</v>
      </c>
      <c r="N198" s="65">
        <v>114</v>
      </c>
      <c r="O198" s="363" t="s">
        <v>59</v>
      </c>
      <c r="P198" s="65">
        <v>114</v>
      </c>
      <c r="Q198" s="363" t="s">
        <v>60</v>
      </c>
      <c r="R198" s="65">
        <v>228</v>
      </c>
      <c r="S198" s="363" t="s">
        <v>61</v>
      </c>
      <c r="T198" s="65">
        <v>24</v>
      </c>
      <c r="U198" s="363" t="s">
        <v>54</v>
      </c>
      <c r="V198" s="66" t="s">
        <v>401</v>
      </c>
      <c r="W198" s="463" t="s">
        <v>394</v>
      </c>
      <c r="X198" s="465">
        <v>0.97</v>
      </c>
      <c r="Y198" s="463" t="s">
        <v>393</v>
      </c>
      <c r="Z198" s="358">
        <v>13</v>
      </c>
    </row>
    <row r="199" spans="1:26" x14ac:dyDescent="0.2">
      <c r="A199" s="362" t="s">
        <v>33</v>
      </c>
      <c r="B199" s="370">
        <v>0</v>
      </c>
      <c r="C199" s="371">
        <v>0.02</v>
      </c>
      <c r="D199" s="371">
        <v>0.04</v>
      </c>
      <c r="E199" s="371">
        <v>0.62</v>
      </c>
      <c r="F199" s="371">
        <v>0.66</v>
      </c>
      <c r="G199" s="371">
        <v>0.68</v>
      </c>
      <c r="H199" s="371">
        <v>0.8</v>
      </c>
      <c r="I199" s="371">
        <v>0.84</v>
      </c>
      <c r="J199" s="371">
        <v>0.88</v>
      </c>
      <c r="K199" s="371">
        <v>0.92</v>
      </c>
      <c r="L199" s="371">
        <v>0.96</v>
      </c>
      <c r="M199" s="371">
        <v>1</v>
      </c>
      <c r="N199" s="371">
        <v>1.08</v>
      </c>
      <c r="O199" s="371">
        <v>2</v>
      </c>
      <c r="P199" s="371">
        <v>2</v>
      </c>
      <c r="Q199" s="371">
        <v>2</v>
      </c>
      <c r="R199" s="371">
        <v>2</v>
      </c>
      <c r="S199" s="371">
        <f t="shared" ref="S199:X200" si="69">R199</f>
        <v>2</v>
      </c>
      <c r="T199" s="371">
        <f t="shared" si="69"/>
        <v>2</v>
      </c>
      <c r="U199" s="371">
        <f t="shared" si="69"/>
        <v>2</v>
      </c>
      <c r="V199" s="371">
        <f t="shared" si="69"/>
        <v>2</v>
      </c>
      <c r="W199" s="371">
        <f t="shared" si="69"/>
        <v>2</v>
      </c>
      <c r="X199" s="371">
        <f t="shared" si="69"/>
        <v>2</v>
      </c>
      <c r="Y199" s="381">
        <v>1000</v>
      </c>
    </row>
    <row r="200" spans="1:26" x14ac:dyDescent="0.2">
      <c r="A200" s="378" t="s">
        <v>34</v>
      </c>
      <c r="B200" s="372">
        <v>0</v>
      </c>
      <c r="C200" s="373">
        <v>250</v>
      </c>
      <c r="D200" s="373">
        <v>210</v>
      </c>
      <c r="E200" s="373">
        <v>160</v>
      </c>
      <c r="F200" s="373">
        <v>150</v>
      </c>
      <c r="G200" s="373">
        <v>142</v>
      </c>
      <c r="H200" s="373">
        <v>62</v>
      </c>
      <c r="I200" s="373">
        <v>48</v>
      </c>
      <c r="J200" s="373">
        <v>34</v>
      </c>
      <c r="K200" s="373">
        <v>24</v>
      </c>
      <c r="L200" s="373">
        <v>15</v>
      </c>
      <c r="M200" s="373">
        <v>10</v>
      </c>
      <c r="N200" s="373">
        <v>0</v>
      </c>
      <c r="O200" s="373">
        <v>0</v>
      </c>
      <c r="P200" s="373">
        <v>0</v>
      </c>
      <c r="Q200" s="373">
        <v>0</v>
      </c>
      <c r="R200" s="373">
        <v>0</v>
      </c>
      <c r="S200" s="373">
        <f t="shared" si="69"/>
        <v>0</v>
      </c>
      <c r="T200" s="373">
        <f t="shared" si="69"/>
        <v>0</v>
      </c>
      <c r="U200" s="373">
        <f t="shared" si="69"/>
        <v>0</v>
      </c>
      <c r="V200" s="373">
        <f t="shared" si="69"/>
        <v>0</v>
      </c>
      <c r="W200" s="373">
        <f t="shared" si="69"/>
        <v>0</v>
      </c>
      <c r="X200" s="373">
        <f t="shared" si="69"/>
        <v>0</v>
      </c>
      <c r="Y200" s="382">
        <v>0</v>
      </c>
    </row>
    <row r="201" spans="1:26" ht="13.5" thickBot="1" x14ac:dyDescent="0.25">
      <c r="A201" s="379" t="s">
        <v>116</v>
      </c>
      <c r="B201" s="374">
        <f t="shared" ref="B201:X201" si="70">(C200+B200)*(C199-B199)/2</f>
        <v>2.5</v>
      </c>
      <c r="C201" s="375">
        <f t="shared" si="70"/>
        <v>4.6000000000000005</v>
      </c>
      <c r="D201" s="375">
        <f t="shared" si="70"/>
        <v>107.3</v>
      </c>
      <c r="E201" s="375">
        <f t="shared" si="70"/>
        <v>6.2000000000000055</v>
      </c>
      <c r="F201" s="375">
        <f t="shared" si="70"/>
        <v>2.9200000000000026</v>
      </c>
      <c r="G201" s="375">
        <f t="shared" si="70"/>
        <v>12.24</v>
      </c>
      <c r="H201" s="375">
        <f t="shared" si="70"/>
        <v>2.1999999999999957</v>
      </c>
      <c r="I201" s="375">
        <f t="shared" si="70"/>
        <v>1.6400000000000015</v>
      </c>
      <c r="J201" s="375">
        <f t="shared" si="70"/>
        <v>1.160000000000001</v>
      </c>
      <c r="K201" s="375">
        <f t="shared" si="70"/>
        <v>0.77999999999999847</v>
      </c>
      <c r="L201" s="375">
        <f t="shared" si="70"/>
        <v>0.50000000000000044</v>
      </c>
      <c r="M201" s="375">
        <f t="shared" si="70"/>
        <v>0.40000000000000036</v>
      </c>
      <c r="N201" s="375">
        <f t="shared" si="70"/>
        <v>0</v>
      </c>
      <c r="O201" s="375">
        <f t="shared" si="70"/>
        <v>0</v>
      </c>
      <c r="P201" s="375">
        <f t="shared" si="70"/>
        <v>0</v>
      </c>
      <c r="Q201" s="375">
        <f t="shared" si="70"/>
        <v>0</v>
      </c>
      <c r="R201" s="375">
        <f t="shared" si="70"/>
        <v>0</v>
      </c>
      <c r="S201" s="375">
        <f t="shared" si="70"/>
        <v>0</v>
      </c>
      <c r="T201" s="375">
        <f t="shared" si="70"/>
        <v>0</v>
      </c>
      <c r="U201" s="375">
        <f t="shared" si="70"/>
        <v>0</v>
      </c>
      <c r="V201" s="375">
        <f t="shared" si="70"/>
        <v>0</v>
      </c>
      <c r="W201" s="375">
        <f t="shared" si="70"/>
        <v>0</v>
      </c>
      <c r="X201" s="375">
        <f t="shared" si="70"/>
        <v>0</v>
      </c>
      <c r="Y201" s="369"/>
    </row>
    <row r="202" spans="1:26" ht="13.5" thickBot="1" x14ac:dyDescent="0.25">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spans="1:26" ht="13.5" thickBot="1" x14ac:dyDescent="0.25">
      <c r="A203" s="361" t="s">
        <v>537</v>
      </c>
      <c r="B203" s="359">
        <f>ROW(A203)</f>
        <v>203</v>
      </c>
      <c r="C203" s="363" t="s">
        <v>115</v>
      </c>
      <c r="D203" s="353">
        <f>SUM(B206:Y206)</f>
        <v>143.08845000000002</v>
      </c>
      <c r="E203" s="363" t="s">
        <v>114</v>
      </c>
      <c r="F203" s="354">
        <f>D203/g/J203</f>
        <v>168.23504721190514</v>
      </c>
      <c r="G203" s="363" t="s">
        <v>56</v>
      </c>
      <c r="H203" s="64">
        <v>0.17249999999999999</v>
      </c>
      <c r="I203" s="363" t="s">
        <v>271</v>
      </c>
      <c r="J203" s="355">
        <f>H203-L203</f>
        <v>8.6699999999999985E-2</v>
      </c>
      <c r="K203" s="363" t="s">
        <v>272</v>
      </c>
      <c r="L203" s="64">
        <v>8.5800000000000001E-2</v>
      </c>
      <c r="M203" s="363" t="s">
        <v>57</v>
      </c>
      <c r="N203" s="65">
        <v>114</v>
      </c>
      <c r="O203" s="363" t="s">
        <v>59</v>
      </c>
      <c r="P203" s="65">
        <v>114</v>
      </c>
      <c r="Q203" s="363" t="s">
        <v>60</v>
      </c>
      <c r="R203" s="65">
        <v>228</v>
      </c>
      <c r="S203" s="363" t="s">
        <v>61</v>
      </c>
      <c r="T203" s="65">
        <v>24</v>
      </c>
      <c r="U203" s="363" t="s">
        <v>54</v>
      </c>
      <c r="V203" s="66" t="s">
        <v>119</v>
      </c>
      <c r="W203" s="463" t="s">
        <v>394</v>
      </c>
      <c r="X203" s="465">
        <v>0.97</v>
      </c>
      <c r="Y203" s="463" t="s">
        <v>393</v>
      </c>
      <c r="Z203" s="358">
        <v>11</v>
      </c>
    </row>
    <row r="204" spans="1:26" x14ac:dyDescent="0.2">
      <c r="A204" s="362" t="s">
        <v>33</v>
      </c>
      <c r="B204" s="370">
        <v>0</v>
      </c>
      <c r="C204" s="371">
        <v>8.0000000000000002E-3</v>
      </c>
      <c r="D204" s="371">
        <v>1.2999999999999999E-2</v>
      </c>
      <c r="E204" s="371">
        <v>2.1999999999999999E-2</v>
      </c>
      <c r="F204" s="371">
        <v>3.5000000000000003E-2</v>
      </c>
      <c r="G204" s="371">
        <v>6.3E-2</v>
      </c>
      <c r="H204" s="371">
        <v>0.10299999999999999</v>
      </c>
      <c r="I204" s="371">
        <v>0.19600000000000001</v>
      </c>
      <c r="J204" s="371">
        <v>0.311</v>
      </c>
      <c r="K204" s="371">
        <v>0.47399999999999998</v>
      </c>
      <c r="L204" s="371">
        <v>0.56399999999999995</v>
      </c>
      <c r="M204" s="371">
        <v>0.76200000000000001</v>
      </c>
      <c r="N204" s="371">
        <v>0.85799999999999998</v>
      </c>
      <c r="O204" s="371">
        <v>0.92800000000000005</v>
      </c>
      <c r="P204" s="371">
        <v>1.038</v>
      </c>
      <c r="Q204" s="371">
        <v>1.08</v>
      </c>
      <c r="R204" s="371">
        <v>1.131</v>
      </c>
      <c r="S204" s="371">
        <v>1.1850000000000001</v>
      </c>
      <c r="T204" s="371">
        <v>1.224</v>
      </c>
      <c r="U204" s="371">
        <v>1.258</v>
      </c>
      <c r="V204" s="371">
        <v>1.4</v>
      </c>
      <c r="W204" s="371">
        <v>1.4410000000000001</v>
      </c>
      <c r="X204" s="371">
        <v>2</v>
      </c>
      <c r="Y204" s="381">
        <v>1000</v>
      </c>
    </row>
    <row r="205" spans="1:26" x14ac:dyDescent="0.2">
      <c r="A205" s="378" t="s">
        <v>34</v>
      </c>
      <c r="B205" s="372">
        <v>0</v>
      </c>
      <c r="C205" s="373">
        <v>168.643</v>
      </c>
      <c r="D205" s="373">
        <v>177.339</v>
      </c>
      <c r="E205" s="373">
        <v>177.86600000000001</v>
      </c>
      <c r="F205" s="373">
        <v>171.27799999999999</v>
      </c>
      <c r="G205" s="373">
        <v>157.839</v>
      </c>
      <c r="H205" s="373">
        <v>154.941</v>
      </c>
      <c r="I205" s="373">
        <v>148.88</v>
      </c>
      <c r="J205" s="373">
        <v>144.137</v>
      </c>
      <c r="K205" s="373">
        <v>138.07599999999999</v>
      </c>
      <c r="L205" s="373">
        <v>135.70500000000001</v>
      </c>
      <c r="M205" s="373">
        <v>125.955</v>
      </c>
      <c r="N205" s="373">
        <v>116.733</v>
      </c>
      <c r="O205" s="373">
        <v>101.71299999999999</v>
      </c>
      <c r="P205" s="373">
        <v>57.444000000000003</v>
      </c>
      <c r="Q205" s="373">
        <v>42.688000000000002</v>
      </c>
      <c r="R205" s="373">
        <v>31.884</v>
      </c>
      <c r="S205" s="373">
        <v>17.655000000000001</v>
      </c>
      <c r="T205" s="373">
        <v>9.4860000000000007</v>
      </c>
      <c r="U205" s="373">
        <v>5.27</v>
      </c>
      <c r="V205" s="373">
        <v>0.79100000000000004</v>
      </c>
      <c r="W205" s="373">
        <v>0</v>
      </c>
      <c r="X205" s="373">
        <f>W205</f>
        <v>0</v>
      </c>
      <c r="Y205" s="382">
        <v>0</v>
      </c>
    </row>
    <row r="206" spans="1:26" ht="13.5" thickBot="1" x14ac:dyDescent="0.25">
      <c r="A206" s="379" t="s">
        <v>116</v>
      </c>
      <c r="B206" s="374">
        <f t="shared" ref="B206:X206" si="71">(C205+B205)*(C204-B204)/2</f>
        <v>0.67457200000000006</v>
      </c>
      <c r="C206" s="375">
        <f t="shared" si="71"/>
        <v>0.86495499999999981</v>
      </c>
      <c r="D206" s="375">
        <f t="shared" si="71"/>
        <v>1.5984225000000001</v>
      </c>
      <c r="E206" s="375">
        <f t="shared" si="71"/>
        <v>2.2694360000000007</v>
      </c>
      <c r="F206" s="375">
        <f t="shared" si="71"/>
        <v>4.6076379999999988</v>
      </c>
      <c r="G206" s="375">
        <f t="shared" si="71"/>
        <v>6.2555999999999985</v>
      </c>
      <c r="H206" s="375">
        <f t="shared" si="71"/>
        <v>14.127676500000003</v>
      </c>
      <c r="I206" s="375">
        <f t="shared" si="71"/>
        <v>16.848477499999998</v>
      </c>
      <c r="J206" s="375">
        <f t="shared" si="71"/>
        <v>23.000359499999995</v>
      </c>
      <c r="K206" s="375">
        <f t="shared" si="71"/>
        <v>12.320144999999997</v>
      </c>
      <c r="L206" s="375">
        <f t="shared" si="71"/>
        <v>25.904340000000012</v>
      </c>
      <c r="M206" s="375">
        <f t="shared" si="71"/>
        <v>11.649023999999997</v>
      </c>
      <c r="N206" s="375">
        <f t="shared" si="71"/>
        <v>7.6456100000000067</v>
      </c>
      <c r="O206" s="375">
        <f t="shared" si="71"/>
        <v>8.7536349999999974</v>
      </c>
      <c r="P206" s="375">
        <f t="shared" si="71"/>
        <v>2.1027720000000021</v>
      </c>
      <c r="Q206" s="375">
        <f t="shared" si="71"/>
        <v>1.9015859999999976</v>
      </c>
      <c r="R206" s="375">
        <f t="shared" si="71"/>
        <v>1.3375530000000013</v>
      </c>
      <c r="S206" s="375">
        <f t="shared" si="71"/>
        <v>0.52924949999999904</v>
      </c>
      <c r="T206" s="375">
        <f t="shared" si="71"/>
        <v>0.25085200000000024</v>
      </c>
      <c r="U206" s="375">
        <f t="shared" si="71"/>
        <v>0.43033099999999969</v>
      </c>
      <c r="V206" s="375">
        <f t="shared" si="71"/>
        <v>1.621550000000006E-2</v>
      </c>
      <c r="W206" s="375">
        <f t="shared" si="71"/>
        <v>0</v>
      </c>
      <c r="X206" s="375">
        <f t="shared" si="71"/>
        <v>0</v>
      </c>
      <c r="Y206" s="369"/>
    </row>
    <row r="207" spans="1:26" ht="13.5" thickBot="1" x14ac:dyDescent="0.25">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spans="1:26" ht="13.5" thickBot="1" x14ac:dyDescent="0.25">
      <c r="A208" s="361" t="s">
        <v>536</v>
      </c>
      <c r="B208" s="359">
        <f>ROW(A208)</f>
        <v>208</v>
      </c>
      <c r="C208" s="363" t="s">
        <v>115</v>
      </c>
      <c r="D208" s="353">
        <f>SUM(B211:Y211)</f>
        <v>139.423417</v>
      </c>
      <c r="E208" s="363" t="s">
        <v>114</v>
      </c>
      <c r="F208" s="354">
        <f>D208/g/J208</f>
        <v>158.62027745922524</v>
      </c>
      <c r="G208" s="363" t="s">
        <v>56</v>
      </c>
      <c r="H208" s="64">
        <v>0.19450000000000001</v>
      </c>
      <c r="I208" s="363" t="s">
        <v>271</v>
      </c>
      <c r="J208" s="355">
        <f>H208-L208</f>
        <v>8.9600000000000013E-2</v>
      </c>
      <c r="K208" s="363" t="s">
        <v>272</v>
      </c>
      <c r="L208" s="64">
        <v>0.10489999999999999</v>
      </c>
      <c r="M208" s="363" t="s">
        <v>57</v>
      </c>
      <c r="N208" s="65">
        <v>114</v>
      </c>
      <c r="O208" s="363" t="s">
        <v>59</v>
      </c>
      <c r="P208" s="65">
        <v>144</v>
      </c>
      <c r="Q208" s="363" t="s">
        <v>60</v>
      </c>
      <c r="R208" s="65">
        <v>228</v>
      </c>
      <c r="S208" s="363" t="s">
        <v>61</v>
      </c>
      <c r="T208" s="65">
        <v>24</v>
      </c>
      <c r="U208" s="363" t="s">
        <v>54</v>
      </c>
      <c r="V208" s="66" t="s">
        <v>119</v>
      </c>
      <c r="W208" s="463" t="s">
        <v>394</v>
      </c>
      <c r="X208" s="465">
        <v>1.3</v>
      </c>
      <c r="Y208" s="463" t="s">
        <v>393</v>
      </c>
      <c r="Z208" s="358">
        <v>12</v>
      </c>
    </row>
    <row r="209" spans="1:26" x14ac:dyDescent="0.2">
      <c r="A209" s="362" t="s">
        <v>33</v>
      </c>
      <c r="B209" s="370">
        <v>0</v>
      </c>
      <c r="C209" s="371">
        <v>1.0999999999999999E-2</v>
      </c>
      <c r="D209" s="371">
        <v>2.1999999999999999E-2</v>
      </c>
      <c r="E209" s="371">
        <v>4.5999999999999999E-2</v>
      </c>
      <c r="F209" s="371">
        <v>8.1000000000000003E-2</v>
      </c>
      <c r="G209" s="371">
        <v>0.219</v>
      </c>
      <c r="H209" s="371">
        <v>0.253</v>
      </c>
      <c r="I209" s="371">
        <v>0.27400000000000002</v>
      </c>
      <c r="J209" s="371">
        <v>0.30499999999999999</v>
      </c>
      <c r="K209" s="371">
        <v>0.41199999999999998</v>
      </c>
      <c r="L209" s="371">
        <v>0.78900000000000003</v>
      </c>
      <c r="M209" s="371">
        <v>0.89900000000000002</v>
      </c>
      <c r="N209" s="371">
        <v>0.95299999999999996</v>
      </c>
      <c r="O209" s="371">
        <v>0.999</v>
      </c>
      <c r="P209" s="371">
        <v>1.03</v>
      </c>
      <c r="Q209" s="371">
        <v>1.0569999999999999</v>
      </c>
      <c r="R209" s="371">
        <v>1.1020000000000001</v>
      </c>
      <c r="S209" s="371">
        <v>1.1539999999999999</v>
      </c>
      <c r="T209" s="371">
        <v>1.1970000000000001</v>
      </c>
      <c r="U209" s="371">
        <v>1.2769999999999999</v>
      </c>
      <c r="V209" s="371">
        <v>1.335</v>
      </c>
      <c r="W209" s="371">
        <v>1.4510000000000001</v>
      </c>
      <c r="X209" s="371">
        <v>2</v>
      </c>
      <c r="Y209" s="381">
        <v>1000</v>
      </c>
    </row>
    <row r="210" spans="1:26" x14ac:dyDescent="0.2">
      <c r="A210" s="378" t="s">
        <v>34</v>
      </c>
      <c r="B210" s="372">
        <v>0</v>
      </c>
      <c r="C210" s="373">
        <v>198.41800000000001</v>
      </c>
      <c r="D210" s="373">
        <v>221.83500000000001</v>
      </c>
      <c r="E210" s="373">
        <v>212.65799999999999</v>
      </c>
      <c r="F210" s="373">
        <v>218.35400000000001</v>
      </c>
      <c r="G210" s="373">
        <v>204.43</v>
      </c>
      <c r="H210" s="373">
        <v>195.886</v>
      </c>
      <c r="I210" s="373">
        <v>183.54400000000001</v>
      </c>
      <c r="J210" s="373">
        <v>88.290999999999997</v>
      </c>
      <c r="K210" s="373">
        <v>93.671000000000006</v>
      </c>
      <c r="L210" s="373">
        <v>93.986999999999995</v>
      </c>
      <c r="M210" s="373">
        <v>91.138999999999996</v>
      </c>
      <c r="N210" s="373">
        <v>89.873000000000005</v>
      </c>
      <c r="O210" s="373">
        <v>87.025000000000006</v>
      </c>
      <c r="P210" s="373">
        <v>81.328999999999994</v>
      </c>
      <c r="Q210" s="373">
        <v>69.936999999999998</v>
      </c>
      <c r="R210" s="373">
        <v>54.113999999999997</v>
      </c>
      <c r="S210" s="373">
        <v>42.405000000000001</v>
      </c>
      <c r="T210" s="373">
        <v>31.646000000000001</v>
      </c>
      <c r="U210" s="373">
        <v>17.088999999999999</v>
      </c>
      <c r="V210" s="373">
        <v>9.81</v>
      </c>
      <c r="W210" s="373">
        <v>0</v>
      </c>
      <c r="X210" s="373">
        <v>0</v>
      </c>
      <c r="Y210" s="382">
        <v>0</v>
      </c>
    </row>
    <row r="211" spans="1:26" ht="13.5" thickBot="1" x14ac:dyDescent="0.25">
      <c r="A211" s="379" t="s">
        <v>116</v>
      </c>
      <c r="B211" s="374">
        <f t="shared" ref="B211:X211" si="72">(C210+B210)*(C209-B209)/2</f>
        <v>1.091299</v>
      </c>
      <c r="C211" s="375">
        <f t="shared" si="72"/>
        <v>2.3113915</v>
      </c>
      <c r="D211" s="375">
        <f t="shared" si="72"/>
        <v>5.2139160000000002</v>
      </c>
      <c r="E211" s="375">
        <f t="shared" si="72"/>
        <v>7.5427100000000005</v>
      </c>
      <c r="F211" s="375">
        <f t="shared" si="72"/>
        <v>29.172096000000003</v>
      </c>
      <c r="G211" s="375">
        <f t="shared" si="72"/>
        <v>6.8053720000000011</v>
      </c>
      <c r="H211" s="375">
        <f t="shared" si="72"/>
        <v>3.9840150000000034</v>
      </c>
      <c r="I211" s="375">
        <f t="shared" si="72"/>
        <v>4.2134424999999966</v>
      </c>
      <c r="J211" s="375">
        <f t="shared" si="72"/>
        <v>9.7349669999999975</v>
      </c>
      <c r="K211" s="375">
        <f t="shared" si="72"/>
        <v>35.373533000000009</v>
      </c>
      <c r="L211" s="375">
        <f t="shared" si="72"/>
        <v>10.181929999999998</v>
      </c>
      <c r="M211" s="375">
        <f t="shared" si="72"/>
        <v>4.8873239999999942</v>
      </c>
      <c r="N211" s="375">
        <f t="shared" si="72"/>
        <v>4.068654000000004</v>
      </c>
      <c r="O211" s="375">
        <f t="shared" si="72"/>
        <v>2.6094870000000019</v>
      </c>
      <c r="P211" s="375">
        <f t="shared" si="72"/>
        <v>2.0420909999999934</v>
      </c>
      <c r="Q211" s="375">
        <f t="shared" si="72"/>
        <v>2.791147500000009</v>
      </c>
      <c r="R211" s="375">
        <f t="shared" si="72"/>
        <v>2.5094939999999917</v>
      </c>
      <c r="S211" s="375">
        <f t="shared" si="72"/>
        <v>1.5920965000000056</v>
      </c>
      <c r="T211" s="375">
        <f t="shared" si="72"/>
        <v>1.9493999999999962</v>
      </c>
      <c r="U211" s="375">
        <f t="shared" si="72"/>
        <v>0.78007100000000074</v>
      </c>
      <c r="V211" s="375">
        <f t="shared" si="72"/>
        <v>0.56898000000000049</v>
      </c>
      <c r="W211" s="375">
        <f t="shared" si="72"/>
        <v>0</v>
      </c>
      <c r="X211" s="375">
        <f t="shared" si="72"/>
        <v>0</v>
      </c>
      <c r="Y211" s="369"/>
    </row>
    <row r="212" spans="1:26" ht="13.5" thickBot="1" x14ac:dyDescent="0.25">
      <c r="A212" s="6" t="s">
        <v>316</v>
      </c>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spans="1:26" ht="13.5" thickBot="1" x14ac:dyDescent="0.25">
      <c r="A213" s="361" t="s">
        <v>375</v>
      </c>
      <c r="B213" s="359">
        <f>ROW(A213)</f>
        <v>213</v>
      </c>
      <c r="C213" s="363" t="s">
        <v>115</v>
      </c>
      <c r="D213" s="353">
        <f>SUM(B216:Y216)</f>
        <v>82.798500000000018</v>
      </c>
      <c r="E213" s="363" t="s">
        <v>114</v>
      </c>
      <c r="F213" s="354">
        <f>D213/g/J213</f>
        <v>131.87834480122325</v>
      </c>
      <c r="G213" s="363" t="s">
        <v>56</v>
      </c>
      <c r="H213" s="64">
        <v>0.152</v>
      </c>
      <c r="I213" s="363" t="s">
        <v>271</v>
      </c>
      <c r="J213" s="355">
        <f>H213-L213</f>
        <v>6.4000000000000001E-2</v>
      </c>
      <c r="K213" s="363" t="s">
        <v>272</v>
      </c>
      <c r="L213" s="64">
        <v>8.7999999999999995E-2</v>
      </c>
      <c r="M213" s="363" t="s">
        <v>57</v>
      </c>
      <c r="N213" s="65">
        <v>71</v>
      </c>
      <c r="O213" s="363" t="s">
        <v>59</v>
      </c>
      <c r="P213" s="65">
        <v>71</v>
      </c>
      <c r="Q213" s="363" t="s">
        <v>60</v>
      </c>
      <c r="R213" s="65">
        <v>142</v>
      </c>
      <c r="S213" s="363" t="s">
        <v>61</v>
      </c>
      <c r="T213" s="65">
        <v>29</v>
      </c>
      <c r="U213" s="363" t="s">
        <v>54</v>
      </c>
      <c r="V213" s="66" t="s">
        <v>119</v>
      </c>
      <c r="W213" s="463" t="s">
        <v>394</v>
      </c>
      <c r="X213" s="465">
        <v>0.96</v>
      </c>
      <c r="Y213" s="463" t="s">
        <v>393</v>
      </c>
      <c r="Z213" s="358">
        <v>11</v>
      </c>
    </row>
    <row r="214" spans="1:26" x14ac:dyDescent="0.2">
      <c r="A214" s="362" t="s">
        <v>33</v>
      </c>
      <c r="B214" s="370">
        <v>0</v>
      </c>
      <c r="C214" s="371">
        <v>0.02</v>
      </c>
      <c r="D214" s="371">
        <v>0.03</v>
      </c>
      <c r="E214" s="371">
        <v>0.04</v>
      </c>
      <c r="F214" s="371">
        <v>0.06</v>
      </c>
      <c r="G214" s="371">
        <v>0.08</v>
      </c>
      <c r="H214" s="371">
        <v>0.15</v>
      </c>
      <c r="I214" s="371">
        <v>0.18</v>
      </c>
      <c r="J214" s="371">
        <v>0.2</v>
      </c>
      <c r="K214" s="371">
        <v>0.3</v>
      </c>
      <c r="L214" s="371">
        <v>0.4</v>
      </c>
      <c r="M214" s="371">
        <v>0.5</v>
      </c>
      <c r="N214" s="371">
        <v>0.6</v>
      </c>
      <c r="O214" s="371">
        <v>0.7</v>
      </c>
      <c r="P214" s="371">
        <v>0.82</v>
      </c>
      <c r="Q214" s="371">
        <v>0.93</v>
      </c>
      <c r="R214" s="371">
        <v>1</v>
      </c>
      <c r="S214" s="371">
        <f t="shared" ref="S214:X215" si="73">R214</f>
        <v>1</v>
      </c>
      <c r="T214" s="371">
        <f t="shared" si="73"/>
        <v>1</v>
      </c>
      <c r="U214" s="371">
        <f t="shared" si="73"/>
        <v>1</v>
      </c>
      <c r="V214" s="371">
        <f t="shared" si="73"/>
        <v>1</v>
      </c>
      <c r="W214" s="371">
        <f t="shared" si="73"/>
        <v>1</v>
      </c>
      <c r="X214" s="371">
        <v>2</v>
      </c>
      <c r="Y214" s="381">
        <v>1000</v>
      </c>
    </row>
    <row r="215" spans="1:26" x14ac:dyDescent="0.2">
      <c r="A215" s="378" t="s">
        <v>34</v>
      </c>
      <c r="B215" s="372">
        <v>0</v>
      </c>
      <c r="C215" s="373">
        <v>41.9</v>
      </c>
      <c r="D215" s="373">
        <v>92.1</v>
      </c>
      <c r="E215" s="373">
        <v>116.7</v>
      </c>
      <c r="F215" s="373">
        <v>112.7</v>
      </c>
      <c r="G215" s="373">
        <v>82.7</v>
      </c>
      <c r="H215" s="373">
        <v>84.7</v>
      </c>
      <c r="I215" s="373">
        <v>86.2</v>
      </c>
      <c r="J215" s="373">
        <v>87.9</v>
      </c>
      <c r="K215" s="373">
        <v>90.9</v>
      </c>
      <c r="L215" s="373">
        <v>93.9</v>
      </c>
      <c r="M215" s="373">
        <v>95.3</v>
      </c>
      <c r="N215" s="373">
        <v>96.8</v>
      </c>
      <c r="O215" s="373">
        <v>97.6</v>
      </c>
      <c r="P215" s="373">
        <v>108.2</v>
      </c>
      <c r="Q215" s="373">
        <v>11</v>
      </c>
      <c r="R215" s="373">
        <v>0</v>
      </c>
      <c r="S215" s="373">
        <f t="shared" si="73"/>
        <v>0</v>
      </c>
      <c r="T215" s="373">
        <f t="shared" si="73"/>
        <v>0</v>
      </c>
      <c r="U215" s="373">
        <f t="shared" si="73"/>
        <v>0</v>
      </c>
      <c r="V215" s="373">
        <f t="shared" si="73"/>
        <v>0</v>
      </c>
      <c r="W215" s="373">
        <f t="shared" si="73"/>
        <v>0</v>
      </c>
      <c r="X215" s="373">
        <f t="shared" si="73"/>
        <v>0</v>
      </c>
      <c r="Y215" s="382">
        <v>0</v>
      </c>
    </row>
    <row r="216" spans="1:26" ht="13.5" thickBot="1" x14ac:dyDescent="0.25">
      <c r="A216" s="379" t="s">
        <v>116</v>
      </c>
      <c r="B216" s="374">
        <f t="shared" ref="B216:V216" si="74">(C215+B215)*(C214-B214)/2</f>
        <v>0.41899999999999998</v>
      </c>
      <c r="C216" s="375">
        <f t="shared" si="74"/>
        <v>0.66999999999999993</v>
      </c>
      <c r="D216" s="375">
        <f t="shared" si="74"/>
        <v>1.0440000000000003</v>
      </c>
      <c r="E216" s="375">
        <f t="shared" si="74"/>
        <v>2.2939999999999996</v>
      </c>
      <c r="F216" s="375">
        <f t="shared" si="74"/>
        <v>1.9540000000000004</v>
      </c>
      <c r="G216" s="375">
        <f t="shared" si="74"/>
        <v>5.859</v>
      </c>
      <c r="H216" s="375">
        <f t="shared" si="74"/>
        <v>2.5634999999999999</v>
      </c>
      <c r="I216" s="375">
        <f t="shared" si="74"/>
        <v>1.7410000000000019</v>
      </c>
      <c r="J216" s="375">
        <f>(K215+J215)*(K214-J214)/2</f>
        <v>8.9399999999999977</v>
      </c>
      <c r="K216" s="375">
        <f t="shared" si="74"/>
        <v>9.2400000000000038</v>
      </c>
      <c r="L216" s="375">
        <f t="shared" si="74"/>
        <v>9.4599999999999973</v>
      </c>
      <c r="M216" s="375">
        <f t="shared" si="74"/>
        <v>9.6049999999999969</v>
      </c>
      <c r="N216" s="375">
        <f t="shared" si="74"/>
        <v>9.7199999999999971</v>
      </c>
      <c r="O216" s="375">
        <f t="shared" si="74"/>
        <v>12.348000000000001</v>
      </c>
      <c r="P216" s="375">
        <f t="shared" si="74"/>
        <v>6.5560000000000063</v>
      </c>
      <c r="Q216" s="375">
        <f t="shared" si="74"/>
        <v>0.38499999999999973</v>
      </c>
      <c r="R216" s="375">
        <f t="shared" si="74"/>
        <v>0</v>
      </c>
      <c r="S216" s="375">
        <f>(T215+S215)*(T214-S214)/2</f>
        <v>0</v>
      </c>
      <c r="T216" s="375">
        <f t="shared" si="74"/>
        <v>0</v>
      </c>
      <c r="U216" s="375">
        <f t="shared" si="74"/>
        <v>0</v>
      </c>
      <c r="V216" s="375">
        <f t="shared" si="74"/>
        <v>0</v>
      </c>
      <c r="W216" s="375">
        <f>(X215+W215)*(X214-W214)/2</f>
        <v>0</v>
      </c>
      <c r="X216" s="375">
        <f>(Y215+X215)*(Y214-X214)/2</f>
        <v>0</v>
      </c>
      <c r="Y216" s="369"/>
    </row>
    <row r="217" spans="1:26" ht="13.5" thickBot="1" x14ac:dyDescent="0.25">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spans="1:26" ht="13.5" thickBot="1" x14ac:dyDescent="0.25">
      <c r="A218" s="361" t="s">
        <v>376</v>
      </c>
      <c r="B218" s="359">
        <f>ROW(A218)</f>
        <v>218</v>
      </c>
      <c r="C218" s="363" t="s">
        <v>115</v>
      </c>
      <c r="D218" s="353">
        <f>SUM(B221:Y221)</f>
        <v>98.257101163036367</v>
      </c>
      <c r="E218" s="363" t="s">
        <v>114</v>
      </c>
      <c r="F218" s="354">
        <f>D218/g/J218</f>
        <v>177.58890761893778</v>
      </c>
      <c r="G218" s="363" t="s">
        <v>56</v>
      </c>
      <c r="H218" s="64">
        <v>0.14319999999999999</v>
      </c>
      <c r="I218" s="363" t="s">
        <v>271</v>
      </c>
      <c r="J218" s="355">
        <f>H218-L218</f>
        <v>5.6399999999999992E-2</v>
      </c>
      <c r="K218" s="363" t="s">
        <v>272</v>
      </c>
      <c r="L218" s="64">
        <v>8.6800000000000002E-2</v>
      </c>
      <c r="M218" s="363" t="s">
        <v>57</v>
      </c>
      <c r="N218" s="65">
        <v>71</v>
      </c>
      <c r="O218" s="363" t="s">
        <v>59</v>
      </c>
      <c r="P218" s="65">
        <v>71</v>
      </c>
      <c r="Q218" s="363" t="s">
        <v>60</v>
      </c>
      <c r="R218" s="65">
        <v>142</v>
      </c>
      <c r="S218" s="363" t="s">
        <v>61</v>
      </c>
      <c r="T218" s="65">
        <v>29</v>
      </c>
      <c r="U218" s="363" t="s">
        <v>54</v>
      </c>
      <c r="V218" s="66" t="s">
        <v>119</v>
      </c>
      <c r="W218" s="463" t="s">
        <v>394</v>
      </c>
      <c r="X218" s="465">
        <v>1.1499999999999999</v>
      </c>
      <c r="Y218" s="463" t="s">
        <v>393</v>
      </c>
      <c r="Z218" s="358">
        <v>14</v>
      </c>
    </row>
    <row r="219" spans="1:26" x14ac:dyDescent="0.2">
      <c r="A219" s="362" t="s">
        <v>33</v>
      </c>
      <c r="B219" s="370">
        <v>0</v>
      </c>
      <c r="C219" s="371">
        <v>1.4999999999999999E-2</v>
      </c>
      <c r="D219" s="371">
        <v>0.03</v>
      </c>
      <c r="E219" s="371">
        <v>4.4999999999999998E-2</v>
      </c>
      <c r="F219" s="371">
        <v>0.06</v>
      </c>
      <c r="G219" s="371">
        <v>7.4999999999999997E-2</v>
      </c>
      <c r="H219" s="371">
        <v>0.09</v>
      </c>
      <c r="I219" s="371">
        <v>0.105</v>
      </c>
      <c r="J219" s="371">
        <v>0.12</v>
      </c>
      <c r="K219" s="371">
        <v>0.18</v>
      </c>
      <c r="L219" s="371">
        <v>0.24</v>
      </c>
      <c r="M219" s="371">
        <v>0.3</v>
      </c>
      <c r="N219" s="371">
        <v>0.48</v>
      </c>
      <c r="O219" s="371">
        <v>0.6</v>
      </c>
      <c r="P219" s="371">
        <v>0.66</v>
      </c>
      <c r="Q219" s="371">
        <v>0.72</v>
      </c>
      <c r="R219" s="371">
        <v>0.78</v>
      </c>
      <c r="S219" s="371">
        <v>0.84</v>
      </c>
      <c r="T219" s="371">
        <v>0.9</v>
      </c>
      <c r="U219" s="371">
        <v>0.96</v>
      </c>
      <c r="V219" s="371">
        <v>1.0349999999999999</v>
      </c>
      <c r="W219" s="371">
        <v>1.2</v>
      </c>
      <c r="X219" s="371">
        <v>2</v>
      </c>
      <c r="Y219" s="381">
        <v>1000</v>
      </c>
    </row>
    <row r="220" spans="1:26" x14ac:dyDescent="0.2">
      <c r="A220" s="378" t="s">
        <v>34</v>
      </c>
      <c r="B220" s="372">
        <v>0</v>
      </c>
      <c r="C220" s="376">
        <v>99.328788958822486</v>
      </c>
      <c r="D220" s="376">
        <v>109.07039432469</v>
      </c>
      <c r="E220" s="376">
        <v>65.255411286427503</v>
      </c>
      <c r="F220" s="376">
        <v>67.568486533117493</v>
      </c>
      <c r="G220" s="376">
        <v>73.929443461515007</v>
      </c>
      <c r="H220" s="376">
        <v>74.329783408057494</v>
      </c>
      <c r="I220" s="376">
        <v>78.1552540083525</v>
      </c>
      <c r="J220" s="376">
        <v>78.600076171177506</v>
      </c>
      <c r="K220" s="376">
        <v>82.203135690059995</v>
      </c>
      <c r="L220" s="376">
        <v>84.516210936749999</v>
      </c>
      <c r="M220" s="376">
        <v>88.51961040217499</v>
      </c>
      <c r="N220" s="376">
        <v>95.102978411984992</v>
      </c>
      <c r="O220" s="376">
        <v>95.547800574809997</v>
      </c>
      <c r="P220" s="376">
        <v>94.480227384029988</v>
      </c>
      <c r="Q220" s="376">
        <v>92.122669921057494</v>
      </c>
      <c r="R220" s="376">
        <v>90.743721216299988</v>
      </c>
      <c r="S220" s="376">
        <v>88.964432564999996</v>
      </c>
      <c r="T220" s="376">
        <v>85.405855262399996</v>
      </c>
      <c r="U220" s="376">
        <v>83.448637745970004</v>
      </c>
      <c r="V220" s="376">
        <v>88.074788239349999</v>
      </c>
      <c r="W220" s="376">
        <v>0</v>
      </c>
      <c r="X220" s="373">
        <v>0</v>
      </c>
      <c r="Y220" s="382">
        <v>0</v>
      </c>
    </row>
    <row r="221" spans="1:26" ht="13.5" thickBot="1" x14ac:dyDescent="0.25">
      <c r="A221" s="379" t="s">
        <v>116</v>
      </c>
      <c r="B221" s="374">
        <f t="shared" ref="B221:V221" si="75">(C220+B220)*(C219-B219)/2</f>
        <v>0.74496591719116867</v>
      </c>
      <c r="C221" s="375">
        <f t="shared" si="75"/>
        <v>1.5629938746263436</v>
      </c>
      <c r="D221" s="375">
        <f t="shared" si="75"/>
        <v>1.3074435420833814</v>
      </c>
      <c r="E221" s="375">
        <f t="shared" si="75"/>
        <v>0.99617923364658734</v>
      </c>
      <c r="F221" s="375">
        <f t="shared" si="75"/>
        <v>1.0612344749597438</v>
      </c>
      <c r="G221" s="375">
        <f t="shared" si="75"/>
        <v>1.1119442015217937</v>
      </c>
      <c r="H221" s="375">
        <f t="shared" si="75"/>
        <v>1.1436377806230749</v>
      </c>
      <c r="I221" s="375">
        <f t="shared" si="75"/>
        <v>1.175664976346475</v>
      </c>
      <c r="J221" s="375">
        <f>(K220+J220)*(K219-J219)/2</f>
        <v>4.824096355837125</v>
      </c>
      <c r="K221" s="375">
        <f t="shared" si="75"/>
        <v>5.0015803988042995</v>
      </c>
      <c r="L221" s="375">
        <f t="shared" si="75"/>
        <v>5.1910746401677494</v>
      </c>
      <c r="M221" s="375">
        <f t="shared" si="75"/>
        <v>16.526032993274399</v>
      </c>
      <c r="N221" s="375">
        <f t="shared" si="75"/>
        <v>11.439046739207699</v>
      </c>
      <c r="O221" s="375">
        <f t="shared" si="75"/>
        <v>5.7008408387652043</v>
      </c>
      <c r="P221" s="375">
        <f t="shared" si="75"/>
        <v>5.5980869191526192</v>
      </c>
      <c r="Q221" s="375">
        <f t="shared" si="75"/>
        <v>5.4859917341207289</v>
      </c>
      <c r="R221" s="375">
        <f t="shared" si="75"/>
        <v>5.3912446134389942</v>
      </c>
      <c r="S221" s="375">
        <f>(T220+S220)*(T219-S219)/2</f>
        <v>5.2311086348220037</v>
      </c>
      <c r="T221" s="375">
        <f t="shared" si="75"/>
        <v>5.0656347902510959</v>
      </c>
      <c r="U221" s="375">
        <f t="shared" si="75"/>
        <v>6.4321284744494962</v>
      </c>
      <c r="V221" s="375">
        <f t="shared" si="75"/>
        <v>7.2661700297463767</v>
      </c>
      <c r="W221" s="375">
        <f>(X220+W220)*(X219-W219)/2</f>
        <v>0</v>
      </c>
      <c r="X221" s="375">
        <f>(Y220+X220)*(Y219-X219)/2</f>
        <v>0</v>
      </c>
      <c r="Y221" s="369"/>
    </row>
    <row r="222" spans="1:26" ht="13.5" thickBot="1" x14ac:dyDescent="0.25">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spans="1:26" ht="13.5" thickBot="1" x14ac:dyDescent="0.25">
      <c r="A223" s="361" t="s">
        <v>377</v>
      </c>
      <c r="B223" s="359">
        <f>ROW(A223)</f>
        <v>223</v>
      </c>
      <c r="C223" s="363" t="s">
        <v>115</v>
      </c>
      <c r="D223" s="353">
        <f>SUM(B226:Y226)</f>
        <v>109.60639850000001</v>
      </c>
      <c r="E223" s="363" t="s">
        <v>114</v>
      </c>
      <c r="F223" s="354">
        <f>D223/g/J223</f>
        <v>194.31174666489383</v>
      </c>
      <c r="G223" s="363" t="s">
        <v>56</v>
      </c>
      <c r="H223" s="64">
        <v>0.14130000000000001</v>
      </c>
      <c r="I223" s="363" t="s">
        <v>271</v>
      </c>
      <c r="J223" s="355">
        <f>H223-L223</f>
        <v>5.7500000000000009E-2</v>
      </c>
      <c r="K223" s="363" t="s">
        <v>272</v>
      </c>
      <c r="L223" s="64">
        <v>8.3799999999999999E-2</v>
      </c>
      <c r="M223" s="363" t="s">
        <v>57</v>
      </c>
      <c r="N223" s="65">
        <v>71</v>
      </c>
      <c r="O223" s="363" t="s">
        <v>59</v>
      </c>
      <c r="P223" s="65">
        <v>71</v>
      </c>
      <c r="Q223" s="363" t="s">
        <v>60</v>
      </c>
      <c r="R223" s="65">
        <v>142</v>
      </c>
      <c r="S223" s="363" t="s">
        <v>61</v>
      </c>
      <c r="T223" s="65">
        <v>29</v>
      </c>
      <c r="U223" s="363" t="s">
        <v>54</v>
      </c>
      <c r="V223" s="66" t="s">
        <v>401</v>
      </c>
      <c r="W223" s="463" t="s">
        <v>394</v>
      </c>
      <c r="X223" s="465">
        <v>0.45</v>
      </c>
      <c r="Y223" s="463" t="s">
        <v>393</v>
      </c>
      <c r="Z223" s="358">
        <v>14</v>
      </c>
    </row>
    <row r="224" spans="1:26" x14ac:dyDescent="0.2">
      <c r="A224" s="362" t="s">
        <v>33</v>
      </c>
      <c r="B224" s="370">
        <v>0</v>
      </c>
      <c r="C224" s="371">
        <v>6.0000000000000001E-3</v>
      </c>
      <c r="D224" s="371">
        <v>1.0999999999999999E-2</v>
      </c>
      <c r="E224" s="371">
        <v>1.6E-2</v>
      </c>
      <c r="F224" s="371">
        <v>3.1E-2</v>
      </c>
      <c r="G224" s="371">
        <v>7.4999999999999997E-2</v>
      </c>
      <c r="H224" s="371">
        <v>0.122</v>
      </c>
      <c r="I224" s="371">
        <v>0.216</v>
      </c>
      <c r="J224" s="371">
        <v>0.25</v>
      </c>
      <c r="K224" s="371">
        <v>0.28699999999999998</v>
      </c>
      <c r="L224" s="371">
        <v>0.35399999999999998</v>
      </c>
      <c r="M224" s="371">
        <v>0.374</v>
      </c>
      <c r="N224" s="371">
        <v>0.4</v>
      </c>
      <c r="O224" s="371">
        <v>0.41299999999999998</v>
      </c>
      <c r="P224" s="371">
        <v>0.42</v>
      </c>
      <c r="Q224" s="371">
        <v>0.433</v>
      </c>
      <c r="R224" s="371">
        <v>0.44500000000000001</v>
      </c>
      <c r="S224" s="371">
        <v>0.45400000000000001</v>
      </c>
      <c r="T224" s="371">
        <f t="shared" ref="T224:X225" si="76">S224</f>
        <v>0.45400000000000001</v>
      </c>
      <c r="U224" s="371">
        <f t="shared" si="76"/>
        <v>0.45400000000000001</v>
      </c>
      <c r="V224" s="371">
        <f t="shared" si="76"/>
        <v>0.45400000000000001</v>
      </c>
      <c r="W224" s="371">
        <f t="shared" si="76"/>
        <v>0.45400000000000001</v>
      </c>
      <c r="X224" s="371">
        <v>2</v>
      </c>
      <c r="Y224" s="381">
        <v>1000</v>
      </c>
    </row>
    <row r="225" spans="1:26" x14ac:dyDescent="0.2">
      <c r="A225" s="378" t="s">
        <v>34</v>
      </c>
      <c r="B225" s="372">
        <v>0</v>
      </c>
      <c r="C225" s="373">
        <v>151.62100000000001</v>
      </c>
      <c r="D225" s="373">
        <v>198.07900000000001</v>
      </c>
      <c r="E225" s="373">
        <v>203.12100000000001</v>
      </c>
      <c r="F225" s="373">
        <v>201.68100000000001</v>
      </c>
      <c r="G225" s="373">
        <v>226.17</v>
      </c>
      <c r="H225" s="373">
        <v>250.3</v>
      </c>
      <c r="I225" s="373">
        <v>280.19200000000001</v>
      </c>
      <c r="J225" s="373">
        <v>287.03500000000003</v>
      </c>
      <c r="K225" s="373">
        <v>284.87400000000002</v>
      </c>
      <c r="L225" s="373">
        <v>269.74799999999999</v>
      </c>
      <c r="M225" s="373">
        <v>258.58300000000003</v>
      </c>
      <c r="N225" s="373">
        <v>233.37299999999999</v>
      </c>
      <c r="O225" s="373">
        <v>234.09399999999999</v>
      </c>
      <c r="P225" s="373">
        <v>227.61099999999999</v>
      </c>
      <c r="Q225" s="373">
        <v>137.935</v>
      </c>
      <c r="R225" s="373">
        <v>33.853999999999999</v>
      </c>
      <c r="S225" s="373">
        <v>0</v>
      </c>
      <c r="T225" s="373">
        <f t="shared" si="76"/>
        <v>0</v>
      </c>
      <c r="U225" s="373">
        <f t="shared" si="76"/>
        <v>0</v>
      </c>
      <c r="V225" s="373">
        <f t="shared" si="76"/>
        <v>0</v>
      </c>
      <c r="W225" s="373">
        <f t="shared" si="76"/>
        <v>0</v>
      </c>
      <c r="X225" s="373">
        <f t="shared" si="76"/>
        <v>0</v>
      </c>
      <c r="Y225" s="382">
        <v>0</v>
      </c>
    </row>
    <row r="226" spans="1:26" ht="13.5" thickBot="1" x14ac:dyDescent="0.25">
      <c r="A226" s="379" t="s">
        <v>116</v>
      </c>
      <c r="B226" s="374">
        <f t="shared" ref="B226:X226" si="77">(C225+B225)*(C224-B224)/2</f>
        <v>0.45486300000000002</v>
      </c>
      <c r="C226" s="375">
        <f t="shared" si="77"/>
        <v>0.87424999999999997</v>
      </c>
      <c r="D226" s="375">
        <f t="shared" si="77"/>
        <v>1.0030000000000003</v>
      </c>
      <c r="E226" s="375">
        <f t="shared" si="77"/>
        <v>3.0360149999999999</v>
      </c>
      <c r="F226" s="375">
        <f t="shared" si="77"/>
        <v>9.4127219999999987</v>
      </c>
      <c r="G226" s="375">
        <f t="shared" si="77"/>
        <v>11.197045000000001</v>
      </c>
      <c r="H226" s="375">
        <f t="shared" si="77"/>
        <v>24.933123999999999</v>
      </c>
      <c r="I226" s="375">
        <f t="shared" si="77"/>
        <v>9.6428590000000014</v>
      </c>
      <c r="J226" s="375">
        <f t="shared" si="77"/>
        <v>10.580316499999995</v>
      </c>
      <c r="K226" s="375">
        <f t="shared" si="77"/>
        <v>18.579837000000005</v>
      </c>
      <c r="L226" s="375">
        <f t="shared" si="77"/>
        <v>5.2833100000000046</v>
      </c>
      <c r="M226" s="375">
        <f t="shared" si="77"/>
        <v>6.3954280000000061</v>
      </c>
      <c r="N226" s="375">
        <f t="shared" si="77"/>
        <v>3.0385354999999898</v>
      </c>
      <c r="O226" s="375">
        <f t="shared" si="77"/>
        <v>1.6159675000000013</v>
      </c>
      <c r="P226" s="375">
        <f t="shared" si="77"/>
        <v>2.3760490000000019</v>
      </c>
      <c r="Q226" s="375">
        <f t="shared" si="77"/>
        <v>1.0307340000000009</v>
      </c>
      <c r="R226" s="375">
        <f t="shared" si="77"/>
        <v>0.15234300000000014</v>
      </c>
      <c r="S226" s="375">
        <f t="shared" si="77"/>
        <v>0</v>
      </c>
      <c r="T226" s="375">
        <f t="shared" si="77"/>
        <v>0</v>
      </c>
      <c r="U226" s="375">
        <f t="shared" si="77"/>
        <v>0</v>
      </c>
      <c r="V226" s="375">
        <f t="shared" si="77"/>
        <v>0</v>
      </c>
      <c r="W226" s="375">
        <f t="shared" si="77"/>
        <v>0</v>
      </c>
      <c r="X226" s="375">
        <f t="shared" si="77"/>
        <v>0</v>
      </c>
      <c r="Y226" s="369"/>
    </row>
    <row r="227" spans="1:26" ht="13.5" thickBot="1" x14ac:dyDescent="0.25">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spans="1:26" ht="13.5" thickBot="1" x14ac:dyDescent="0.25">
      <c r="A228" s="361" t="s">
        <v>378</v>
      </c>
      <c r="B228" s="359">
        <f>ROW(A228)</f>
        <v>228</v>
      </c>
      <c r="C228" s="363" t="s">
        <v>115</v>
      </c>
      <c r="D228" s="353">
        <f>SUM(B231:Y231)</f>
        <v>115.63</v>
      </c>
      <c r="E228" s="363" t="s">
        <v>114</v>
      </c>
      <c r="F228" s="354">
        <f>D228/g/J228</f>
        <v>199.77884897804037</v>
      </c>
      <c r="G228" s="363" t="s">
        <v>56</v>
      </c>
      <c r="H228" s="64">
        <v>0.14499999999999999</v>
      </c>
      <c r="I228" s="363" t="s">
        <v>271</v>
      </c>
      <c r="J228" s="355">
        <f>H228-L228</f>
        <v>5.8999999999999997E-2</v>
      </c>
      <c r="K228" s="363" t="s">
        <v>272</v>
      </c>
      <c r="L228" s="64">
        <v>8.5999999999999993E-2</v>
      </c>
      <c r="M228" s="363" t="s">
        <v>57</v>
      </c>
      <c r="N228" s="65">
        <v>71</v>
      </c>
      <c r="O228" s="363" t="s">
        <v>59</v>
      </c>
      <c r="P228" s="65">
        <v>71</v>
      </c>
      <c r="Q228" s="363" t="s">
        <v>60</v>
      </c>
      <c r="R228" s="65">
        <v>142</v>
      </c>
      <c r="S228" s="363" t="s">
        <v>61</v>
      </c>
      <c r="T228" s="65">
        <v>29</v>
      </c>
      <c r="U228" s="363" t="s">
        <v>54</v>
      </c>
      <c r="V228" s="66" t="s">
        <v>400</v>
      </c>
      <c r="W228" s="463" t="s">
        <v>394</v>
      </c>
      <c r="X228" s="465">
        <v>0.93</v>
      </c>
      <c r="Y228" s="463" t="s">
        <v>393</v>
      </c>
      <c r="Z228" s="358">
        <v>13</v>
      </c>
    </row>
    <row r="229" spans="1:26" x14ac:dyDescent="0.2">
      <c r="A229" s="362" t="s">
        <v>33</v>
      </c>
      <c r="B229" s="370">
        <v>0</v>
      </c>
      <c r="C229" s="371">
        <v>0.01</v>
      </c>
      <c r="D229" s="371">
        <v>0.02</v>
      </c>
      <c r="E229" s="371">
        <v>0.03</v>
      </c>
      <c r="F229" s="371">
        <v>0.04</v>
      </c>
      <c r="G229" s="371">
        <v>0.05</v>
      </c>
      <c r="H229" s="371">
        <v>0.1</v>
      </c>
      <c r="I229" s="371">
        <v>0.2</v>
      </c>
      <c r="J229" s="371">
        <v>0.3</v>
      </c>
      <c r="K229" s="371">
        <v>0.4</v>
      </c>
      <c r="L229" s="371">
        <v>0.6</v>
      </c>
      <c r="M229" s="371">
        <v>0.75</v>
      </c>
      <c r="N229" s="371">
        <v>0.81</v>
      </c>
      <c r="O229" s="371">
        <v>0.86</v>
      </c>
      <c r="P229" s="371">
        <v>0.9</v>
      </c>
      <c r="Q229" s="371">
        <v>0.95</v>
      </c>
      <c r="R229" s="371">
        <v>1</v>
      </c>
      <c r="S229" s="371">
        <v>1</v>
      </c>
      <c r="T229" s="371">
        <v>1</v>
      </c>
      <c r="U229" s="371">
        <v>1</v>
      </c>
      <c r="V229" s="371">
        <v>1</v>
      </c>
      <c r="W229" s="371">
        <v>1</v>
      </c>
      <c r="X229" s="371">
        <v>2</v>
      </c>
      <c r="Y229" s="381">
        <v>1000</v>
      </c>
    </row>
    <row r="230" spans="1:26" x14ac:dyDescent="0.2">
      <c r="A230" s="378" t="s">
        <v>34</v>
      </c>
      <c r="B230" s="372">
        <v>0</v>
      </c>
      <c r="C230" s="376">
        <v>55</v>
      </c>
      <c r="D230" s="376">
        <v>168</v>
      </c>
      <c r="E230" s="376">
        <v>157</v>
      </c>
      <c r="F230" s="376">
        <v>148</v>
      </c>
      <c r="G230" s="376">
        <v>125</v>
      </c>
      <c r="H230" s="376">
        <v>135</v>
      </c>
      <c r="I230" s="376">
        <v>141</v>
      </c>
      <c r="J230" s="376">
        <v>142</v>
      </c>
      <c r="K230" s="376">
        <v>141</v>
      </c>
      <c r="L230" s="376">
        <v>133</v>
      </c>
      <c r="M230" s="376">
        <v>127</v>
      </c>
      <c r="N230" s="376">
        <v>128</v>
      </c>
      <c r="O230" s="376">
        <v>60</v>
      </c>
      <c r="P230" s="376">
        <v>15</v>
      </c>
      <c r="Q230" s="376">
        <v>0</v>
      </c>
      <c r="R230" s="376">
        <v>0</v>
      </c>
      <c r="S230" s="376">
        <v>0</v>
      </c>
      <c r="T230" s="376">
        <v>0</v>
      </c>
      <c r="U230" s="376">
        <v>0</v>
      </c>
      <c r="V230" s="376">
        <v>0</v>
      </c>
      <c r="W230" s="376">
        <v>0</v>
      </c>
      <c r="X230" s="373">
        <v>0</v>
      </c>
      <c r="Y230" s="382">
        <v>0</v>
      </c>
    </row>
    <row r="231" spans="1:26" ht="13.5" thickBot="1" x14ac:dyDescent="0.25">
      <c r="A231" s="379" t="s">
        <v>116</v>
      </c>
      <c r="B231" s="374">
        <f t="shared" ref="B231:X231" si="78">(C230+B230)*(C229-B229)/2</f>
        <v>0.27500000000000002</v>
      </c>
      <c r="C231" s="375">
        <f t="shared" si="78"/>
        <v>1.115</v>
      </c>
      <c r="D231" s="375">
        <f t="shared" si="78"/>
        <v>1.6249999999999998</v>
      </c>
      <c r="E231" s="375">
        <f t="shared" si="78"/>
        <v>1.5250000000000004</v>
      </c>
      <c r="F231" s="375">
        <f t="shared" si="78"/>
        <v>1.3650000000000002</v>
      </c>
      <c r="G231" s="375">
        <f t="shared" si="78"/>
        <v>6.5</v>
      </c>
      <c r="H231" s="375">
        <f t="shared" si="78"/>
        <v>13.8</v>
      </c>
      <c r="I231" s="375">
        <f t="shared" si="78"/>
        <v>14.149999999999997</v>
      </c>
      <c r="J231" s="375">
        <f t="shared" si="78"/>
        <v>14.150000000000004</v>
      </c>
      <c r="K231" s="375">
        <f t="shared" si="78"/>
        <v>27.399999999999995</v>
      </c>
      <c r="L231" s="375">
        <f t="shared" si="78"/>
        <v>19.500000000000004</v>
      </c>
      <c r="M231" s="375">
        <f t="shared" si="78"/>
        <v>7.6500000000000066</v>
      </c>
      <c r="N231" s="375">
        <f t="shared" si="78"/>
        <v>4.699999999999994</v>
      </c>
      <c r="O231" s="375">
        <f t="shared" si="78"/>
        <v>1.5000000000000013</v>
      </c>
      <c r="P231" s="375">
        <f t="shared" si="78"/>
        <v>0.3749999999999995</v>
      </c>
      <c r="Q231" s="375">
        <f t="shared" si="78"/>
        <v>0</v>
      </c>
      <c r="R231" s="375">
        <f t="shared" si="78"/>
        <v>0</v>
      </c>
      <c r="S231" s="375">
        <f t="shared" si="78"/>
        <v>0</v>
      </c>
      <c r="T231" s="375">
        <f t="shared" si="78"/>
        <v>0</v>
      </c>
      <c r="U231" s="375">
        <f t="shared" si="78"/>
        <v>0</v>
      </c>
      <c r="V231" s="375">
        <f t="shared" si="78"/>
        <v>0</v>
      </c>
      <c r="W231" s="375">
        <f t="shared" si="78"/>
        <v>0</v>
      </c>
      <c r="X231" s="375">
        <f t="shared" si="78"/>
        <v>0</v>
      </c>
      <c r="Y231" s="369"/>
    </row>
    <row r="232" spans="1:26" ht="13.5" thickBot="1" x14ac:dyDescent="0.25">
      <c r="A232" s="6" t="s">
        <v>386</v>
      </c>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spans="1:26" ht="13.5" thickBot="1" x14ac:dyDescent="0.25">
      <c r="A233" s="361" t="s">
        <v>387</v>
      </c>
      <c r="B233" s="359">
        <f>ROW(A233)</f>
        <v>233</v>
      </c>
      <c r="C233" s="363" t="s">
        <v>115</v>
      </c>
      <c r="D233" s="353">
        <f>SUM(B236:Y236)</f>
        <v>115.63</v>
      </c>
      <c r="E233" s="363" t="s">
        <v>114</v>
      </c>
      <c r="F233" s="354">
        <f>D233/g/J233</f>
        <v>125.39310733728064</v>
      </c>
      <c r="G233" s="363" t="s">
        <v>56</v>
      </c>
      <c r="H233" s="64">
        <v>0.2</v>
      </c>
      <c r="I233" s="363" t="s">
        <v>271</v>
      </c>
      <c r="J233" s="355">
        <f>H233-L233</f>
        <v>9.4000000000000014E-2</v>
      </c>
      <c r="K233" s="363" t="s">
        <v>272</v>
      </c>
      <c r="L233" s="64">
        <v>0.106</v>
      </c>
      <c r="M233" s="363" t="s">
        <v>57</v>
      </c>
      <c r="N233" s="65">
        <v>93</v>
      </c>
      <c r="O233" s="363" t="s">
        <v>59</v>
      </c>
      <c r="P233" s="65">
        <v>93</v>
      </c>
      <c r="Q233" s="363" t="s">
        <v>60</v>
      </c>
      <c r="R233" s="65">
        <v>187</v>
      </c>
      <c r="S233" s="363" t="s">
        <v>61</v>
      </c>
      <c r="T233" s="65">
        <v>29</v>
      </c>
      <c r="U233" s="363" t="s">
        <v>54</v>
      </c>
      <c r="V233" s="66" t="s">
        <v>119</v>
      </c>
      <c r="W233" s="463" t="s">
        <v>394</v>
      </c>
      <c r="X233" s="465">
        <v>0.96</v>
      </c>
      <c r="Y233" s="463" t="s">
        <v>393</v>
      </c>
      <c r="Z233" s="358">
        <v>14</v>
      </c>
    </row>
    <row r="234" spans="1:26" x14ac:dyDescent="0.2">
      <c r="A234" s="362" t="s">
        <v>33</v>
      </c>
      <c r="B234" s="370">
        <v>0</v>
      </c>
      <c r="C234" s="371">
        <v>0.01</v>
      </c>
      <c r="D234" s="371">
        <v>0.02</v>
      </c>
      <c r="E234" s="371">
        <v>0.03</v>
      </c>
      <c r="F234" s="371">
        <v>0.04</v>
      </c>
      <c r="G234" s="371">
        <v>0.05</v>
      </c>
      <c r="H234" s="371">
        <v>0.1</v>
      </c>
      <c r="I234" s="371">
        <v>0.2</v>
      </c>
      <c r="J234" s="371">
        <v>0.3</v>
      </c>
      <c r="K234" s="371">
        <v>0.4</v>
      </c>
      <c r="L234" s="371">
        <v>0.6</v>
      </c>
      <c r="M234" s="371">
        <v>0.75</v>
      </c>
      <c r="N234" s="371">
        <v>0.81</v>
      </c>
      <c r="O234" s="371">
        <v>0.86</v>
      </c>
      <c r="P234" s="371">
        <v>0.9</v>
      </c>
      <c r="Q234" s="371">
        <v>0.95</v>
      </c>
      <c r="R234" s="371">
        <v>1</v>
      </c>
      <c r="S234" s="371">
        <f t="shared" ref="S234:X235" si="79">R234</f>
        <v>1</v>
      </c>
      <c r="T234" s="371">
        <f t="shared" si="79"/>
        <v>1</v>
      </c>
      <c r="U234" s="371">
        <f t="shared" si="79"/>
        <v>1</v>
      </c>
      <c r="V234" s="371">
        <f t="shared" si="79"/>
        <v>1</v>
      </c>
      <c r="W234" s="371">
        <f t="shared" si="79"/>
        <v>1</v>
      </c>
      <c r="X234" s="371">
        <v>2</v>
      </c>
      <c r="Y234" s="381">
        <v>1000</v>
      </c>
    </row>
    <row r="235" spans="1:26" x14ac:dyDescent="0.2">
      <c r="A235" s="378" t="s">
        <v>34</v>
      </c>
      <c r="B235" s="372">
        <v>0</v>
      </c>
      <c r="C235" s="373">
        <v>55</v>
      </c>
      <c r="D235" s="373">
        <v>168</v>
      </c>
      <c r="E235" s="373">
        <v>157</v>
      </c>
      <c r="F235" s="373">
        <v>148</v>
      </c>
      <c r="G235" s="373">
        <v>125</v>
      </c>
      <c r="H235" s="373">
        <v>135</v>
      </c>
      <c r="I235" s="373">
        <v>141</v>
      </c>
      <c r="J235" s="373">
        <v>142</v>
      </c>
      <c r="K235" s="373">
        <v>141</v>
      </c>
      <c r="L235" s="373">
        <v>133</v>
      </c>
      <c r="M235" s="373">
        <v>127</v>
      </c>
      <c r="N235" s="373">
        <v>128</v>
      </c>
      <c r="O235" s="373">
        <v>60</v>
      </c>
      <c r="P235" s="373">
        <v>15</v>
      </c>
      <c r="Q235" s="373">
        <v>0</v>
      </c>
      <c r="R235" s="373">
        <v>0</v>
      </c>
      <c r="S235" s="373">
        <f t="shared" si="79"/>
        <v>0</v>
      </c>
      <c r="T235" s="373">
        <f t="shared" si="79"/>
        <v>0</v>
      </c>
      <c r="U235" s="373">
        <f t="shared" si="79"/>
        <v>0</v>
      </c>
      <c r="V235" s="373">
        <f t="shared" si="79"/>
        <v>0</v>
      </c>
      <c r="W235" s="373">
        <f t="shared" si="79"/>
        <v>0</v>
      </c>
      <c r="X235" s="373">
        <f t="shared" si="79"/>
        <v>0</v>
      </c>
      <c r="Y235" s="382">
        <v>0</v>
      </c>
    </row>
    <row r="236" spans="1:26" ht="13.5" thickBot="1" x14ac:dyDescent="0.25">
      <c r="A236" s="379" t="s">
        <v>116</v>
      </c>
      <c r="B236" s="374">
        <f t="shared" ref="B236:X236" si="80">(C235+B235)*(C234-B234)/2</f>
        <v>0.27500000000000002</v>
      </c>
      <c r="C236" s="375">
        <f t="shared" si="80"/>
        <v>1.115</v>
      </c>
      <c r="D236" s="375">
        <f t="shared" si="80"/>
        <v>1.6249999999999998</v>
      </c>
      <c r="E236" s="375">
        <f t="shared" si="80"/>
        <v>1.5250000000000004</v>
      </c>
      <c r="F236" s="375">
        <f t="shared" si="80"/>
        <v>1.3650000000000002</v>
      </c>
      <c r="G236" s="375">
        <f t="shared" si="80"/>
        <v>6.5</v>
      </c>
      <c r="H236" s="375">
        <f t="shared" si="80"/>
        <v>13.8</v>
      </c>
      <c r="I236" s="375">
        <f t="shared" si="80"/>
        <v>14.149999999999997</v>
      </c>
      <c r="J236" s="375">
        <f t="shared" si="80"/>
        <v>14.150000000000004</v>
      </c>
      <c r="K236" s="375">
        <f t="shared" si="80"/>
        <v>27.399999999999995</v>
      </c>
      <c r="L236" s="375">
        <f t="shared" si="80"/>
        <v>19.500000000000004</v>
      </c>
      <c r="M236" s="375">
        <f t="shared" si="80"/>
        <v>7.6500000000000066</v>
      </c>
      <c r="N236" s="375">
        <f t="shared" si="80"/>
        <v>4.699999999999994</v>
      </c>
      <c r="O236" s="375">
        <f t="shared" si="80"/>
        <v>1.5000000000000013</v>
      </c>
      <c r="P236" s="375">
        <f t="shared" si="80"/>
        <v>0.3749999999999995</v>
      </c>
      <c r="Q236" s="375">
        <f t="shared" si="80"/>
        <v>0</v>
      </c>
      <c r="R236" s="375">
        <f t="shared" si="80"/>
        <v>0</v>
      </c>
      <c r="S236" s="375">
        <f t="shared" si="80"/>
        <v>0</v>
      </c>
      <c r="T236" s="375">
        <f t="shared" si="80"/>
        <v>0</v>
      </c>
      <c r="U236" s="375">
        <f t="shared" si="80"/>
        <v>0</v>
      </c>
      <c r="V236" s="375">
        <f t="shared" si="80"/>
        <v>0</v>
      </c>
      <c r="W236" s="375">
        <f t="shared" si="80"/>
        <v>0</v>
      </c>
      <c r="X236" s="375">
        <f t="shared" si="80"/>
        <v>0</v>
      </c>
      <c r="Y236" s="369"/>
    </row>
    <row r="237" spans="1:26" ht="13.5" thickBot="1" x14ac:dyDescent="0.25">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spans="1:26" ht="13.5" thickBot="1" x14ac:dyDescent="0.25">
      <c r="A238" s="361" t="s">
        <v>392</v>
      </c>
      <c r="B238" s="359">
        <f>ROW(A238)</f>
        <v>238</v>
      </c>
      <c r="C238" s="363" t="s">
        <v>115</v>
      </c>
      <c r="D238" s="353">
        <f>SUM(B241:Y241)</f>
        <v>158.04815100000002</v>
      </c>
      <c r="E238" s="363" t="s">
        <v>114</v>
      </c>
      <c r="F238" s="354">
        <v>198</v>
      </c>
      <c r="G238" s="363" t="s">
        <v>56</v>
      </c>
      <c r="H238" s="64">
        <v>0.19450000000000001</v>
      </c>
      <c r="I238" s="363" t="s">
        <v>271</v>
      </c>
      <c r="J238" s="355">
        <f>H238-L238</f>
        <v>8.9600000000000013E-2</v>
      </c>
      <c r="K238" s="363" t="s">
        <v>272</v>
      </c>
      <c r="L238" s="64">
        <v>0.10489999999999999</v>
      </c>
      <c r="M238" s="363" t="s">
        <v>57</v>
      </c>
      <c r="N238" s="65">
        <v>93</v>
      </c>
      <c r="O238" s="363" t="s">
        <v>59</v>
      </c>
      <c r="P238" s="65">
        <v>93</v>
      </c>
      <c r="Q238" s="363" t="s">
        <v>60</v>
      </c>
      <c r="R238" s="65">
        <v>187</v>
      </c>
      <c r="S238" s="363" t="s">
        <v>61</v>
      </c>
      <c r="T238" s="65">
        <v>29</v>
      </c>
      <c r="U238" s="363" t="s">
        <v>54</v>
      </c>
      <c r="V238" s="66" t="s">
        <v>119</v>
      </c>
      <c r="W238" s="463" t="s">
        <v>394</v>
      </c>
      <c r="X238" s="465">
        <v>1.27</v>
      </c>
      <c r="Y238" s="463" t="s">
        <v>393</v>
      </c>
      <c r="Z238" s="358">
        <v>14</v>
      </c>
    </row>
    <row r="239" spans="1:26" x14ac:dyDescent="0.2">
      <c r="A239" s="362" t="s">
        <v>33</v>
      </c>
      <c r="B239" s="471">
        <v>0</v>
      </c>
      <c r="C239" s="471">
        <v>4.0000000000000001E-3</v>
      </c>
      <c r="D239" s="471">
        <v>2.1999999999999999E-2</v>
      </c>
      <c r="E239" s="471">
        <v>3.9E-2</v>
      </c>
      <c r="F239" s="471">
        <v>0.122</v>
      </c>
      <c r="G239" s="471">
        <v>0.23599999999999999</v>
      </c>
      <c r="H239" s="471">
        <v>0.58899999999999997</v>
      </c>
      <c r="I239" s="471">
        <v>0.80100000000000005</v>
      </c>
      <c r="J239" s="471">
        <v>1.0680000000000001</v>
      </c>
      <c r="K239" s="471">
        <v>1.1180000000000001</v>
      </c>
      <c r="L239" s="471">
        <v>1.145</v>
      </c>
      <c r="M239" s="471">
        <v>1.1739999999999999</v>
      </c>
      <c r="N239" s="471">
        <v>1.2110000000000001</v>
      </c>
      <c r="O239" s="471">
        <v>1.2470000000000001</v>
      </c>
      <c r="P239" s="471">
        <v>1.2989999999999999</v>
      </c>
      <c r="Q239" s="371">
        <v>2</v>
      </c>
      <c r="R239" s="371">
        <v>2</v>
      </c>
      <c r="S239" s="371">
        <f t="shared" ref="S239:X240" si="81">R239</f>
        <v>2</v>
      </c>
      <c r="T239" s="371">
        <f t="shared" si="81"/>
        <v>2</v>
      </c>
      <c r="U239" s="371">
        <f t="shared" si="81"/>
        <v>2</v>
      </c>
      <c r="V239" s="371">
        <f t="shared" si="81"/>
        <v>2</v>
      </c>
      <c r="W239" s="371">
        <f t="shared" si="81"/>
        <v>2</v>
      </c>
      <c r="X239" s="371">
        <f t="shared" si="81"/>
        <v>2</v>
      </c>
      <c r="Y239" s="381">
        <v>1000</v>
      </c>
    </row>
    <row r="240" spans="1:26" x14ac:dyDescent="0.2">
      <c r="A240" s="378" t="s">
        <v>34</v>
      </c>
      <c r="B240" s="471">
        <v>0</v>
      </c>
      <c r="C240" s="471">
        <v>15.683</v>
      </c>
      <c r="D240" s="471">
        <v>170.834</v>
      </c>
      <c r="E240" s="471">
        <v>116.877</v>
      </c>
      <c r="F240" s="471">
        <v>142.642</v>
      </c>
      <c r="G240" s="471">
        <v>149.73699999999999</v>
      </c>
      <c r="H240" s="471">
        <v>142.642</v>
      </c>
      <c r="I240" s="471">
        <v>131.25299999999999</v>
      </c>
      <c r="J240" s="471">
        <v>122.104</v>
      </c>
      <c r="K240" s="471">
        <v>107.91500000000001</v>
      </c>
      <c r="L240" s="471">
        <v>78.415999999999997</v>
      </c>
      <c r="M240" s="471">
        <v>43.128999999999998</v>
      </c>
      <c r="N240" s="471">
        <v>21.471</v>
      </c>
      <c r="O240" s="471">
        <v>8.7750000000000004</v>
      </c>
      <c r="P240" s="471">
        <v>0</v>
      </c>
      <c r="Q240" s="373">
        <v>0</v>
      </c>
      <c r="R240" s="373">
        <v>0</v>
      </c>
      <c r="S240" s="373">
        <f t="shared" si="81"/>
        <v>0</v>
      </c>
      <c r="T240" s="373">
        <f t="shared" si="81"/>
        <v>0</v>
      </c>
      <c r="U240" s="373">
        <f t="shared" si="81"/>
        <v>0</v>
      </c>
      <c r="V240" s="373">
        <f t="shared" si="81"/>
        <v>0</v>
      </c>
      <c r="W240" s="373">
        <f t="shared" si="81"/>
        <v>0</v>
      </c>
      <c r="X240" s="373">
        <f t="shared" si="81"/>
        <v>0</v>
      </c>
      <c r="Y240" s="382">
        <v>0</v>
      </c>
    </row>
    <row r="241" spans="1:26" ht="13.5" thickBot="1" x14ac:dyDescent="0.25">
      <c r="A241" s="379" t="s">
        <v>116</v>
      </c>
      <c r="B241" s="374">
        <f t="shared" ref="B241:X241" si="82">(C240+B240)*(C239-B239)/2</f>
        <v>3.1365999999999998E-2</v>
      </c>
      <c r="C241" s="375">
        <f t="shared" si="82"/>
        <v>1.6786529999999997</v>
      </c>
      <c r="D241" s="375">
        <f t="shared" si="82"/>
        <v>2.4455435000000003</v>
      </c>
      <c r="E241" s="375">
        <f t="shared" si="82"/>
        <v>10.770038499999998</v>
      </c>
      <c r="F241" s="375">
        <f t="shared" si="82"/>
        <v>16.665603000000001</v>
      </c>
      <c r="G241" s="375">
        <f t="shared" si="82"/>
        <v>51.604893500000003</v>
      </c>
      <c r="H241" s="375">
        <f t="shared" si="82"/>
        <v>29.03287000000001</v>
      </c>
      <c r="I241" s="375">
        <f t="shared" si="82"/>
        <v>33.823159499999996</v>
      </c>
      <c r="J241" s="375">
        <f t="shared" si="82"/>
        <v>5.7504750000000051</v>
      </c>
      <c r="K241" s="375">
        <f t="shared" si="82"/>
        <v>2.5154684999999923</v>
      </c>
      <c r="L241" s="375">
        <f t="shared" si="82"/>
        <v>1.7624024999999945</v>
      </c>
      <c r="M241" s="375">
        <f t="shared" si="82"/>
        <v>1.1951000000000045</v>
      </c>
      <c r="N241" s="375">
        <f t="shared" si="82"/>
        <v>0.54442800000000058</v>
      </c>
      <c r="O241" s="375">
        <f t="shared" si="82"/>
        <v>0.22814999999999924</v>
      </c>
      <c r="P241" s="375">
        <f t="shared" si="82"/>
        <v>0</v>
      </c>
      <c r="Q241" s="375">
        <f t="shared" si="82"/>
        <v>0</v>
      </c>
      <c r="R241" s="375">
        <f t="shared" si="82"/>
        <v>0</v>
      </c>
      <c r="S241" s="375">
        <f t="shared" si="82"/>
        <v>0</v>
      </c>
      <c r="T241" s="375">
        <f t="shared" si="82"/>
        <v>0</v>
      </c>
      <c r="U241" s="375">
        <f t="shared" si="82"/>
        <v>0</v>
      </c>
      <c r="V241" s="375">
        <f t="shared" si="82"/>
        <v>0</v>
      </c>
      <c r="W241" s="375">
        <f t="shared" si="82"/>
        <v>0</v>
      </c>
      <c r="X241" s="375">
        <f t="shared" si="82"/>
        <v>0</v>
      </c>
      <c r="Y241" s="369"/>
    </row>
    <row r="242" spans="1:26" ht="13.5" thickBot="1" x14ac:dyDescent="0.25">
      <c r="A242" s="6" t="s">
        <v>374</v>
      </c>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spans="1:26" ht="13.5" thickBot="1" x14ac:dyDescent="0.25">
      <c r="A243" s="361" t="s">
        <v>379</v>
      </c>
      <c r="B243" s="359">
        <f>ROW(A243)</f>
        <v>243</v>
      </c>
      <c r="C243" s="363" t="s">
        <v>115</v>
      </c>
      <c r="D243" s="353">
        <f>SUM(B246:Y246)</f>
        <v>136.75235000000001</v>
      </c>
      <c r="E243" s="363" t="s">
        <v>114</v>
      </c>
      <c r="F243" s="354">
        <f>D243/g/J243</f>
        <v>152.35078513616639</v>
      </c>
      <c r="G243" s="363" t="s">
        <v>56</v>
      </c>
      <c r="H243" s="64">
        <v>0.21249999999999999</v>
      </c>
      <c r="I243" s="363" t="s">
        <v>271</v>
      </c>
      <c r="J243" s="355">
        <f>H243-L243</f>
        <v>9.1499999999999998E-2</v>
      </c>
      <c r="K243" s="363" t="s">
        <v>272</v>
      </c>
      <c r="L243" s="64">
        <v>0.121</v>
      </c>
      <c r="M243" s="363" t="s">
        <v>57</v>
      </c>
      <c r="N243" s="65">
        <v>63</v>
      </c>
      <c r="O243" s="363" t="s">
        <v>59</v>
      </c>
      <c r="P243" s="65">
        <v>114</v>
      </c>
      <c r="Q243" s="363" t="s">
        <v>60</v>
      </c>
      <c r="R243" s="65">
        <v>127</v>
      </c>
      <c r="S243" s="363" t="s">
        <v>61</v>
      </c>
      <c r="T243" s="65">
        <v>38</v>
      </c>
      <c r="U243" s="363" t="s">
        <v>54</v>
      </c>
      <c r="V243" s="66" t="s">
        <v>119</v>
      </c>
      <c r="W243" s="463" t="s">
        <v>394</v>
      </c>
      <c r="X243" s="465">
        <v>2.36</v>
      </c>
      <c r="Y243" s="463" t="s">
        <v>393</v>
      </c>
      <c r="Z243" s="358">
        <v>13</v>
      </c>
    </row>
    <row r="244" spans="1:26" x14ac:dyDescent="0.2">
      <c r="A244" s="362" t="s">
        <v>33</v>
      </c>
      <c r="B244" s="370">
        <v>0</v>
      </c>
      <c r="C244" s="371">
        <v>2.9000000000000001E-2</v>
      </c>
      <c r="D244" s="371">
        <v>4.5999999999999999E-2</v>
      </c>
      <c r="E244" s="371">
        <v>5.8000000000000003E-2</v>
      </c>
      <c r="F244" s="371">
        <v>8.4000000000000005E-2</v>
      </c>
      <c r="G244" s="371">
        <v>0.17100000000000001</v>
      </c>
      <c r="H244" s="371">
        <v>0.28000000000000003</v>
      </c>
      <c r="I244" s="371">
        <v>0.45500000000000002</v>
      </c>
      <c r="J244" s="371">
        <v>0.58599999999999997</v>
      </c>
      <c r="K244" s="371">
        <v>0.74099999999999999</v>
      </c>
      <c r="L244" s="371">
        <v>0.95199999999999996</v>
      </c>
      <c r="M244" s="371">
        <v>1.2170000000000001</v>
      </c>
      <c r="N244" s="371">
        <v>1.43</v>
      </c>
      <c r="O244" s="371">
        <v>1.6259999999999999</v>
      </c>
      <c r="P244" s="371">
        <v>1.8069999999999999</v>
      </c>
      <c r="Q244" s="371">
        <v>1.9590000000000001</v>
      </c>
      <c r="R244" s="371">
        <v>2.1040000000000001</v>
      </c>
      <c r="S244" s="371">
        <v>2.1680000000000001</v>
      </c>
      <c r="T244" s="371">
        <v>2.21</v>
      </c>
      <c r="U244" s="371">
        <v>2.2469999999999999</v>
      </c>
      <c r="V244" s="371">
        <v>2.3290000000000002</v>
      </c>
      <c r="W244" s="371">
        <f>2.4</f>
        <v>2.4</v>
      </c>
      <c r="X244" s="371">
        <f>W244</f>
        <v>2.4</v>
      </c>
      <c r="Y244" s="381">
        <v>1000</v>
      </c>
    </row>
    <row r="245" spans="1:26" x14ac:dyDescent="0.2">
      <c r="A245" s="378" t="s">
        <v>34</v>
      </c>
      <c r="B245" s="372">
        <v>0</v>
      </c>
      <c r="C245" s="373">
        <v>90.25</v>
      </c>
      <c r="D245" s="373">
        <v>69.17</v>
      </c>
      <c r="E245" s="373">
        <v>59.947000000000003</v>
      </c>
      <c r="F245" s="373">
        <v>47.167000000000002</v>
      </c>
      <c r="G245" s="373">
        <v>57.970999999999997</v>
      </c>
      <c r="H245" s="373">
        <v>59.552</v>
      </c>
      <c r="I245" s="373">
        <v>61.265000000000001</v>
      </c>
      <c r="J245" s="373">
        <v>61.66</v>
      </c>
      <c r="K245" s="373">
        <v>62.319000000000003</v>
      </c>
      <c r="L245" s="373">
        <v>63.768000000000001</v>
      </c>
      <c r="M245" s="373">
        <v>64.69</v>
      </c>
      <c r="N245" s="373">
        <v>63.768000000000001</v>
      </c>
      <c r="O245" s="373">
        <v>61.265000000000001</v>
      </c>
      <c r="P245" s="373">
        <v>58.103000000000002</v>
      </c>
      <c r="Q245" s="373">
        <v>53.887</v>
      </c>
      <c r="R245" s="373">
        <v>48.353000000000002</v>
      </c>
      <c r="S245" s="373">
        <v>47.563000000000002</v>
      </c>
      <c r="T245" s="373">
        <v>44.005000000000003</v>
      </c>
      <c r="U245" s="373">
        <v>37.286000000000001</v>
      </c>
      <c r="V245" s="373">
        <v>22.265999999999998</v>
      </c>
      <c r="W245" s="373">
        <v>0</v>
      </c>
      <c r="X245" s="373">
        <f>W245</f>
        <v>0</v>
      </c>
      <c r="Y245" s="382">
        <v>0</v>
      </c>
    </row>
    <row r="246" spans="1:26" ht="13.5" thickBot="1" x14ac:dyDescent="0.25">
      <c r="A246" s="379" t="s">
        <v>116</v>
      </c>
      <c r="B246" s="374">
        <f t="shared" ref="B246:X246" si="83">(C245+B245)*(C244-B244)/2</f>
        <v>1.3086250000000001</v>
      </c>
      <c r="C246" s="375">
        <f t="shared" si="83"/>
        <v>1.35507</v>
      </c>
      <c r="D246" s="375">
        <f t="shared" si="83"/>
        <v>0.77470200000000033</v>
      </c>
      <c r="E246" s="375">
        <f t="shared" si="83"/>
        <v>1.3924820000000002</v>
      </c>
      <c r="F246" s="375">
        <f t="shared" si="83"/>
        <v>4.5735030000000005</v>
      </c>
      <c r="G246" s="375">
        <f t="shared" si="83"/>
        <v>6.4050035000000003</v>
      </c>
      <c r="H246" s="375">
        <f t="shared" si="83"/>
        <v>10.5714875</v>
      </c>
      <c r="I246" s="375">
        <f t="shared" si="83"/>
        <v>8.0515874999999966</v>
      </c>
      <c r="J246" s="375">
        <f t="shared" si="83"/>
        <v>9.6083725000000015</v>
      </c>
      <c r="K246" s="375">
        <f t="shared" si="83"/>
        <v>13.302178499999998</v>
      </c>
      <c r="L246" s="375">
        <f t="shared" si="83"/>
        <v>17.020685000000007</v>
      </c>
      <c r="M246" s="375">
        <f t="shared" si="83"/>
        <v>13.68077699999999</v>
      </c>
      <c r="N246" s="375">
        <f t="shared" si="83"/>
        <v>12.253233999999997</v>
      </c>
      <c r="O246" s="375">
        <f t="shared" si="83"/>
        <v>10.802804000000002</v>
      </c>
      <c r="P246" s="375">
        <f t="shared" si="83"/>
        <v>8.5112400000000079</v>
      </c>
      <c r="Q246" s="375">
        <f t="shared" si="83"/>
        <v>7.4124000000000017</v>
      </c>
      <c r="R246" s="375">
        <f t="shared" si="83"/>
        <v>3.0693120000000027</v>
      </c>
      <c r="S246" s="375">
        <f t="shared" si="83"/>
        <v>1.9229279999999918</v>
      </c>
      <c r="T246" s="375">
        <f t="shared" si="83"/>
        <v>1.5038834999999968</v>
      </c>
      <c r="U246" s="375">
        <f t="shared" si="83"/>
        <v>2.4416320000000087</v>
      </c>
      <c r="V246" s="375">
        <f t="shared" si="83"/>
        <v>0.7904429999999969</v>
      </c>
      <c r="W246" s="375">
        <f t="shared" si="83"/>
        <v>0</v>
      </c>
      <c r="X246" s="375">
        <f t="shared" si="83"/>
        <v>0</v>
      </c>
      <c r="Y246" s="369"/>
    </row>
    <row r="247" spans="1:26" ht="13.5" thickBot="1" x14ac:dyDescent="0.25">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spans="1:26" ht="13.5" thickBot="1" x14ac:dyDescent="0.25">
      <c r="A248" s="361" t="s">
        <v>380</v>
      </c>
      <c r="B248" s="359">
        <f>ROW(A248)</f>
        <v>248</v>
      </c>
      <c r="C248" s="363" t="s">
        <v>115</v>
      </c>
      <c r="D248" s="353">
        <f>SUM(B251:Y251)</f>
        <v>127.06944999999999</v>
      </c>
      <c r="E248" s="363" t="s">
        <v>114</v>
      </c>
      <c r="F248" s="354">
        <f>D248/g/J248</f>
        <v>180.65624835614466</v>
      </c>
      <c r="G248" s="363" t="s">
        <v>56</v>
      </c>
      <c r="H248" s="64">
        <v>0.18840000000000001</v>
      </c>
      <c r="I248" s="363" t="s">
        <v>271</v>
      </c>
      <c r="J248" s="355">
        <f>H248-L248</f>
        <v>7.1700000000000014E-2</v>
      </c>
      <c r="K248" s="363" t="s">
        <v>272</v>
      </c>
      <c r="L248" s="64">
        <v>0.1167</v>
      </c>
      <c r="M248" s="363" t="s">
        <v>57</v>
      </c>
      <c r="N248" s="65">
        <v>63</v>
      </c>
      <c r="O248" s="363" t="s">
        <v>59</v>
      </c>
      <c r="P248" s="65">
        <v>114</v>
      </c>
      <c r="Q248" s="363" t="s">
        <v>60</v>
      </c>
      <c r="R248" s="65">
        <v>127</v>
      </c>
      <c r="S248" s="363" t="s">
        <v>61</v>
      </c>
      <c r="T248" s="65">
        <v>38</v>
      </c>
      <c r="U248" s="363" t="s">
        <v>54</v>
      </c>
      <c r="V248" s="66" t="s">
        <v>119</v>
      </c>
      <c r="W248" s="463" t="s">
        <v>394</v>
      </c>
      <c r="X248" s="465">
        <v>0.69</v>
      </c>
      <c r="Y248" s="463" t="s">
        <v>393</v>
      </c>
      <c r="Z248" s="358">
        <v>12</v>
      </c>
    </row>
    <row r="249" spans="1:26" x14ac:dyDescent="0.2">
      <c r="A249" s="362" t="s">
        <v>33</v>
      </c>
      <c r="B249" s="370">
        <v>0</v>
      </c>
      <c r="C249" s="371">
        <v>0.01</v>
      </c>
      <c r="D249" s="371">
        <v>0.02</v>
      </c>
      <c r="E249" s="371">
        <v>0.05</v>
      </c>
      <c r="F249" s="371">
        <v>0.1</v>
      </c>
      <c r="G249" s="371">
        <v>0.2</v>
      </c>
      <c r="H249" s="371">
        <v>0.3</v>
      </c>
      <c r="I249" s="371">
        <v>0.35</v>
      </c>
      <c r="J249" s="371">
        <v>0.4</v>
      </c>
      <c r="K249" s="371">
        <v>0.45</v>
      </c>
      <c r="L249" s="371">
        <v>0.5</v>
      </c>
      <c r="M249" s="371">
        <v>0.55000000000000004</v>
      </c>
      <c r="N249" s="371">
        <v>0.6</v>
      </c>
      <c r="O249" s="371">
        <v>0.61</v>
      </c>
      <c r="P249" s="371">
        <v>0.63</v>
      </c>
      <c r="Q249" s="371">
        <v>0.64</v>
      </c>
      <c r="R249" s="371">
        <v>0.65</v>
      </c>
      <c r="S249" s="371">
        <v>0.67</v>
      </c>
      <c r="T249" s="371">
        <v>0.68</v>
      </c>
      <c r="U249" s="371">
        <v>0.69</v>
      </c>
      <c r="V249" s="371">
        <f t="shared" ref="V249:X250" si="84">U249</f>
        <v>0.69</v>
      </c>
      <c r="W249" s="371">
        <f t="shared" si="84"/>
        <v>0.69</v>
      </c>
      <c r="X249" s="371">
        <v>2</v>
      </c>
      <c r="Y249" s="381">
        <v>1000</v>
      </c>
    </row>
    <row r="250" spans="1:26" x14ac:dyDescent="0.2">
      <c r="A250" s="378" t="s">
        <v>34</v>
      </c>
      <c r="B250" s="372">
        <v>0</v>
      </c>
      <c r="C250" s="373">
        <v>108.72</v>
      </c>
      <c r="D250" s="373">
        <v>131.19</v>
      </c>
      <c r="E250" s="373">
        <v>153.13999999999999</v>
      </c>
      <c r="F250" s="373">
        <v>168.97</v>
      </c>
      <c r="G250" s="373">
        <v>189.92</v>
      </c>
      <c r="H250" s="373">
        <v>199.95</v>
      </c>
      <c r="I250" s="373">
        <v>203.59</v>
      </c>
      <c r="J250" s="373">
        <v>205.03</v>
      </c>
      <c r="K250" s="373">
        <v>202.6</v>
      </c>
      <c r="L250" s="373">
        <v>203.06</v>
      </c>
      <c r="M250" s="373">
        <v>199.34</v>
      </c>
      <c r="N250" s="373">
        <v>194.71</v>
      </c>
      <c r="O250" s="373">
        <v>194.1</v>
      </c>
      <c r="P250" s="373">
        <v>193.49</v>
      </c>
      <c r="Q250" s="373">
        <v>193.68</v>
      </c>
      <c r="R250" s="373">
        <v>202.91</v>
      </c>
      <c r="S250" s="373">
        <v>163.38999999999999</v>
      </c>
      <c r="T250" s="373">
        <v>80.44</v>
      </c>
      <c r="U250" s="373">
        <v>0</v>
      </c>
      <c r="V250" s="373">
        <f t="shared" si="84"/>
        <v>0</v>
      </c>
      <c r="W250" s="373">
        <f t="shared" si="84"/>
        <v>0</v>
      </c>
      <c r="X250" s="373">
        <f t="shared" si="84"/>
        <v>0</v>
      </c>
      <c r="Y250" s="382">
        <v>0</v>
      </c>
    </row>
    <row r="251" spans="1:26" ht="13.5" thickBot="1" x14ac:dyDescent="0.25">
      <c r="A251" s="379" t="s">
        <v>116</v>
      </c>
      <c r="B251" s="374">
        <f t="shared" ref="B251:X251" si="85">(C250+B250)*(C249-B249)/2</f>
        <v>0.54359999999999997</v>
      </c>
      <c r="C251" s="375">
        <f t="shared" si="85"/>
        <v>1.1995500000000001</v>
      </c>
      <c r="D251" s="375">
        <f t="shared" si="85"/>
        <v>4.2649499999999998</v>
      </c>
      <c r="E251" s="375">
        <f t="shared" si="85"/>
        <v>8.0527500000000014</v>
      </c>
      <c r="F251" s="375">
        <f t="shared" si="85"/>
        <v>17.944500000000001</v>
      </c>
      <c r="G251" s="375">
        <f t="shared" si="85"/>
        <v>19.493499999999997</v>
      </c>
      <c r="H251" s="375">
        <f t="shared" si="85"/>
        <v>10.088499999999996</v>
      </c>
      <c r="I251" s="375">
        <f t="shared" si="85"/>
        <v>10.215500000000009</v>
      </c>
      <c r="J251" s="375">
        <f t="shared" si="85"/>
        <v>10.190749999999998</v>
      </c>
      <c r="K251" s="375">
        <f t="shared" si="85"/>
        <v>10.141499999999997</v>
      </c>
      <c r="L251" s="375">
        <f t="shared" si="85"/>
        <v>10.060000000000008</v>
      </c>
      <c r="M251" s="375">
        <f t="shared" si="85"/>
        <v>9.8512499999999878</v>
      </c>
      <c r="N251" s="375">
        <f t="shared" si="85"/>
        <v>1.9440500000000018</v>
      </c>
      <c r="O251" s="375">
        <f t="shared" si="85"/>
        <v>3.8759000000000037</v>
      </c>
      <c r="P251" s="375">
        <f t="shared" si="85"/>
        <v>1.9358500000000018</v>
      </c>
      <c r="Q251" s="375">
        <f t="shared" si="85"/>
        <v>1.982950000000002</v>
      </c>
      <c r="R251" s="375">
        <f t="shared" si="85"/>
        <v>3.6630000000000029</v>
      </c>
      <c r="S251" s="375">
        <f t="shared" si="85"/>
        <v>1.2191500000000011</v>
      </c>
      <c r="T251" s="375">
        <f t="shared" si="85"/>
        <v>0.40219999999999589</v>
      </c>
      <c r="U251" s="375">
        <f t="shared" si="85"/>
        <v>0</v>
      </c>
      <c r="V251" s="375">
        <f t="shared" si="85"/>
        <v>0</v>
      </c>
      <c r="W251" s="375">
        <f t="shared" si="85"/>
        <v>0</v>
      </c>
      <c r="X251" s="375">
        <f t="shared" si="85"/>
        <v>0</v>
      </c>
      <c r="Y251" s="369"/>
    </row>
    <row r="252" spans="1:26" ht="13.5" thickBot="1" x14ac:dyDescent="0.25">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spans="1:26" ht="13.5" thickBot="1" x14ac:dyDescent="0.25">
      <c r="A253" s="361" t="s">
        <v>388</v>
      </c>
      <c r="B253" s="359">
        <f>ROW(A253)</f>
        <v>253</v>
      </c>
      <c r="C253" s="363" t="s">
        <v>115</v>
      </c>
      <c r="D253" s="353">
        <f>SUM(B256:Y256)</f>
        <v>142.7236025</v>
      </c>
      <c r="E253" s="363" t="s">
        <v>114</v>
      </c>
      <c r="F253" s="354">
        <v>208</v>
      </c>
      <c r="G253" s="363" t="s">
        <v>56</v>
      </c>
      <c r="H253" s="64">
        <v>0.19700000000000001</v>
      </c>
      <c r="I253" s="363" t="s">
        <v>271</v>
      </c>
      <c r="J253" s="355">
        <f>H253-L253</f>
        <v>7.0000000000000007E-2</v>
      </c>
      <c r="K253" s="363" t="s">
        <v>272</v>
      </c>
      <c r="L253" s="64">
        <v>0.127</v>
      </c>
      <c r="M253" s="363" t="s">
        <v>57</v>
      </c>
      <c r="N253" s="65">
        <v>63</v>
      </c>
      <c r="O253" s="363" t="s">
        <v>59</v>
      </c>
      <c r="P253" s="65">
        <v>114</v>
      </c>
      <c r="Q253" s="363" t="s">
        <v>60</v>
      </c>
      <c r="R253" s="65">
        <v>127</v>
      </c>
      <c r="S253" s="363" t="s">
        <v>61</v>
      </c>
      <c r="T253" s="65">
        <v>38</v>
      </c>
      <c r="U253" s="363" t="s">
        <v>54</v>
      </c>
      <c r="V253" s="66" t="s">
        <v>119</v>
      </c>
      <c r="W253" s="463" t="s">
        <v>394</v>
      </c>
      <c r="X253" s="465">
        <v>1.8</v>
      </c>
      <c r="Y253" s="463" t="s">
        <v>393</v>
      </c>
      <c r="Z253" s="358">
        <v>15</v>
      </c>
    </row>
    <row r="254" spans="1:26" x14ac:dyDescent="0.2">
      <c r="A254" s="362" t="s">
        <v>33</v>
      </c>
      <c r="B254" s="370">
        <v>0</v>
      </c>
      <c r="C254" s="370">
        <v>6.0000000000000001E-3</v>
      </c>
      <c r="D254" s="371">
        <v>1.7999999999999999E-2</v>
      </c>
      <c r="E254" s="371">
        <v>3.5999999999999997E-2</v>
      </c>
      <c r="F254" s="371">
        <v>4.7E-2</v>
      </c>
      <c r="G254" s="371">
        <v>8.4000000000000005E-2</v>
      </c>
      <c r="H254" s="371">
        <v>0.13500000000000001</v>
      </c>
      <c r="I254" s="371">
        <v>0.23799999999999999</v>
      </c>
      <c r="J254" s="371">
        <v>0.438</v>
      </c>
      <c r="K254" s="371">
        <v>0.63</v>
      </c>
      <c r="L254" s="371">
        <v>0.85899999999999999</v>
      </c>
      <c r="M254" s="371">
        <v>1.2829999999999999</v>
      </c>
      <c r="N254" s="371">
        <v>1.4470000000000001</v>
      </c>
      <c r="O254" s="371">
        <v>1.643</v>
      </c>
      <c r="P254" s="371">
        <v>1.7130000000000001</v>
      </c>
      <c r="Q254" s="371">
        <v>1.7430000000000001</v>
      </c>
      <c r="R254" s="371">
        <v>1.79</v>
      </c>
      <c r="S254" s="371">
        <v>1.8180000000000001</v>
      </c>
      <c r="T254" s="371">
        <v>1.8520000000000001</v>
      </c>
      <c r="U254" s="371">
        <v>2</v>
      </c>
      <c r="V254" s="371">
        <f t="shared" ref="V254:X255" si="86">U254</f>
        <v>2</v>
      </c>
      <c r="W254" s="371">
        <f t="shared" si="86"/>
        <v>2</v>
      </c>
      <c r="X254" s="371">
        <f t="shared" si="86"/>
        <v>2</v>
      </c>
      <c r="Y254" s="381">
        <v>1000</v>
      </c>
    </row>
    <row r="255" spans="1:26" x14ac:dyDescent="0.2">
      <c r="A255" s="378" t="s">
        <v>34</v>
      </c>
      <c r="B255" s="372">
        <v>0</v>
      </c>
      <c r="C255" s="372">
        <v>104.068</v>
      </c>
      <c r="D255" s="373">
        <v>137.928</v>
      </c>
      <c r="E255" s="373">
        <v>70.706999999999994</v>
      </c>
      <c r="F255" s="373">
        <v>62.241999999999997</v>
      </c>
      <c r="G255" s="373">
        <v>73.694000000000003</v>
      </c>
      <c r="H255" s="373">
        <v>78.176000000000002</v>
      </c>
      <c r="I255" s="373">
        <v>84.150999999999996</v>
      </c>
      <c r="J255" s="373">
        <v>89.628</v>
      </c>
      <c r="K255" s="373">
        <v>88.135000000000005</v>
      </c>
      <c r="L255" s="373">
        <v>87.138999999999996</v>
      </c>
      <c r="M255" s="373">
        <v>77.180000000000007</v>
      </c>
      <c r="N255" s="373">
        <v>70.706999999999994</v>
      </c>
      <c r="O255" s="373">
        <v>67.718999999999994</v>
      </c>
      <c r="P255" s="373">
        <v>64.233999999999995</v>
      </c>
      <c r="Q255" s="373">
        <v>54.274999999999999</v>
      </c>
      <c r="R255" s="373">
        <v>18.423999999999999</v>
      </c>
      <c r="S255" s="373">
        <v>6.4729999999999999</v>
      </c>
      <c r="T255" s="373">
        <v>0</v>
      </c>
      <c r="U255" s="373">
        <v>0</v>
      </c>
      <c r="V255" s="373">
        <f t="shared" si="86"/>
        <v>0</v>
      </c>
      <c r="W255" s="373">
        <f t="shared" si="86"/>
        <v>0</v>
      </c>
      <c r="X255" s="373">
        <f t="shared" si="86"/>
        <v>0</v>
      </c>
      <c r="Y255" s="382">
        <v>0</v>
      </c>
    </row>
    <row r="256" spans="1:26" ht="13.5" thickBot="1" x14ac:dyDescent="0.25">
      <c r="A256" s="379" t="s">
        <v>116</v>
      </c>
      <c r="B256" s="374">
        <f t="shared" ref="B256:X256" si="87">(C255+B255)*(C254-B254)/2</f>
        <v>0.31220399999999998</v>
      </c>
      <c r="C256" s="375">
        <f t="shared" si="87"/>
        <v>1.4519759999999997</v>
      </c>
      <c r="D256" s="375">
        <f t="shared" si="87"/>
        <v>1.8777149999999998</v>
      </c>
      <c r="E256" s="375">
        <f t="shared" si="87"/>
        <v>0.73121950000000013</v>
      </c>
      <c r="F256" s="375">
        <f t="shared" si="87"/>
        <v>2.5148160000000006</v>
      </c>
      <c r="G256" s="375">
        <f t="shared" si="87"/>
        <v>3.8726850000000006</v>
      </c>
      <c r="H256" s="375">
        <f t="shared" si="87"/>
        <v>8.3598404999999989</v>
      </c>
      <c r="I256" s="375">
        <f t="shared" si="87"/>
        <v>17.3779</v>
      </c>
      <c r="J256" s="375">
        <f t="shared" si="87"/>
        <v>17.065248</v>
      </c>
      <c r="K256" s="375">
        <f t="shared" si="87"/>
        <v>20.068873</v>
      </c>
      <c r="L256" s="375">
        <f t="shared" si="87"/>
        <v>34.835628</v>
      </c>
      <c r="M256" s="375">
        <f t="shared" si="87"/>
        <v>12.126734000000011</v>
      </c>
      <c r="N256" s="375">
        <f t="shared" si="87"/>
        <v>13.565747999999996</v>
      </c>
      <c r="O256" s="375">
        <f t="shared" si="87"/>
        <v>4.6183550000000029</v>
      </c>
      <c r="P256" s="375">
        <f t="shared" si="87"/>
        <v>1.7776350000000014</v>
      </c>
      <c r="Q256" s="375">
        <f t="shared" si="87"/>
        <v>1.7084264999999974</v>
      </c>
      <c r="R256" s="375">
        <f t="shared" si="87"/>
        <v>0.34855800000000031</v>
      </c>
      <c r="S256" s="375">
        <f t="shared" si="87"/>
        <v>0.1100410000000001</v>
      </c>
      <c r="T256" s="375">
        <f t="shared" si="87"/>
        <v>0</v>
      </c>
      <c r="U256" s="375">
        <f t="shared" si="87"/>
        <v>0</v>
      </c>
      <c r="V256" s="375">
        <f t="shared" si="87"/>
        <v>0</v>
      </c>
      <c r="W256" s="375">
        <f t="shared" si="87"/>
        <v>0</v>
      </c>
      <c r="X256" s="375">
        <f t="shared" si="87"/>
        <v>0</v>
      </c>
      <c r="Y256" s="369"/>
    </row>
    <row r="257" spans="1:25" ht="13.5" thickBot="1" x14ac:dyDescent="0.25">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spans="1:25" ht="13.5" thickBot="1" x14ac:dyDescent="0.25">
      <c r="A258" s="361" t="s">
        <v>274</v>
      </c>
      <c r="B258" s="360">
        <f>ROW(A258)</f>
        <v>258</v>
      </c>
      <c r="C258" s="363" t="s">
        <v>115</v>
      </c>
      <c r="D258" s="353">
        <f>SUM(B261:Y261)</f>
        <v>33.500000000000007</v>
      </c>
      <c r="E258" s="363" t="s">
        <v>114</v>
      </c>
      <c r="F258" s="354">
        <f>D258/g/J258</f>
        <v>68.297655453618759</v>
      </c>
      <c r="G258" s="363" t="s">
        <v>56</v>
      </c>
      <c r="H258" s="64">
        <v>8.5000000000000006E-2</v>
      </c>
      <c r="I258" s="363" t="s">
        <v>271</v>
      </c>
      <c r="J258" s="355">
        <f>H258-L258</f>
        <v>0.05</v>
      </c>
      <c r="K258" s="363" t="s">
        <v>272</v>
      </c>
      <c r="L258" s="64">
        <v>3.5000000000000003E-2</v>
      </c>
      <c r="M258" s="363" t="s">
        <v>57</v>
      </c>
      <c r="N258" s="65">
        <v>20</v>
      </c>
      <c r="O258" s="363" t="s">
        <v>59</v>
      </c>
      <c r="P258" s="65">
        <v>20</v>
      </c>
      <c r="Q258" s="363" t="s">
        <v>60</v>
      </c>
      <c r="R258" s="65">
        <v>39</v>
      </c>
      <c r="S258" s="363" t="s">
        <v>61</v>
      </c>
      <c r="T258" s="65">
        <v>39</v>
      </c>
      <c r="U258" s="363" t="s">
        <v>54</v>
      </c>
      <c r="V258" s="66" t="s">
        <v>401</v>
      </c>
      <c r="W258" s="12"/>
      <c r="X258" s="12"/>
      <c r="Y258" s="12"/>
    </row>
    <row r="259" spans="1:25" x14ac:dyDescent="0.2">
      <c r="A259" s="362" t="s">
        <v>33</v>
      </c>
      <c r="B259" s="370">
        <v>0</v>
      </c>
      <c r="C259" s="371">
        <v>0.05</v>
      </c>
      <c r="D259" s="371">
        <v>0.1</v>
      </c>
      <c r="E259" s="371">
        <v>0.25</v>
      </c>
      <c r="F259" s="371">
        <v>0.3</v>
      </c>
      <c r="G259" s="371">
        <v>0.35</v>
      </c>
      <c r="H259" s="371">
        <v>0.45</v>
      </c>
      <c r="I259" s="371">
        <v>0.55000000000000004</v>
      </c>
      <c r="J259" s="371">
        <v>3.5</v>
      </c>
      <c r="K259" s="371">
        <v>3.6</v>
      </c>
      <c r="L259" s="371">
        <v>3.6</v>
      </c>
      <c r="M259" s="371">
        <v>3.6</v>
      </c>
      <c r="N259" s="371">
        <v>3.6</v>
      </c>
      <c r="O259" s="371">
        <v>3.6</v>
      </c>
      <c r="P259" s="371">
        <v>3.6</v>
      </c>
      <c r="Q259" s="371">
        <v>3.6</v>
      </c>
      <c r="R259" s="371">
        <v>3.6</v>
      </c>
      <c r="S259" s="371">
        <v>3.6</v>
      </c>
      <c r="T259" s="371">
        <v>3.6</v>
      </c>
      <c r="U259" s="371">
        <v>3.6</v>
      </c>
      <c r="V259" s="371">
        <v>3.6</v>
      </c>
      <c r="W259" s="371">
        <v>3.6</v>
      </c>
      <c r="X259" s="371">
        <v>3.6</v>
      </c>
      <c r="Y259" s="381">
        <v>1000</v>
      </c>
    </row>
    <row r="260" spans="1:25" x14ac:dyDescent="0.2">
      <c r="A260" s="378" t="s">
        <v>34</v>
      </c>
      <c r="B260" s="372">
        <v>0</v>
      </c>
      <c r="C260" s="373">
        <v>68</v>
      </c>
      <c r="D260" s="373">
        <v>62</v>
      </c>
      <c r="E260" s="373">
        <v>60</v>
      </c>
      <c r="F260" s="373">
        <v>39</v>
      </c>
      <c r="G260" s="373">
        <v>38</v>
      </c>
      <c r="H260" s="373">
        <v>9</v>
      </c>
      <c r="I260" s="373">
        <v>5</v>
      </c>
      <c r="J260" s="373">
        <v>3</v>
      </c>
      <c r="K260" s="373">
        <v>0</v>
      </c>
      <c r="L260" s="373">
        <v>0</v>
      </c>
      <c r="M260" s="373">
        <v>0</v>
      </c>
      <c r="N260" s="373">
        <v>0</v>
      </c>
      <c r="O260" s="373">
        <v>0</v>
      </c>
      <c r="P260" s="373">
        <v>0</v>
      </c>
      <c r="Q260" s="373">
        <v>0</v>
      </c>
      <c r="R260" s="373">
        <v>0</v>
      </c>
      <c r="S260" s="373">
        <v>0</v>
      </c>
      <c r="T260" s="373">
        <v>0</v>
      </c>
      <c r="U260" s="373">
        <v>0</v>
      </c>
      <c r="V260" s="373">
        <v>0</v>
      </c>
      <c r="W260" s="373">
        <v>0</v>
      </c>
      <c r="X260" s="373">
        <v>0</v>
      </c>
      <c r="Y260" s="382">
        <v>0</v>
      </c>
    </row>
    <row r="261" spans="1:25" ht="13.5" thickBot="1" x14ac:dyDescent="0.25">
      <c r="A261" s="379" t="s">
        <v>116</v>
      </c>
      <c r="B261" s="374">
        <f t="shared" ref="B261:V261" si="88">(C260+B260)*(C259-B259)/2</f>
        <v>1.7000000000000002</v>
      </c>
      <c r="C261" s="375">
        <f t="shared" si="88"/>
        <v>3.25</v>
      </c>
      <c r="D261" s="375">
        <f t="shared" si="88"/>
        <v>9.15</v>
      </c>
      <c r="E261" s="375">
        <f t="shared" si="88"/>
        <v>2.4749999999999996</v>
      </c>
      <c r="F261" s="375">
        <f t="shared" si="88"/>
        <v>1.9249999999999996</v>
      </c>
      <c r="G261" s="375">
        <f t="shared" si="88"/>
        <v>2.350000000000001</v>
      </c>
      <c r="H261" s="375">
        <f t="shared" si="88"/>
        <v>0.70000000000000018</v>
      </c>
      <c r="I261" s="375">
        <f t="shared" si="88"/>
        <v>11.8</v>
      </c>
      <c r="J261" s="375">
        <f t="shared" si="88"/>
        <v>0.15000000000000013</v>
      </c>
      <c r="K261" s="375">
        <f t="shared" si="88"/>
        <v>0</v>
      </c>
      <c r="L261" s="375">
        <f t="shared" si="88"/>
        <v>0</v>
      </c>
      <c r="M261" s="375">
        <f t="shared" si="88"/>
        <v>0</v>
      </c>
      <c r="N261" s="375">
        <f t="shared" si="88"/>
        <v>0</v>
      </c>
      <c r="O261" s="375">
        <f t="shared" si="88"/>
        <v>0</v>
      </c>
      <c r="P261" s="375">
        <f t="shared" si="88"/>
        <v>0</v>
      </c>
      <c r="Q261" s="375">
        <f t="shared" si="88"/>
        <v>0</v>
      </c>
      <c r="R261" s="375">
        <f t="shared" si="88"/>
        <v>0</v>
      </c>
      <c r="S261" s="375">
        <f t="shared" si="88"/>
        <v>0</v>
      </c>
      <c r="T261" s="375">
        <f t="shared" si="88"/>
        <v>0</v>
      </c>
      <c r="U261" s="375">
        <f t="shared" si="88"/>
        <v>0</v>
      </c>
      <c r="V261" s="375">
        <f t="shared" si="88"/>
        <v>0</v>
      </c>
      <c r="W261" s="375">
        <f>(X260+W260)*(X259-W259)/2</f>
        <v>0</v>
      </c>
      <c r="X261" s="375">
        <f>(Y260+X260)*(Y259-X259)/2</f>
        <v>0</v>
      </c>
      <c r="Y261" s="369"/>
    </row>
    <row r="262" spans="1:25" ht="13.5" thickBot="1" x14ac:dyDescent="0.25">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spans="1:25" ht="13.5" thickBot="1" x14ac:dyDescent="0.25">
      <c r="A263" s="361" t="s">
        <v>275</v>
      </c>
      <c r="B263" s="359">
        <f>ROW(A263)</f>
        <v>263</v>
      </c>
      <c r="C263" s="363" t="s">
        <v>115</v>
      </c>
      <c r="D263" s="353">
        <f>SUM(B266:Y266)</f>
        <v>145.46</v>
      </c>
      <c r="E263" s="363" t="s">
        <v>114</v>
      </c>
      <c r="F263" s="354">
        <f>D263/g/J263</f>
        <v>211.82466870540264</v>
      </c>
      <c r="G263" s="363" t="s">
        <v>56</v>
      </c>
      <c r="H263" s="64">
        <v>0.22</v>
      </c>
      <c r="I263" s="363" t="s">
        <v>271</v>
      </c>
      <c r="J263" s="355">
        <f>H263-L263</f>
        <v>7.0000000000000007E-2</v>
      </c>
      <c r="K263" s="363" t="s">
        <v>272</v>
      </c>
      <c r="L263" s="64">
        <v>0.15</v>
      </c>
      <c r="M263" s="363" t="s">
        <v>57</v>
      </c>
      <c r="N263" s="65">
        <v>50</v>
      </c>
      <c r="O263" s="363" t="s">
        <v>59</v>
      </c>
      <c r="P263" s="65">
        <v>55</v>
      </c>
      <c r="Q263" s="363" t="s">
        <v>60</v>
      </c>
      <c r="R263" s="65">
        <v>76</v>
      </c>
      <c r="S263" s="363" t="s">
        <v>61</v>
      </c>
      <c r="T263" s="65">
        <v>40</v>
      </c>
      <c r="U263" s="363" t="s">
        <v>54</v>
      </c>
      <c r="V263" s="66" t="s">
        <v>401</v>
      </c>
      <c r="W263" s="12"/>
      <c r="X263" s="12"/>
      <c r="Y263" s="12"/>
    </row>
    <row r="264" spans="1:25" x14ac:dyDescent="0.2">
      <c r="A264" s="362" t="s">
        <v>33</v>
      </c>
      <c r="B264" s="370">
        <v>0</v>
      </c>
      <c r="C264" s="371">
        <v>0.02</v>
      </c>
      <c r="D264" s="371">
        <v>0.04</v>
      </c>
      <c r="E264" s="371">
        <v>0.05</v>
      </c>
      <c r="F264" s="371">
        <v>0.06</v>
      </c>
      <c r="G264" s="371">
        <v>0.94</v>
      </c>
      <c r="H264" s="377">
        <v>0.94200000000000006</v>
      </c>
      <c r="I264" s="371">
        <v>0.95</v>
      </c>
      <c r="J264" s="371">
        <v>0.95</v>
      </c>
      <c r="K264" s="371">
        <v>0.95</v>
      </c>
      <c r="L264" s="371">
        <v>0.95</v>
      </c>
      <c r="M264" s="371">
        <v>0.95</v>
      </c>
      <c r="N264" s="371">
        <v>0.95</v>
      </c>
      <c r="O264" s="371">
        <v>0.95</v>
      </c>
      <c r="P264" s="371">
        <v>0.95</v>
      </c>
      <c r="Q264" s="371">
        <v>0.95</v>
      </c>
      <c r="R264" s="371">
        <v>0.95</v>
      </c>
      <c r="S264" s="371">
        <v>0.95</v>
      </c>
      <c r="T264" s="371">
        <v>0.95</v>
      </c>
      <c r="U264" s="371">
        <v>0.95</v>
      </c>
      <c r="V264" s="371">
        <v>0.95</v>
      </c>
      <c r="W264" s="371">
        <v>0.95</v>
      </c>
      <c r="X264" s="371">
        <v>2</v>
      </c>
      <c r="Y264" s="381">
        <v>1000</v>
      </c>
    </row>
    <row r="265" spans="1:25" x14ac:dyDescent="0.2">
      <c r="A265" s="378" t="s">
        <v>34</v>
      </c>
      <c r="B265" s="372">
        <v>0</v>
      </c>
      <c r="C265" s="373">
        <v>320</v>
      </c>
      <c r="D265" s="373">
        <v>170</v>
      </c>
      <c r="E265" s="373">
        <v>205</v>
      </c>
      <c r="F265" s="373">
        <v>217</v>
      </c>
      <c r="G265" s="373">
        <v>85</v>
      </c>
      <c r="H265" s="373">
        <v>82</v>
      </c>
      <c r="I265" s="373">
        <v>0</v>
      </c>
      <c r="J265" s="373">
        <v>0</v>
      </c>
      <c r="K265" s="373">
        <v>0</v>
      </c>
      <c r="L265" s="373">
        <v>0</v>
      </c>
      <c r="M265" s="373">
        <v>0</v>
      </c>
      <c r="N265" s="373">
        <v>0</v>
      </c>
      <c r="O265" s="373">
        <v>0</v>
      </c>
      <c r="P265" s="373">
        <v>0</v>
      </c>
      <c r="Q265" s="373">
        <v>0</v>
      </c>
      <c r="R265" s="373">
        <v>0</v>
      </c>
      <c r="S265" s="373">
        <v>0</v>
      </c>
      <c r="T265" s="373">
        <v>0</v>
      </c>
      <c r="U265" s="373">
        <v>0</v>
      </c>
      <c r="V265" s="373">
        <v>0</v>
      </c>
      <c r="W265" s="373">
        <v>0</v>
      </c>
      <c r="X265" s="373">
        <v>0</v>
      </c>
      <c r="Y265" s="382">
        <v>0</v>
      </c>
    </row>
    <row r="266" spans="1:25" ht="13.5" thickBot="1" x14ac:dyDescent="0.25">
      <c r="A266" s="379" t="s">
        <v>116</v>
      </c>
      <c r="B266" s="374">
        <f t="shared" ref="B266:H266" si="89">(C265+B265)*(C264-B264)/2</f>
        <v>3.2</v>
      </c>
      <c r="C266" s="375">
        <f t="shared" si="89"/>
        <v>4.9000000000000004</v>
      </c>
      <c r="D266" s="375">
        <f t="shared" si="89"/>
        <v>1.8750000000000004</v>
      </c>
      <c r="E266" s="375">
        <f t="shared" si="89"/>
        <v>2.109999999999999</v>
      </c>
      <c r="F266" s="375">
        <f t="shared" si="89"/>
        <v>132.88</v>
      </c>
      <c r="G266" s="375">
        <f t="shared" si="89"/>
        <v>0.16700000000000942</v>
      </c>
      <c r="H266" s="375">
        <f t="shared" si="89"/>
        <v>0.32799999999999574</v>
      </c>
      <c r="I266" s="375">
        <f t="shared" ref="I266:V266" si="90">(J265+I265)*(J264-I264)/2</f>
        <v>0</v>
      </c>
      <c r="J266" s="375">
        <f>(K265+J265)*(K264-J264)/2</f>
        <v>0</v>
      </c>
      <c r="K266" s="375">
        <f t="shared" si="90"/>
        <v>0</v>
      </c>
      <c r="L266" s="375">
        <f t="shared" si="90"/>
        <v>0</v>
      </c>
      <c r="M266" s="375">
        <f t="shared" si="90"/>
        <v>0</v>
      </c>
      <c r="N266" s="375">
        <f t="shared" si="90"/>
        <v>0</v>
      </c>
      <c r="O266" s="375">
        <f t="shared" si="90"/>
        <v>0</v>
      </c>
      <c r="P266" s="375">
        <f t="shared" si="90"/>
        <v>0</v>
      </c>
      <c r="Q266" s="375">
        <f t="shared" si="90"/>
        <v>0</v>
      </c>
      <c r="R266" s="375">
        <f t="shared" si="90"/>
        <v>0</v>
      </c>
      <c r="S266" s="375">
        <f>(T265+S265)*(T264-S264)/2</f>
        <v>0</v>
      </c>
      <c r="T266" s="375">
        <f t="shared" si="90"/>
        <v>0</v>
      </c>
      <c r="U266" s="375">
        <f t="shared" si="90"/>
        <v>0</v>
      </c>
      <c r="V266" s="375">
        <f t="shared" si="90"/>
        <v>0</v>
      </c>
      <c r="W266" s="375">
        <f>(X265+W265)*(X264-W264)/2</f>
        <v>0</v>
      </c>
      <c r="X266" s="375">
        <f>(Y265+X265)*(Y264-X264)/2</f>
        <v>0</v>
      </c>
      <c r="Y266" s="369"/>
    </row>
    <row r="267" spans="1:25" x14ac:dyDescent="0.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spans="1:25" ht="13.5" thickBot="1" x14ac:dyDescent="0.25">
      <c r="A268" s="6" t="s">
        <v>313</v>
      </c>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spans="1:25" ht="13.5" thickBot="1" x14ac:dyDescent="0.25">
      <c r="A269" s="361" t="s">
        <v>35</v>
      </c>
      <c r="B269" s="359">
        <f>ROW(A269)</f>
        <v>269</v>
      </c>
      <c r="C269" s="363" t="s">
        <v>115</v>
      </c>
      <c r="D269" s="353">
        <f>SUM(B272:Y272)</f>
        <v>1071.5999999999999</v>
      </c>
      <c r="E269" s="363" t="s">
        <v>114</v>
      </c>
      <c r="F269" s="354">
        <f>D269/g/J269</f>
        <v>163.03802090465106</v>
      </c>
      <c r="G269" s="363" t="s">
        <v>56</v>
      </c>
      <c r="H269" s="64">
        <v>2.02</v>
      </c>
      <c r="I269" s="363" t="s">
        <v>271</v>
      </c>
      <c r="J269" s="355">
        <f>H269-L269</f>
        <v>0.66999999999999993</v>
      </c>
      <c r="K269" s="363" t="s">
        <v>272</v>
      </c>
      <c r="L269" s="64">
        <v>1.35</v>
      </c>
      <c r="M269" s="363" t="s">
        <v>57</v>
      </c>
      <c r="N269" s="65">
        <v>154</v>
      </c>
      <c r="O269" s="363" t="s">
        <v>59</v>
      </c>
      <c r="P269" s="65">
        <v>168</v>
      </c>
      <c r="Q269" s="363" t="s">
        <v>60</v>
      </c>
      <c r="R269" s="65">
        <v>230</v>
      </c>
      <c r="S269" s="363" t="s">
        <v>61</v>
      </c>
      <c r="T269" s="65">
        <v>67</v>
      </c>
      <c r="U269" s="363" t="s">
        <v>54</v>
      </c>
      <c r="V269" s="66" t="s">
        <v>118</v>
      </c>
      <c r="W269" s="12"/>
      <c r="X269" s="12"/>
      <c r="Y269" s="12"/>
    </row>
    <row r="270" spans="1:25" x14ac:dyDescent="0.2">
      <c r="A270" s="362" t="s">
        <v>33</v>
      </c>
      <c r="B270" s="370">
        <v>0</v>
      </c>
      <c r="C270" s="371">
        <v>0.02</v>
      </c>
      <c r="D270" s="371">
        <v>0.05</v>
      </c>
      <c r="E270" s="371">
        <v>0.06</v>
      </c>
      <c r="F270" s="371">
        <v>0.09</v>
      </c>
      <c r="G270" s="371">
        <v>0.17</v>
      </c>
      <c r="H270" s="371">
        <v>0.2</v>
      </c>
      <c r="I270" s="371">
        <v>0.38</v>
      </c>
      <c r="J270" s="371">
        <v>0.75</v>
      </c>
      <c r="K270" s="371">
        <v>0.79</v>
      </c>
      <c r="L270" s="371">
        <v>1.1299999999999999</v>
      </c>
      <c r="M270" s="371">
        <v>1.2</v>
      </c>
      <c r="N270" s="371">
        <v>1.5</v>
      </c>
      <c r="O270" s="371">
        <v>1.54</v>
      </c>
      <c r="P270" s="371">
        <v>1.65</v>
      </c>
      <c r="Q270" s="371">
        <v>1.7</v>
      </c>
      <c r="R270" s="371">
        <v>1.79</v>
      </c>
      <c r="S270" s="371">
        <v>1.79</v>
      </c>
      <c r="T270" s="371">
        <v>1.79</v>
      </c>
      <c r="U270" s="371">
        <v>1.79</v>
      </c>
      <c r="V270" s="371">
        <v>1.79</v>
      </c>
      <c r="W270" s="371">
        <v>1.79</v>
      </c>
      <c r="X270" s="371">
        <v>1.79</v>
      </c>
      <c r="Y270" s="381">
        <v>1000</v>
      </c>
    </row>
    <row r="271" spans="1:25" x14ac:dyDescent="0.2">
      <c r="A271" s="378" t="s">
        <v>34</v>
      </c>
      <c r="B271" s="372">
        <v>0</v>
      </c>
      <c r="C271" s="373">
        <v>20</v>
      </c>
      <c r="D271" s="373">
        <v>870</v>
      </c>
      <c r="E271" s="373">
        <v>530</v>
      </c>
      <c r="F271" s="373">
        <v>790</v>
      </c>
      <c r="G271" s="373">
        <v>700</v>
      </c>
      <c r="H271" s="373">
        <v>710</v>
      </c>
      <c r="I271" s="373">
        <v>670</v>
      </c>
      <c r="J271" s="373">
        <v>630</v>
      </c>
      <c r="K271" s="373">
        <v>630</v>
      </c>
      <c r="L271" s="373">
        <v>710</v>
      </c>
      <c r="M271" s="373">
        <v>690</v>
      </c>
      <c r="N271" s="373">
        <v>690</v>
      </c>
      <c r="O271" s="373">
        <v>660</v>
      </c>
      <c r="P271" s="373">
        <v>160</v>
      </c>
      <c r="Q271" s="373">
        <v>10</v>
      </c>
      <c r="R271" s="373">
        <v>0</v>
      </c>
      <c r="S271" s="373">
        <v>0</v>
      </c>
      <c r="T271" s="373">
        <v>0</v>
      </c>
      <c r="U271" s="373">
        <v>0</v>
      </c>
      <c r="V271" s="373">
        <v>0</v>
      </c>
      <c r="W271" s="373">
        <v>0</v>
      </c>
      <c r="X271" s="373">
        <v>0</v>
      </c>
      <c r="Y271" s="382">
        <v>0</v>
      </c>
    </row>
    <row r="272" spans="1:25" ht="13.5" thickBot="1" x14ac:dyDescent="0.25">
      <c r="A272" s="379" t="s">
        <v>116</v>
      </c>
      <c r="B272" s="374">
        <f t="shared" ref="B272:Q272" si="91">(C271+B271)*(C270-B270)/2</f>
        <v>0.2</v>
      </c>
      <c r="C272" s="375">
        <f t="shared" si="91"/>
        <v>13.350000000000001</v>
      </c>
      <c r="D272" s="375">
        <f t="shared" si="91"/>
        <v>6.9999999999999964</v>
      </c>
      <c r="E272" s="375">
        <f t="shared" si="91"/>
        <v>19.8</v>
      </c>
      <c r="F272" s="375">
        <f t="shared" si="91"/>
        <v>59.600000000000009</v>
      </c>
      <c r="G272" s="375">
        <f t="shared" si="91"/>
        <v>21.15</v>
      </c>
      <c r="H272" s="375">
        <f t="shared" si="91"/>
        <v>124.19999999999999</v>
      </c>
      <c r="I272" s="375">
        <f t="shared" si="91"/>
        <v>240.5</v>
      </c>
      <c r="J272" s="375">
        <f>(K271+J271)*(K270-J270)/2</f>
        <v>25.200000000000024</v>
      </c>
      <c r="K272" s="375">
        <f t="shared" si="91"/>
        <v>227.7999999999999</v>
      </c>
      <c r="L272" s="375">
        <f t="shared" si="91"/>
        <v>49.000000000000043</v>
      </c>
      <c r="M272" s="375">
        <f t="shared" si="91"/>
        <v>207.00000000000003</v>
      </c>
      <c r="N272" s="375">
        <f t="shared" si="91"/>
        <v>27.000000000000025</v>
      </c>
      <c r="O272" s="375">
        <f t="shared" si="91"/>
        <v>45.099999999999952</v>
      </c>
      <c r="P272" s="375">
        <f t="shared" si="91"/>
        <v>4.2500000000000036</v>
      </c>
      <c r="Q272" s="375">
        <f t="shared" si="91"/>
        <v>0.4500000000000004</v>
      </c>
      <c r="R272" s="375">
        <f t="shared" ref="R272:X272" si="92">(S271+R271)*(S270-R270)/2</f>
        <v>0</v>
      </c>
      <c r="S272" s="375">
        <f t="shared" si="92"/>
        <v>0</v>
      </c>
      <c r="T272" s="375">
        <f t="shared" si="92"/>
        <v>0</v>
      </c>
      <c r="U272" s="375">
        <f t="shared" si="92"/>
        <v>0</v>
      </c>
      <c r="V272" s="375">
        <f t="shared" si="92"/>
        <v>0</v>
      </c>
      <c r="W272" s="375">
        <f t="shared" si="92"/>
        <v>0</v>
      </c>
      <c r="X272" s="375">
        <f t="shared" si="92"/>
        <v>0</v>
      </c>
      <c r="Y272" s="383"/>
    </row>
    <row r="273" spans="1:25" ht="13.5" thickBot="1" x14ac:dyDescent="0.25">
      <c r="S273" s="12"/>
      <c r="T273" s="12"/>
      <c r="U273" s="12"/>
      <c r="V273" s="12"/>
      <c r="W273" s="12"/>
      <c r="X273" s="12"/>
      <c r="Y273" s="12"/>
    </row>
    <row r="274" spans="1:25" ht="13.5" thickBot="1" x14ac:dyDescent="0.25">
      <c r="A274" s="361" t="s">
        <v>36</v>
      </c>
      <c r="B274" s="359">
        <f>ROW(A274)</f>
        <v>274</v>
      </c>
      <c r="C274" s="363" t="s">
        <v>115</v>
      </c>
      <c r="D274" s="353">
        <f>SUM(B277:Y277)</f>
        <v>2102.35</v>
      </c>
      <c r="E274" s="363" t="s">
        <v>114</v>
      </c>
      <c r="F274" s="354">
        <f>D274/g/J274</f>
        <v>174.23319493133766</v>
      </c>
      <c r="G274" s="363" t="s">
        <v>56</v>
      </c>
      <c r="H274" s="64">
        <v>3.7</v>
      </c>
      <c r="I274" s="363" t="s">
        <v>271</v>
      </c>
      <c r="J274" s="355">
        <f>H274-L274</f>
        <v>1.23</v>
      </c>
      <c r="K274" s="363" t="s">
        <v>272</v>
      </c>
      <c r="L274" s="64">
        <v>2.4700000000000002</v>
      </c>
      <c r="M274" s="363" t="s">
        <v>57</v>
      </c>
      <c r="N274" s="65">
        <v>151</v>
      </c>
      <c r="O274" s="363" t="s">
        <v>59</v>
      </c>
      <c r="P274" s="65">
        <v>171</v>
      </c>
      <c r="Q274" s="363" t="s">
        <v>60</v>
      </c>
      <c r="R274" s="65">
        <v>247</v>
      </c>
      <c r="S274" s="363" t="s">
        <v>61</v>
      </c>
      <c r="T274" s="65">
        <v>90</v>
      </c>
      <c r="U274" s="363" t="s">
        <v>54</v>
      </c>
      <c r="V274" s="66" t="s">
        <v>118</v>
      </c>
      <c r="W274" s="12"/>
      <c r="X274" s="12"/>
      <c r="Y274" s="12"/>
    </row>
    <row r="275" spans="1:25" x14ac:dyDescent="0.2">
      <c r="A275" s="362" t="s">
        <v>33</v>
      </c>
      <c r="B275" s="370">
        <v>0</v>
      </c>
      <c r="C275" s="371">
        <v>0.05</v>
      </c>
      <c r="D275" s="371">
        <v>0.1</v>
      </c>
      <c r="E275" s="371">
        <v>1</v>
      </c>
      <c r="F275" s="371">
        <v>1.35</v>
      </c>
      <c r="G275" s="371">
        <v>1.75</v>
      </c>
      <c r="H275" s="371">
        <v>2.15</v>
      </c>
      <c r="I275" s="371">
        <v>2.25</v>
      </c>
      <c r="J275" s="371">
        <v>2.48</v>
      </c>
      <c r="K275" s="371">
        <v>2.6</v>
      </c>
      <c r="L275" s="371">
        <v>2.8</v>
      </c>
      <c r="M275" s="371">
        <v>2.8</v>
      </c>
      <c r="N275" s="371">
        <v>2.8</v>
      </c>
      <c r="O275" s="371">
        <v>2.8</v>
      </c>
      <c r="P275" s="371">
        <v>2.8</v>
      </c>
      <c r="Q275" s="371">
        <v>2.8</v>
      </c>
      <c r="R275" s="371">
        <v>2.8</v>
      </c>
      <c r="S275" s="371">
        <v>2.8</v>
      </c>
      <c r="T275" s="371">
        <v>2.8</v>
      </c>
      <c r="U275" s="371">
        <v>2.8</v>
      </c>
      <c r="V275" s="371">
        <v>2.8</v>
      </c>
      <c r="W275" s="371">
        <v>2.8</v>
      </c>
      <c r="X275" s="371">
        <v>2.8</v>
      </c>
      <c r="Y275" s="381">
        <v>1000</v>
      </c>
    </row>
    <row r="276" spans="1:25" x14ac:dyDescent="0.2">
      <c r="A276" s="378" t="s">
        <v>34</v>
      </c>
      <c r="B276" s="372">
        <v>0</v>
      </c>
      <c r="C276" s="373">
        <v>860</v>
      </c>
      <c r="D276" s="373">
        <v>840</v>
      </c>
      <c r="E276" s="373">
        <v>840</v>
      </c>
      <c r="F276" s="373">
        <v>850</v>
      </c>
      <c r="G276" s="373">
        <v>900</v>
      </c>
      <c r="H276" s="373">
        <v>1050</v>
      </c>
      <c r="I276" s="373">
        <v>1020</v>
      </c>
      <c r="J276" s="373">
        <v>120</v>
      </c>
      <c r="K276" s="373">
        <v>30</v>
      </c>
      <c r="L276" s="373">
        <v>0</v>
      </c>
      <c r="M276" s="373">
        <v>0</v>
      </c>
      <c r="N276" s="373">
        <v>0</v>
      </c>
      <c r="O276" s="373">
        <v>0</v>
      </c>
      <c r="P276" s="373">
        <v>0</v>
      </c>
      <c r="Q276" s="373">
        <v>0</v>
      </c>
      <c r="R276" s="373">
        <v>0</v>
      </c>
      <c r="S276" s="373">
        <v>0</v>
      </c>
      <c r="T276" s="373">
        <v>0</v>
      </c>
      <c r="U276" s="373">
        <v>0</v>
      </c>
      <c r="V276" s="373">
        <v>0</v>
      </c>
      <c r="W276" s="373">
        <v>0</v>
      </c>
      <c r="X276" s="373">
        <v>0</v>
      </c>
      <c r="Y276" s="382">
        <v>0</v>
      </c>
    </row>
    <row r="277" spans="1:25" ht="13.5" thickBot="1" x14ac:dyDescent="0.25">
      <c r="A277" s="379" t="s">
        <v>116</v>
      </c>
      <c r="B277" s="374">
        <f t="shared" ref="B277:K277" si="93">(C276+B276)*(C275-B275)/2</f>
        <v>21.5</v>
      </c>
      <c r="C277" s="375">
        <f t="shared" si="93"/>
        <v>42.5</v>
      </c>
      <c r="D277" s="375">
        <f t="shared" si="93"/>
        <v>756</v>
      </c>
      <c r="E277" s="375">
        <f t="shared" si="93"/>
        <v>295.75000000000006</v>
      </c>
      <c r="F277" s="375">
        <f t="shared" si="93"/>
        <v>349.99999999999994</v>
      </c>
      <c r="G277" s="375">
        <f t="shared" si="93"/>
        <v>389.99999999999989</v>
      </c>
      <c r="H277" s="375">
        <f t="shared" si="93"/>
        <v>103.50000000000009</v>
      </c>
      <c r="I277" s="375">
        <f t="shared" si="93"/>
        <v>131.1</v>
      </c>
      <c r="J277" s="375">
        <f>(K276+J276)*(K275-J275)/2</f>
        <v>9.0000000000000071</v>
      </c>
      <c r="K277" s="375">
        <f t="shared" si="93"/>
        <v>2.999999999999996</v>
      </c>
      <c r="L277" s="375">
        <f t="shared" ref="L277:V277" si="94">(M276+L276)*(M275-L275)/2</f>
        <v>0</v>
      </c>
      <c r="M277" s="375">
        <f t="shared" si="94"/>
        <v>0</v>
      </c>
      <c r="N277" s="375">
        <f t="shared" si="94"/>
        <v>0</v>
      </c>
      <c r="O277" s="375">
        <f t="shared" si="94"/>
        <v>0</v>
      </c>
      <c r="P277" s="375">
        <f t="shared" si="94"/>
        <v>0</v>
      </c>
      <c r="Q277" s="375">
        <f t="shared" si="94"/>
        <v>0</v>
      </c>
      <c r="R277" s="375">
        <f t="shared" si="94"/>
        <v>0</v>
      </c>
      <c r="S277" s="375">
        <f>(T276+S276)*(T275-S275)/2</f>
        <v>0</v>
      </c>
      <c r="T277" s="375">
        <f t="shared" si="94"/>
        <v>0</v>
      </c>
      <c r="U277" s="375">
        <f t="shared" si="94"/>
        <v>0</v>
      </c>
      <c r="V277" s="375">
        <f t="shared" si="94"/>
        <v>0</v>
      </c>
      <c r="W277" s="375">
        <f>(X276+W276)*(X275-W275)/2</f>
        <v>0</v>
      </c>
      <c r="X277" s="375">
        <f>(Y276+X276)*(Y275-X275)/2</f>
        <v>0</v>
      </c>
      <c r="Y277" s="369"/>
    </row>
    <row r="278" spans="1:25" ht="13.5" thickBot="1" x14ac:dyDescent="0.25"/>
    <row r="279" spans="1:25" ht="13.5" thickBot="1" x14ac:dyDescent="0.25">
      <c r="A279" s="361" t="s">
        <v>548</v>
      </c>
      <c r="B279" s="359">
        <f>ROW(A279)</f>
        <v>279</v>
      </c>
      <c r="C279" s="363" t="s">
        <v>115</v>
      </c>
      <c r="D279" s="353">
        <f>SUM(B282:Y282)</f>
        <v>2058.37</v>
      </c>
      <c r="E279" s="363" t="s">
        <v>114</v>
      </c>
      <c r="F279" s="354">
        <f>D279/g/J279</f>
        <v>203.12066731598335</v>
      </c>
      <c r="G279" s="363" t="s">
        <v>56</v>
      </c>
      <c r="H279" s="64">
        <v>1.6850000000000001</v>
      </c>
      <c r="I279" s="363" t="s">
        <v>271</v>
      </c>
      <c r="J279" s="355">
        <f>H279-L279</f>
        <v>1.0329999999999999</v>
      </c>
      <c r="K279" s="363" t="s">
        <v>272</v>
      </c>
      <c r="L279" s="64">
        <v>0.65200000000000002</v>
      </c>
      <c r="M279" s="363" t="s">
        <v>57</v>
      </c>
      <c r="N279" s="65">
        <v>250</v>
      </c>
      <c r="O279" s="363" t="s">
        <v>59</v>
      </c>
      <c r="P279" s="65">
        <v>240</v>
      </c>
      <c r="Q279" s="363" t="s">
        <v>60</v>
      </c>
      <c r="R279" s="65">
        <v>488</v>
      </c>
      <c r="S279" s="363" t="s">
        <v>61</v>
      </c>
      <c r="T279" s="65">
        <v>54</v>
      </c>
      <c r="U279" s="363" t="s">
        <v>54</v>
      </c>
      <c r="V279" s="66" t="s">
        <v>118</v>
      </c>
      <c r="W279" s="12"/>
      <c r="X279" s="12"/>
      <c r="Y279" s="12"/>
    </row>
    <row r="280" spans="1:25" x14ac:dyDescent="0.2">
      <c r="A280" s="362" t="s">
        <v>33</v>
      </c>
      <c r="B280" s="370">
        <v>0</v>
      </c>
      <c r="C280" s="371">
        <v>0.05</v>
      </c>
      <c r="D280" s="371">
        <v>0.5</v>
      </c>
      <c r="E280" s="371">
        <v>1</v>
      </c>
      <c r="F280" s="371">
        <v>1.5</v>
      </c>
      <c r="G280" s="371">
        <v>2</v>
      </c>
      <c r="H280" s="371">
        <v>2.5</v>
      </c>
      <c r="I280" s="371">
        <v>2.97</v>
      </c>
      <c r="J280" s="371">
        <v>3.2</v>
      </c>
      <c r="K280" s="371">
        <v>3.47</v>
      </c>
      <c r="L280" s="371">
        <v>3.59</v>
      </c>
      <c r="M280" s="371">
        <v>3.59</v>
      </c>
      <c r="N280" s="371">
        <v>3.59</v>
      </c>
      <c r="O280" s="371">
        <v>3.59</v>
      </c>
      <c r="P280" s="371">
        <v>3.59</v>
      </c>
      <c r="Q280" s="371">
        <v>3.59</v>
      </c>
      <c r="R280" s="371">
        <v>3.59</v>
      </c>
      <c r="S280" s="371">
        <v>3.59</v>
      </c>
      <c r="T280" s="371">
        <v>3.59</v>
      </c>
      <c r="U280" s="371">
        <v>3.59</v>
      </c>
      <c r="V280" s="371">
        <v>3.59</v>
      </c>
      <c r="W280" s="371">
        <v>3.59</v>
      </c>
      <c r="X280" s="371">
        <v>3.59</v>
      </c>
      <c r="Y280" s="381">
        <v>1000</v>
      </c>
    </row>
    <row r="281" spans="1:25" x14ac:dyDescent="0.2">
      <c r="A281" s="378" t="s">
        <v>34</v>
      </c>
      <c r="B281" s="372">
        <v>0</v>
      </c>
      <c r="C281" s="373">
        <v>893</v>
      </c>
      <c r="D281" s="373">
        <v>798</v>
      </c>
      <c r="E281" s="373">
        <v>739</v>
      </c>
      <c r="F281" s="373">
        <v>659</v>
      </c>
      <c r="G281" s="373">
        <v>586</v>
      </c>
      <c r="H281" s="373">
        <v>513</v>
      </c>
      <c r="I281" s="373">
        <v>417</v>
      </c>
      <c r="J281" s="373">
        <v>225</v>
      </c>
      <c r="K281" s="373">
        <v>67</v>
      </c>
      <c r="L281" s="373">
        <v>0</v>
      </c>
      <c r="M281" s="373">
        <v>0</v>
      </c>
      <c r="N281" s="373">
        <v>0</v>
      </c>
      <c r="O281" s="373">
        <v>0</v>
      </c>
      <c r="P281" s="373">
        <v>0</v>
      </c>
      <c r="Q281" s="373">
        <v>0</v>
      </c>
      <c r="R281" s="373">
        <v>0</v>
      </c>
      <c r="S281" s="373">
        <v>0</v>
      </c>
      <c r="T281" s="373">
        <v>0</v>
      </c>
      <c r="U281" s="373">
        <v>0</v>
      </c>
      <c r="V281" s="373">
        <v>0</v>
      </c>
      <c r="W281" s="373">
        <v>0</v>
      </c>
      <c r="X281" s="373">
        <v>0</v>
      </c>
      <c r="Y281" s="382">
        <v>0</v>
      </c>
    </row>
    <row r="282" spans="1:25" ht="13.5" thickBot="1" x14ac:dyDescent="0.25">
      <c r="A282" s="380" t="s">
        <v>116</v>
      </c>
      <c r="B282" s="374">
        <f t="shared" ref="B282:V282" si="95">(C281+B281)*(C280-B280)/2</f>
        <v>22.325000000000003</v>
      </c>
      <c r="C282" s="375">
        <f t="shared" si="95"/>
        <v>380.47500000000002</v>
      </c>
      <c r="D282" s="375">
        <f t="shared" si="95"/>
        <v>384.25</v>
      </c>
      <c r="E282" s="375">
        <f t="shared" si="95"/>
        <v>349.5</v>
      </c>
      <c r="F282" s="375">
        <f t="shared" si="95"/>
        <v>311.25</v>
      </c>
      <c r="G282" s="375">
        <f t="shared" si="95"/>
        <v>274.75</v>
      </c>
      <c r="H282" s="375">
        <f t="shared" si="95"/>
        <v>218.5500000000001</v>
      </c>
      <c r="I282" s="375">
        <f t="shared" si="95"/>
        <v>73.83</v>
      </c>
      <c r="J282" s="375">
        <f>(K281+J281)*(K280-J280)/2</f>
        <v>39.42</v>
      </c>
      <c r="K282" s="375">
        <f t="shared" si="95"/>
        <v>4.0199999999999889</v>
      </c>
      <c r="L282" s="375">
        <f t="shared" si="95"/>
        <v>0</v>
      </c>
      <c r="M282" s="375">
        <f t="shared" si="95"/>
        <v>0</v>
      </c>
      <c r="N282" s="375">
        <f t="shared" si="95"/>
        <v>0</v>
      </c>
      <c r="O282" s="375">
        <f t="shared" si="95"/>
        <v>0</v>
      </c>
      <c r="P282" s="375">
        <f t="shared" si="95"/>
        <v>0</v>
      </c>
      <c r="Q282" s="375">
        <f t="shared" si="95"/>
        <v>0</v>
      </c>
      <c r="R282" s="375">
        <f t="shared" si="95"/>
        <v>0</v>
      </c>
      <c r="S282" s="375">
        <f>(T281+S281)*(T280-S280)/2</f>
        <v>0</v>
      </c>
      <c r="T282" s="375">
        <f t="shared" si="95"/>
        <v>0</v>
      </c>
      <c r="U282" s="375">
        <f t="shared" si="95"/>
        <v>0</v>
      </c>
      <c r="V282" s="375">
        <f t="shared" si="95"/>
        <v>0</v>
      </c>
      <c r="W282" s="375">
        <f>(X281+W281)*(X280-W280)/2</f>
        <v>0</v>
      </c>
      <c r="X282" s="375">
        <f>(Y281+X281)*(Y280-X280)/2</f>
        <v>0</v>
      </c>
      <c r="Y282" s="369"/>
    </row>
    <row r="283" spans="1:25" ht="13.5" thickBot="1" x14ac:dyDescent="0.25">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spans="1:25" ht="13.5" thickBot="1" x14ac:dyDescent="0.25">
      <c r="A284" s="361" t="s">
        <v>551</v>
      </c>
      <c r="B284" s="359">
        <f>ROW(A284)</f>
        <v>284</v>
      </c>
      <c r="C284" s="363" t="s">
        <v>115</v>
      </c>
      <c r="D284" s="353">
        <f>SUM(B287:Y287)</f>
        <v>1998.2428999999995</v>
      </c>
      <c r="E284" s="363" t="s">
        <v>114</v>
      </c>
      <c r="F284" s="354">
        <f>D284/g/J284</f>
        <v>207.42819268753979</v>
      </c>
      <c r="G284" s="363" t="s">
        <v>56</v>
      </c>
      <c r="H284" s="64">
        <v>1.6319999999999999</v>
      </c>
      <c r="I284" s="363" t="s">
        <v>271</v>
      </c>
      <c r="J284" s="355">
        <f>H284-L284</f>
        <v>0.98199999999999987</v>
      </c>
      <c r="K284" s="363" t="s">
        <v>272</v>
      </c>
      <c r="L284" s="64">
        <v>0.65</v>
      </c>
      <c r="M284" s="363" t="s">
        <v>57</v>
      </c>
      <c r="N284" s="65">
        <v>250</v>
      </c>
      <c r="O284" s="363" t="s">
        <v>59</v>
      </c>
      <c r="P284" s="65">
        <v>240</v>
      </c>
      <c r="Q284" s="363" t="s">
        <v>60</v>
      </c>
      <c r="R284" s="65">
        <v>488</v>
      </c>
      <c r="S284" s="363" t="s">
        <v>61</v>
      </c>
      <c r="T284" s="65">
        <v>54</v>
      </c>
      <c r="U284" s="363" t="s">
        <v>54</v>
      </c>
      <c r="V284" s="66" t="s">
        <v>118</v>
      </c>
      <c r="W284" s="12"/>
      <c r="X284" s="12"/>
      <c r="Y284" s="12"/>
    </row>
    <row r="285" spans="1:25" x14ac:dyDescent="0.2">
      <c r="A285" s="362" t="s">
        <v>33</v>
      </c>
      <c r="B285" s="373">
        <v>0</v>
      </c>
      <c r="C285" s="373">
        <v>0.01</v>
      </c>
      <c r="D285" s="373">
        <v>0.02</v>
      </c>
      <c r="E285" s="373">
        <v>0.05</v>
      </c>
      <c r="F285" s="373">
        <v>0.1</v>
      </c>
      <c r="G285" s="373">
        <v>0.2</v>
      </c>
      <c r="H285" s="373">
        <v>0.4</v>
      </c>
      <c r="I285" s="373">
        <v>0.8</v>
      </c>
      <c r="J285" s="373">
        <v>0.9</v>
      </c>
      <c r="K285" s="373">
        <v>1</v>
      </c>
      <c r="L285" s="373">
        <v>1.1000000000000001</v>
      </c>
      <c r="M285" s="373">
        <v>1.2</v>
      </c>
      <c r="N285" s="373">
        <v>1.3</v>
      </c>
      <c r="O285" s="373">
        <v>1.4</v>
      </c>
      <c r="P285" s="373">
        <v>1.55</v>
      </c>
      <c r="Q285" s="373">
        <v>1.6</v>
      </c>
      <c r="R285" s="373">
        <v>1.62</v>
      </c>
      <c r="S285" s="373">
        <v>1.64</v>
      </c>
      <c r="T285" s="373">
        <v>1.66</v>
      </c>
      <c r="U285" s="373">
        <v>1.67</v>
      </c>
      <c r="V285" s="373">
        <v>1.68</v>
      </c>
      <c r="W285" s="533">
        <v>1.69</v>
      </c>
      <c r="X285" s="533">
        <v>1.7</v>
      </c>
      <c r="Y285" s="381">
        <v>1000</v>
      </c>
    </row>
    <row r="286" spans="1:25" x14ac:dyDescent="0.2">
      <c r="A286" s="378" t="s">
        <v>34</v>
      </c>
      <c r="B286" s="373">
        <v>0</v>
      </c>
      <c r="C286" s="373">
        <v>492.25</v>
      </c>
      <c r="D286" s="373">
        <v>1369.46</v>
      </c>
      <c r="E286" s="373">
        <v>1236.01</v>
      </c>
      <c r="F286" s="373">
        <v>1279.47</v>
      </c>
      <c r="G286" s="373">
        <v>1311.39</v>
      </c>
      <c r="H286" s="373">
        <v>1331.39</v>
      </c>
      <c r="I286" s="373">
        <v>1304.08</v>
      </c>
      <c r="J286" s="373">
        <v>1280.6199999999999</v>
      </c>
      <c r="K286" s="373">
        <v>1249.8599999999999</v>
      </c>
      <c r="L286" s="373">
        <v>1217.94</v>
      </c>
      <c r="M286" s="373">
        <v>1199.29</v>
      </c>
      <c r="N286" s="373">
        <v>1158.77</v>
      </c>
      <c r="O286" s="373">
        <v>1112.56</v>
      </c>
      <c r="P286" s="373">
        <v>941.81</v>
      </c>
      <c r="Q286" s="373">
        <v>726.07</v>
      </c>
      <c r="R286" s="373">
        <v>559.16999999999996</v>
      </c>
      <c r="S286" s="373">
        <v>399.95</v>
      </c>
      <c r="T286" s="373">
        <v>317.66000000000003</v>
      </c>
      <c r="U286" s="373">
        <v>247.28</v>
      </c>
      <c r="V286" s="373">
        <v>198.05</v>
      </c>
      <c r="W286" s="373">
        <v>67.3</v>
      </c>
      <c r="X286" s="373">
        <v>0</v>
      </c>
      <c r="Y286" s="382">
        <v>0</v>
      </c>
    </row>
    <row r="287" spans="1:25" ht="13.5" thickBot="1" x14ac:dyDescent="0.25">
      <c r="A287" s="379" t="s">
        <v>116</v>
      </c>
      <c r="B287" s="374">
        <f t="shared" ref="B287:V287" si="96">(C286+B286)*(C285-B285)/2</f>
        <v>2.4612500000000002</v>
      </c>
      <c r="C287" s="375">
        <f t="shared" si="96"/>
        <v>9.3085500000000003</v>
      </c>
      <c r="D287" s="375">
        <f t="shared" si="96"/>
        <v>39.08205000000001</v>
      </c>
      <c r="E287" s="375">
        <f t="shared" si="96"/>
        <v>62.887</v>
      </c>
      <c r="F287" s="375">
        <f t="shared" si="96"/>
        <v>129.54300000000001</v>
      </c>
      <c r="G287" s="375">
        <f t="shared" si="96"/>
        <v>264.27800000000002</v>
      </c>
      <c r="H287" s="375">
        <f t="shared" si="96"/>
        <v>527.09400000000005</v>
      </c>
      <c r="I287" s="375">
        <f t="shared" si="96"/>
        <v>129.23499999999996</v>
      </c>
      <c r="J287" s="375">
        <f>(K286+J286)*(K285-J285)/2</f>
        <v>126.52399999999994</v>
      </c>
      <c r="K287" s="375">
        <f t="shared" si="96"/>
        <v>123.39000000000011</v>
      </c>
      <c r="L287" s="375">
        <f t="shared" si="96"/>
        <v>120.86149999999984</v>
      </c>
      <c r="M287" s="375">
        <f t="shared" si="96"/>
        <v>117.90300000000011</v>
      </c>
      <c r="N287" s="375">
        <f t="shared" si="96"/>
        <v>113.56649999999985</v>
      </c>
      <c r="O287" s="375">
        <f t="shared" si="96"/>
        <v>154.07775000000012</v>
      </c>
      <c r="P287" s="375">
        <f t="shared" si="96"/>
        <v>41.697000000000038</v>
      </c>
      <c r="Q287" s="375">
        <f t="shared" si="96"/>
        <v>12.852400000000012</v>
      </c>
      <c r="R287" s="375">
        <f t="shared" si="96"/>
        <v>9.5911999999999011</v>
      </c>
      <c r="S287" s="375">
        <f>(T286+S286)*(T285-S285)/2</f>
        <v>7.1761000000000061</v>
      </c>
      <c r="T287" s="375">
        <f t="shared" si="96"/>
        <v>2.8247000000000027</v>
      </c>
      <c r="U287" s="375">
        <f t="shared" si="96"/>
        <v>2.226650000000002</v>
      </c>
      <c r="V287" s="375">
        <f t="shared" si="96"/>
        <v>1.3267500000000012</v>
      </c>
      <c r="W287" s="375">
        <f>(X286+W286)*(X285-W285)/2</f>
        <v>0.3365000000000003</v>
      </c>
      <c r="X287" s="375">
        <f>(Y286+X286)*(Y285-X285)/2</f>
        <v>0</v>
      </c>
      <c r="Y287" s="369"/>
    </row>
    <row r="288" spans="1:25" ht="13.5" thickBot="1" x14ac:dyDescent="0.25">
      <c r="A288" s="12"/>
      <c r="L288" s="12"/>
      <c r="M288" s="12"/>
      <c r="N288" s="12"/>
      <c r="O288" s="12"/>
      <c r="P288" s="12"/>
      <c r="Q288" s="12"/>
      <c r="R288" s="12"/>
      <c r="S288" s="12"/>
      <c r="T288" s="12"/>
      <c r="U288" s="12"/>
      <c r="V288" s="12"/>
      <c r="W288" s="12"/>
      <c r="X288" s="12"/>
      <c r="Y288" s="12"/>
    </row>
    <row r="289" spans="1:25" ht="13.5" thickBot="1" x14ac:dyDescent="0.25">
      <c r="A289" s="361" t="s">
        <v>549</v>
      </c>
      <c r="B289" s="359">
        <f>ROW(A289)</f>
        <v>289</v>
      </c>
      <c r="C289" s="363" t="s">
        <v>115</v>
      </c>
      <c r="D289" s="353">
        <f>SUM(B292:Y292)</f>
        <v>3739.0284999999994</v>
      </c>
      <c r="E289" s="363" t="s">
        <v>114</v>
      </c>
      <c r="F289" s="354">
        <f>D289/g/J289</f>
        <v>203.4941790441234</v>
      </c>
      <c r="G289" s="363" t="s">
        <v>56</v>
      </c>
      <c r="H289" s="64">
        <v>3.5110000000000001</v>
      </c>
      <c r="I289" s="363" t="s">
        <v>271</v>
      </c>
      <c r="J289" s="355">
        <f>H289-L289</f>
        <v>1.8730000000000002</v>
      </c>
      <c r="K289" s="363" t="s">
        <v>272</v>
      </c>
      <c r="L289" s="64">
        <v>1.6379999999999999</v>
      </c>
      <c r="M289" s="363" t="s">
        <v>57</v>
      </c>
      <c r="N289" s="65">
        <v>243</v>
      </c>
      <c r="O289" s="363" t="s">
        <v>59</v>
      </c>
      <c r="P289" s="65">
        <v>249</v>
      </c>
      <c r="Q289" s="363" t="s">
        <v>60</v>
      </c>
      <c r="R289" s="65">
        <v>498</v>
      </c>
      <c r="S289" s="363" t="s">
        <v>61</v>
      </c>
      <c r="T289" s="65">
        <v>75</v>
      </c>
      <c r="U289" s="363" t="s">
        <v>54</v>
      </c>
      <c r="V289" s="66" t="s">
        <v>118</v>
      </c>
      <c r="W289" s="12"/>
      <c r="X289" s="12"/>
      <c r="Y289" s="12"/>
    </row>
    <row r="290" spans="1:25" x14ac:dyDescent="0.2">
      <c r="A290" s="362" t="s">
        <v>33</v>
      </c>
      <c r="B290" s="370">
        <v>0</v>
      </c>
      <c r="C290" s="371">
        <v>0.01</v>
      </c>
      <c r="D290" s="371">
        <v>0.1</v>
      </c>
      <c r="E290" s="371">
        <v>0.12</v>
      </c>
      <c r="F290" s="371">
        <v>0.26</v>
      </c>
      <c r="G290" s="371">
        <v>0.71</v>
      </c>
      <c r="H290" s="371">
        <v>1.28</v>
      </c>
      <c r="I290" s="371">
        <v>2.0499999999999998</v>
      </c>
      <c r="J290" s="371">
        <v>2.41</v>
      </c>
      <c r="K290" s="371">
        <v>2.83</v>
      </c>
      <c r="L290" s="371">
        <v>3.25</v>
      </c>
      <c r="M290" s="371">
        <v>3.65</v>
      </c>
      <c r="N290" s="371">
        <v>3.8</v>
      </c>
      <c r="O290" s="371">
        <v>4</v>
      </c>
      <c r="P290" s="371">
        <v>4.0999999999999996</v>
      </c>
      <c r="Q290" s="371">
        <v>4.1900000000000004</v>
      </c>
      <c r="R290" s="371">
        <v>4.3099999999999996</v>
      </c>
      <c r="S290" s="371">
        <v>4.41</v>
      </c>
      <c r="T290" s="371">
        <v>4.5199999999999996</v>
      </c>
      <c r="U290" s="371">
        <v>4.5999999999999996</v>
      </c>
      <c r="V290" s="371">
        <v>4.6500000000000004</v>
      </c>
      <c r="W290" s="371">
        <v>4.67</v>
      </c>
      <c r="X290" s="371">
        <v>4.68</v>
      </c>
      <c r="Y290" s="381">
        <v>1000</v>
      </c>
    </row>
    <row r="291" spans="1:25" x14ac:dyDescent="0.2">
      <c r="A291" s="378" t="s">
        <v>34</v>
      </c>
      <c r="B291" s="372">
        <v>27</v>
      </c>
      <c r="C291" s="373">
        <v>402.4</v>
      </c>
      <c r="D291" s="373">
        <v>1286</v>
      </c>
      <c r="E291" s="373">
        <v>1257</v>
      </c>
      <c r="F291" s="373">
        <v>1042</v>
      </c>
      <c r="G291" s="373">
        <v>1027</v>
      </c>
      <c r="H291" s="373">
        <v>998.4</v>
      </c>
      <c r="I291" s="373">
        <v>901.4</v>
      </c>
      <c r="J291" s="373">
        <v>849.6</v>
      </c>
      <c r="K291" s="373">
        <v>763.5</v>
      </c>
      <c r="L291" s="373">
        <v>707.1</v>
      </c>
      <c r="M291" s="373">
        <v>655.1</v>
      </c>
      <c r="N291" s="373">
        <v>651.70000000000005</v>
      </c>
      <c r="O291" s="373">
        <v>624.1</v>
      </c>
      <c r="P291" s="373">
        <v>601.29999999999995</v>
      </c>
      <c r="Q291" s="373">
        <v>536.20000000000005</v>
      </c>
      <c r="R291" s="373">
        <v>415.7</v>
      </c>
      <c r="S291" s="373">
        <v>270.2</v>
      </c>
      <c r="T291" s="373">
        <v>140.19999999999999</v>
      </c>
      <c r="U291" s="373">
        <v>76.900000000000006</v>
      </c>
      <c r="V291" s="373">
        <v>54.9</v>
      </c>
      <c r="W291" s="373">
        <v>40.200000000000003</v>
      </c>
      <c r="X291" s="373">
        <v>0</v>
      </c>
      <c r="Y291" s="382">
        <v>0</v>
      </c>
    </row>
    <row r="292" spans="1:25" ht="13.5" thickBot="1" x14ac:dyDescent="0.25">
      <c r="A292" s="379" t="s">
        <v>116</v>
      </c>
      <c r="B292" s="374">
        <f t="shared" ref="B292:V292" si="97">(C291+B291)*(C290-B290)/2</f>
        <v>2.1469999999999998</v>
      </c>
      <c r="C292" s="375">
        <f t="shared" si="97"/>
        <v>75.978000000000009</v>
      </c>
      <c r="D292" s="375">
        <f t="shared" si="97"/>
        <v>25.429999999999989</v>
      </c>
      <c r="E292" s="375">
        <f t="shared" si="97"/>
        <v>160.93</v>
      </c>
      <c r="F292" s="375">
        <f t="shared" si="97"/>
        <v>465.52499999999998</v>
      </c>
      <c r="G292" s="375">
        <f t="shared" si="97"/>
        <v>577.23900000000003</v>
      </c>
      <c r="H292" s="375">
        <f t="shared" si="97"/>
        <v>731.42299999999977</v>
      </c>
      <c r="I292" s="375">
        <f t="shared" si="97"/>
        <v>315.18000000000029</v>
      </c>
      <c r="J292" s="375">
        <f>(K291+J291)*(K290-J290)/2</f>
        <v>338.75099999999992</v>
      </c>
      <c r="K292" s="375">
        <f t="shared" si="97"/>
        <v>308.82599999999991</v>
      </c>
      <c r="L292" s="375">
        <f t="shared" si="97"/>
        <v>272.43999999999994</v>
      </c>
      <c r="M292" s="375">
        <f t="shared" si="97"/>
        <v>98.009999999999962</v>
      </c>
      <c r="N292" s="375">
        <f t="shared" si="97"/>
        <v>127.58000000000013</v>
      </c>
      <c r="O292" s="375">
        <f t="shared" si="97"/>
        <v>61.26999999999979</v>
      </c>
      <c r="P292" s="375">
        <f t="shared" si="97"/>
        <v>51.187500000000426</v>
      </c>
      <c r="Q292" s="375">
        <f t="shared" si="97"/>
        <v>57.113999999999635</v>
      </c>
      <c r="R292" s="375">
        <f t="shared" si="97"/>
        <v>34.295000000000179</v>
      </c>
      <c r="S292" s="375">
        <f>(T291+S291)*(T290-S290)/2</f>
        <v>22.571999999999882</v>
      </c>
      <c r="T292" s="375">
        <f t="shared" si="97"/>
        <v>8.6840000000000082</v>
      </c>
      <c r="U292" s="375">
        <f t="shared" si="97"/>
        <v>3.295000000000047</v>
      </c>
      <c r="V292" s="375">
        <f t="shared" si="97"/>
        <v>0.95099999999997964</v>
      </c>
      <c r="W292" s="375">
        <f>(X291+W291)*(X290-W290)/2</f>
        <v>0.20099999999999574</v>
      </c>
      <c r="X292" s="375">
        <f>(Y291+X291)*(Y290-X290)/2</f>
        <v>0</v>
      </c>
      <c r="Y292" s="369"/>
    </row>
    <row r="293" spans="1:25" ht="13.5" thickBot="1" x14ac:dyDescent="0.25">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spans="1:25" ht="13.5" thickBot="1" x14ac:dyDescent="0.25">
      <c r="A294" s="361" t="s">
        <v>555</v>
      </c>
      <c r="B294" s="359">
        <f>ROW(A294)</f>
        <v>294</v>
      </c>
      <c r="C294" s="363" t="s">
        <v>115</v>
      </c>
      <c r="D294" s="353">
        <f>SUM(B297:Y297)</f>
        <v>14273.976008499998</v>
      </c>
      <c r="E294" s="363" t="s">
        <v>114</v>
      </c>
      <c r="F294" s="354">
        <f>D294/g/J294</f>
        <v>169.50645688990159</v>
      </c>
      <c r="G294" s="363" t="s">
        <v>56</v>
      </c>
      <c r="H294" s="64">
        <v>13.247999999999999</v>
      </c>
      <c r="I294" s="363" t="s">
        <v>271</v>
      </c>
      <c r="J294" s="355">
        <f>H294-L294</f>
        <v>8.5839999999999996</v>
      </c>
      <c r="K294" s="363" t="s">
        <v>272</v>
      </c>
      <c r="L294" s="64">
        <v>4.6639999999999997</v>
      </c>
      <c r="M294" s="363" t="s">
        <v>57</v>
      </c>
      <c r="N294" s="65">
        <f>R294/2</f>
        <v>505</v>
      </c>
      <c r="O294" s="363" t="s">
        <v>59</v>
      </c>
      <c r="P294" s="65">
        <v>505</v>
      </c>
      <c r="Q294" s="363" t="s">
        <v>60</v>
      </c>
      <c r="R294" s="65">
        <v>1010</v>
      </c>
      <c r="S294" s="363" t="s">
        <v>61</v>
      </c>
      <c r="T294" s="65">
        <v>98</v>
      </c>
      <c r="U294" s="363" t="s">
        <v>54</v>
      </c>
      <c r="V294" s="66" t="s">
        <v>118</v>
      </c>
      <c r="W294" s="12"/>
      <c r="X294" s="12"/>
      <c r="Y294" s="12"/>
    </row>
    <row r="295" spans="1:25" x14ac:dyDescent="0.2">
      <c r="A295" s="362" t="s">
        <v>33</v>
      </c>
      <c r="B295" s="370">
        <v>0</v>
      </c>
      <c r="C295" s="371">
        <v>0.04</v>
      </c>
      <c r="D295" s="371">
        <v>0.08</v>
      </c>
      <c r="E295" s="371">
        <v>0.20100000000000001</v>
      </c>
      <c r="F295" s="371">
        <v>0.44700000000000001</v>
      </c>
      <c r="G295" s="371">
        <v>0.67800000000000005</v>
      </c>
      <c r="H295" s="371">
        <v>0.75800000000000001</v>
      </c>
      <c r="I295" s="371">
        <v>0.85299999999999998</v>
      </c>
      <c r="J295" s="371">
        <v>2.4249999999999998</v>
      </c>
      <c r="K295" s="371">
        <v>2.52</v>
      </c>
      <c r="L295" s="371">
        <v>2.7610000000000001</v>
      </c>
      <c r="M295" s="371">
        <v>3.4340000000000002</v>
      </c>
      <c r="N295" s="371">
        <v>3.7149999999999999</v>
      </c>
      <c r="O295" s="371">
        <v>4.077</v>
      </c>
      <c r="P295" s="371">
        <v>4.96</v>
      </c>
      <c r="Q295" s="371">
        <v>5.492</v>
      </c>
      <c r="R295" s="371">
        <v>6.1050000000000004</v>
      </c>
      <c r="S295" s="371">
        <v>6.4459999999999997</v>
      </c>
      <c r="T295" s="371">
        <v>6.6470000000000002</v>
      </c>
      <c r="U295" s="371">
        <v>7.0739999999999998</v>
      </c>
      <c r="V295" s="371">
        <v>7.2389999999999999</v>
      </c>
      <c r="W295" s="533">
        <v>7.2539999999999996</v>
      </c>
      <c r="X295" s="371">
        <v>8</v>
      </c>
      <c r="Y295" s="381">
        <v>1000</v>
      </c>
    </row>
    <row r="296" spans="1:25" x14ac:dyDescent="0.2">
      <c r="A296" s="378" t="s">
        <v>34</v>
      </c>
      <c r="B296" s="372">
        <v>0</v>
      </c>
      <c r="C296" s="373">
        <v>1382.46</v>
      </c>
      <c r="D296" s="373">
        <v>1699.1469999999999</v>
      </c>
      <c r="E296" s="373">
        <v>1781.364</v>
      </c>
      <c r="F296" s="373">
        <v>1793.5440000000001</v>
      </c>
      <c r="G296" s="373">
        <v>1820.95</v>
      </c>
      <c r="H296" s="373">
        <v>1927.527</v>
      </c>
      <c r="I296" s="373">
        <v>1842.2660000000001</v>
      </c>
      <c r="J296" s="373">
        <v>2088.9160000000002</v>
      </c>
      <c r="K296" s="373">
        <v>2180.268</v>
      </c>
      <c r="L296" s="373">
        <v>2198.538</v>
      </c>
      <c r="M296" s="373">
        <v>2213.7640000000001</v>
      </c>
      <c r="N296" s="373">
        <v>2268.5749999999998</v>
      </c>
      <c r="O296" s="373">
        <v>2299.0259999999998</v>
      </c>
      <c r="P296" s="373">
        <v>2238.1239999999998</v>
      </c>
      <c r="Q296" s="373">
        <v>2161.998</v>
      </c>
      <c r="R296" s="373">
        <v>2024.97</v>
      </c>
      <c r="S296" s="373">
        <v>1878.806</v>
      </c>
      <c r="T296" s="373">
        <v>1668.6969999999999</v>
      </c>
      <c r="U296" s="373">
        <v>602.923</v>
      </c>
      <c r="V296" s="373">
        <v>140.07300000000001</v>
      </c>
      <c r="W296" s="373">
        <v>0</v>
      </c>
      <c r="X296" s="373">
        <v>0</v>
      </c>
      <c r="Y296" s="382">
        <v>0</v>
      </c>
    </row>
    <row r="297" spans="1:25" ht="13.5" thickBot="1" x14ac:dyDescent="0.25">
      <c r="A297" s="379" t="s">
        <v>116</v>
      </c>
      <c r="B297" s="374">
        <f t="shared" ref="B297:X297" si="98">(C296+B296)*(C295-B295)/2</f>
        <v>27.6492</v>
      </c>
      <c r="C297" s="375">
        <f t="shared" si="98"/>
        <v>61.63214</v>
      </c>
      <c r="D297" s="375">
        <f t="shared" si="98"/>
        <v>210.57091550000001</v>
      </c>
      <c r="E297" s="375">
        <f t="shared" si="98"/>
        <v>439.71368400000006</v>
      </c>
      <c r="F297" s="375">
        <f t="shared" si="98"/>
        <v>417.47405700000007</v>
      </c>
      <c r="G297" s="375">
        <f t="shared" si="98"/>
        <v>149.93907999999993</v>
      </c>
      <c r="H297" s="375">
        <f t="shared" si="98"/>
        <v>179.06516749999994</v>
      </c>
      <c r="I297" s="375">
        <f t="shared" si="98"/>
        <v>3089.909052</v>
      </c>
      <c r="J297" s="375">
        <f t="shared" si="98"/>
        <v>202.78624000000042</v>
      </c>
      <c r="K297" s="375">
        <f t="shared" si="98"/>
        <v>527.64612300000033</v>
      </c>
      <c r="L297" s="375">
        <f t="shared" si="98"/>
        <v>1484.7396229999999</v>
      </c>
      <c r="M297" s="375">
        <f t="shared" si="98"/>
        <v>629.76862949999929</v>
      </c>
      <c r="N297" s="375">
        <f t="shared" si="98"/>
        <v>826.7357810000002</v>
      </c>
      <c r="O297" s="375">
        <f t="shared" si="98"/>
        <v>2003.1517249999999</v>
      </c>
      <c r="P297" s="375">
        <f t="shared" si="98"/>
        <v>1170.432452</v>
      </c>
      <c r="Q297" s="375">
        <f t="shared" si="98"/>
        <v>1283.3056920000008</v>
      </c>
      <c r="R297" s="375">
        <f t="shared" si="98"/>
        <v>665.5938079999986</v>
      </c>
      <c r="S297" s="375">
        <f t="shared" si="98"/>
        <v>356.52405150000089</v>
      </c>
      <c r="T297" s="375">
        <f t="shared" si="98"/>
        <v>484.99086999999952</v>
      </c>
      <c r="U297" s="375">
        <f t="shared" si="98"/>
        <v>61.297170000000008</v>
      </c>
      <c r="V297" s="375">
        <f t="shared" si="98"/>
        <v>1.0505474999999778</v>
      </c>
      <c r="W297" s="375">
        <f t="shared" si="98"/>
        <v>0</v>
      </c>
      <c r="X297" s="375">
        <f t="shared" si="98"/>
        <v>0</v>
      </c>
      <c r="Y297" s="369"/>
    </row>
    <row r="298" spans="1:25" ht="13.5" thickBot="1" x14ac:dyDescent="0.25">
      <c r="A298" s="12"/>
      <c r="L298" s="12"/>
      <c r="M298" s="12"/>
      <c r="N298" s="12"/>
      <c r="O298" s="12"/>
      <c r="P298" s="12"/>
      <c r="Q298" s="12"/>
      <c r="R298" s="12"/>
      <c r="S298" s="12"/>
      <c r="T298" s="12"/>
      <c r="U298" s="12"/>
      <c r="V298" s="12"/>
      <c r="W298" s="12"/>
      <c r="X298" s="12"/>
      <c r="Y298" s="12"/>
    </row>
    <row r="299" spans="1:25" ht="13.5" thickBot="1" x14ac:dyDescent="0.25">
      <c r="A299" s="361" t="s">
        <v>318</v>
      </c>
      <c r="B299" s="359">
        <f>ROW(A299)</f>
        <v>299</v>
      </c>
      <c r="C299" s="363" t="s">
        <v>115</v>
      </c>
      <c r="D299" s="353">
        <f>SUM(B302:Y302)</f>
        <v>7412.4371409999985</v>
      </c>
      <c r="E299" s="363" t="s">
        <v>114</v>
      </c>
      <c r="F299" s="354">
        <f>D299/g/J299</f>
        <v>223.28608637999045</v>
      </c>
      <c r="G299" s="363" t="s">
        <v>56</v>
      </c>
      <c r="H299" s="64">
        <v>6.25</v>
      </c>
      <c r="I299" s="363" t="s">
        <v>271</v>
      </c>
      <c r="J299" s="355">
        <f>H299-L299</f>
        <v>3.3839999999999999</v>
      </c>
      <c r="K299" s="363" t="s">
        <v>272</v>
      </c>
      <c r="L299" s="64">
        <v>2.8660000000000001</v>
      </c>
      <c r="M299" s="363" t="s">
        <v>57</v>
      </c>
      <c r="N299" s="65">
        <v>290</v>
      </c>
      <c r="O299" s="363" t="s">
        <v>59</v>
      </c>
      <c r="P299" s="65">
        <v>290</v>
      </c>
      <c r="Q299" s="363" t="s">
        <v>60</v>
      </c>
      <c r="R299" s="65">
        <v>579</v>
      </c>
      <c r="S299" s="363" t="s">
        <v>61</v>
      </c>
      <c r="T299" s="65">
        <v>98</v>
      </c>
      <c r="U299" s="363" t="s">
        <v>54</v>
      </c>
      <c r="V299" s="66" t="s">
        <v>118</v>
      </c>
      <c r="W299" s="12"/>
      <c r="X299" s="12"/>
      <c r="Y299" s="12"/>
    </row>
    <row r="300" spans="1:25" x14ac:dyDescent="0.2">
      <c r="A300" s="362" t="s">
        <v>33</v>
      </c>
      <c r="B300" s="370">
        <v>0</v>
      </c>
      <c r="C300" s="371">
        <v>1.7000000000000001E-2</v>
      </c>
      <c r="D300" s="371">
        <v>5.1999999999999998E-2</v>
      </c>
      <c r="E300" s="371">
        <v>8.7999999999999995E-2</v>
      </c>
      <c r="F300" s="371">
        <v>0.108</v>
      </c>
      <c r="G300" s="371">
        <v>0.127</v>
      </c>
      <c r="H300" s="371">
        <v>0.17399999999999999</v>
      </c>
      <c r="I300" s="371">
        <v>0.25700000000000001</v>
      </c>
      <c r="J300" s="371">
        <v>0.40300000000000002</v>
      </c>
      <c r="K300" s="371">
        <v>0.76200000000000001</v>
      </c>
      <c r="L300" s="371">
        <v>0.97699999999999998</v>
      </c>
      <c r="M300" s="371">
        <v>1.341</v>
      </c>
      <c r="N300" s="371">
        <v>1.5009999999999999</v>
      </c>
      <c r="O300" s="371">
        <v>1.661</v>
      </c>
      <c r="P300" s="371">
        <v>1.96</v>
      </c>
      <c r="Q300" s="371">
        <v>2.4039999999999999</v>
      </c>
      <c r="R300" s="371">
        <v>2.641</v>
      </c>
      <c r="S300" s="371">
        <v>2.7160000000000002</v>
      </c>
      <c r="T300" s="371">
        <v>2.8210000000000002</v>
      </c>
      <c r="U300" s="371">
        <v>2.8919999999999999</v>
      </c>
      <c r="V300" s="371">
        <v>2.92</v>
      </c>
      <c r="W300" s="371">
        <v>2.97</v>
      </c>
      <c r="X300" s="371">
        <v>3</v>
      </c>
      <c r="Y300" s="381">
        <v>1000</v>
      </c>
    </row>
    <row r="301" spans="1:25" x14ac:dyDescent="0.2">
      <c r="A301" s="378" t="s">
        <v>34</v>
      </c>
      <c r="B301" s="372">
        <v>0</v>
      </c>
      <c r="C301" s="373">
        <v>329.84699999999998</v>
      </c>
      <c r="D301" s="373">
        <v>1003.68</v>
      </c>
      <c r="E301" s="373">
        <v>2346.62</v>
      </c>
      <c r="F301" s="373">
        <v>2549.2399999999998</v>
      </c>
      <c r="G301" s="373">
        <v>2605.79</v>
      </c>
      <c r="H301" s="373">
        <v>2520.9699999999998</v>
      </c>
      <c r="I301" s="373">
        <v>2516.2600000000002</v>
      </c>
      <c r="J301" s="373">
        <v>2596.37</v>
      </c>
      <c r="K301" s="373">
        <v>2808.41</v>
      </c>
      <c r="L301" s="373">
        <v>2954.49</v>
      </c>
      <c r="M301" s="373">
        <v>2959.2</v>
      </c>
      <c r="N301" s="373">
        <v>2907.36</v>
      </c>
      <c r="O301" s="373">
        <v>2869.67</v>
      </c>
      <c r="P301" s="373">
        <v>2695.32</v>
      </c>
      <c r="Q301" s="373">
        <v>2351.34</v>
      </c>
      <c r="R301" s="373">
        <v>2228.8200000000002</v>
      </c>
      <c r="S301" s="373">
        <v>2007.35</v>
      </c>
      <c r="T301" s="373">
        <v>1427.77</v>
      </c>
      <c r="U301" s="373">
        <v>504.19400000000002</v>
      </c>
      <c r="V301" s="373">
        <v>334.55900000000003</v>
      </c>
      <c r="W301" s="373">
        <v>122.515</v>
      </c>
      <c r="X301" s="373">
        <v>0</v>
      </c>
      <c r="Y301" s="382">
        <v>0</v>
      </c>
    </row>
    <row r="302" spans="1:25" ht="13.5" thickBot="1" x14ac:dyDescent="0.25">
      <c r="A302" s="379" t="s">
        <v>116</v>
      </c>
      <c r="B302" s="374">
        <f t="shared" ref="B302:X302" si="99">(C301+B301)*(C300-B300)/2</f>
        <v>2.8036995</v>
      </c>
      <c r="C302" s="375">
        <f t="shared" si="99"/>
        <v>23.336722499999997</v>
      </c>
      <c r="D302" s="375">
        <f t="shared" si="99"/>
        <v>60.305399999999992</v>
      </c>
      <c r="E302" s="375">
        <f t="shared" si="99"/>
        <v>48.958600000000004</v>
      </c>
      <c r="F302" s="375">
        <f t="shared" si="99"/>
        <v>48.972785000000002</v>
      </c>
      <c r="G302" s="375">
        <f t="shared" si="99"/>
        <v>120.47885999999997</v>
      </c>
      <c r="H302" s="375">
        <f t="shared" si="99"/>
        <v>209.04504500000002</v>
      </c>
      <c r="I302" s="375">
        <f t="shared" si="99"/>
        <v>373.22199000000006</v>
      </c>
      <c r="J302" s="375">
        <f t="shared" si="99"/>
        <v>970.15800999999988</v>
      </c>
      <c r="K302" s="375">
        <f t="shared" si="99"/>
        <v>619.51174999999989</v>
      </c>
      <c r="L302" s="375">
        <f t="shared" si="99"/>
        <v>1076.2915799999998</v>
      </c>
      <c r="M302" s="375">
        <f t="shared" si="99"/>
        <v>469.3247999999997</v>
      </c>
      <c r="N302" s="375">
        <f t="shared" si="99"/>
        <v>462.16240000000045</v>
      </c>
      <c r="O302" s="375">
        <f t="shared" si="99"/>
        <v>831.96600499999977</v>
      </c>
      <c r="P302" s="375">
        <f t="shared" si="99"/>
        <v>1120.3585199999998</v>
      </c>
      <c r="Q302" s="375">
        <f t="shared" si="99"/>
        <v>542.74896000000024</v>
      </c>
      <c r="R302" s="375">
        <f t="shared" si="99"/>
        <v>158.85637500000038</v>
      </c>
      <c r="S302" s="375">
        <f t="shared" si="99"/>
        <v>180.34379999999996</v>
      </c>
      <c r="T302" s="375">
        <f t="shared" si="99"/>
        <v>68.584721999999744</v>
      </c>
      <c r="U302" s="375">
        <f t="shared" si="99"/>
        <v>11.742542000000011</v>
      </c>
      <c r="V302" s="375">
        <f t="shared" si="99"/>
        <v>11.42685000000006</v>
      </c>
      <c r="W302" s="375">
        <f t="shared" si="99"/>
        <v>1.8377249999999881</v>
      </c>
      <c r="X302" s="375">
        <f t="shared" si="99"/>
        <v>0</v>
      </c>
      <c r="Y302" s="369"/>
    </row>
    <row r="303" spans="1:25" ht="13.5" thickBot="1" x14ac:dyDescent="0.25">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spans="1:25" ht="13.5" thickBot="1" x14ac:dyDescent="0.25">
      <c r="A304" s="361" t="s">
        <v>550</v>
      </c>
      <c r="B304" s="359">
        <f>ROW(A304)</f>
        <v>304</v>
      </c>
      <c r="C304" s="363" t="s">
        <v>115</v>
      </c>
      <c r="D304" s="353">
        <f>SUM(B307:Y307)</f>
        <v>17734.977350500001</v>
      </c>
      <c r="E304" s="363" t="s">
        <v>114</v>
      </c>
      <c r="F304" s="354">
        <f>D304/g/J304</f>
        <v>192.73420306179892</v>
      </c>
      <c r="G304" s="363" t="s">
        <v>56</v>
      </c>
      <c r="H304" s="64">
        <v>14.747999999999999</v>
      </c>
      <c r="I304" s="363" t="s">
        <v>271</v>
      </c>
      <c r="J304" s="355">
        <f>H304-L304</f>
        <v>9.379999999999999</v>
      </c>
      <c r="K304" s="363" t="s">
        <v>272</v>
      </c>
      <c r="L304" s="64">
        <v>5.3680000000000003</v>
      </c>
      <c r="M304" s="363" t="s">
        <v>57</v>
      </c>
      <c r="N304" s="65">
        <v>500</v>
      </c>
      <c r="O304" s="363" t="s">
        <v>59</v>
      </c>
      <c r="P304" s="65">
        <v>500</v>
      </c>
      <c r="Q304" s="363" t="s">
        <v>60</v>
      </c>
      <c r="R304" s="65">
        <v>1046</v>
      </c>
      <c r="S304" s="363" t="s">
        <v>61</v>
      </c>
      <c r="T304" s="65">
        <v>98</v>
      </c>
      <c r="U304" s="363" t="s">
        <v>54</v>
      </c>
      <c r="V304" s="66" t="s">
        <v>118</v>
      </c>
      <c r="W304" s="12"/>
      <c r="X304" s="12"/>
      <c r="Y304" s="12"/>
    </row>
    <row r="305" spans="1:25" x14ac:dyDescent="0.2">
      <c r="A305" s="362" t="s">
        <v>33</v>
      </c>
      <c r="B305" s="370">
        <v>0</v>
      </c>
      <c r="C305" s="371">
        <v>3.0000000000000001E-3</v>
      </c>
      <c r="D305" s="371">
        <v>0.05</v>
      </c>
      <c r="E305" s="371">
        <v>7.8E-2</v>
      </c>
      <c r="F305" s="371">
        <v>0.121</v>
      </c>
      <c r="G305" s="371">
        <v>0.65200000000000002</v>
      </c>
      <c r="H305" s="371">
        <v>1.123</v>
      </c>
      <c r="I305" s="371">
        <v>1.655</v>
      </c>
      <c r="J305" s="371">
        <v>2.3530000000000002</v>
      </c>
      <c r="K305" s="371">
        <v>3.0350000000000001</v>
      </c>
      <c r="L305" s="371">
        <v>3.7</v>
      </c>
      <c r="M305" s="371">
        <v>3.7330000000000001</v>
      </c>
      <c r="N305" s="371">
        <v>3.887</v>
      </c>
      <c r="O305" s="371">
        <v>4.0359999999999996</v>
      </c>
      <c r="P305" s="371">
        <v>4.1970000000000001</v>
      </c>
      <c r="Q305" s="371">
        <v>4.2619999999999996</v>
      </c>
      <c r="R305" s="371">
        <v>4.3</v>
      </c>
      <c r="S305" s="371">
        <v>5</v>
      </c>
      <c r="T305" s="371">
        <v>5</v>
      </c>
      <c r="U305" s="371">
        <v>5</v>
      </c>
      <c r="V305" s="371">
        <v>5</v>
      </c>
      <c r="W305" s="371">
        <v>5</v>
      </c>
      <c r="X305" s="371">
        <v>5</v>
      </c>
      <c r="Y305" s="381">
        <v>1000</v>
      </c>
    </row>
    <row r="306" spans="1:25" x14ac:dyDescent="0.2">
      <c r="A306" s="378" t="s">
        <v>34</v>
      </c>
      <c r="B306" s="372">
        <v>0</v>
      </c>
      <c r="C306" s="373">
        <v>203.87700000000001</v>
      </c>
      <c r="D306" s="373">
        <v>2362.8789999999999</v>
      </c>
      <c r="E306" s="373">
        <v>3946.8449999999998</v>
      </c>
      <c r="F306" s="373">
        <v>4281.4120000000003</v>
      </c>
      <c r="G306" s="373">
        <v>4370.2809999999999</v>
      </c>
      <c r="H306" s="373">
        <v>4453.9229999999998</v>
      </c>
      <c r="I306" s="373">
        <v>4772.8069999999998</v>
      </c>
      <c r="J306" s="373">
        <v>4621.2060000000001</v>
      </c>
      <c r="K306" s="373">
        <v>4511.4269999999997</v>
      </c>
      <c r="L306" s="373">
        <v>4375.509</v>
      </c>
      <c r="M306" s="373">
        <v>4182.0870000000004</v>
      </c>
      <c r="N306" s="373">
        <v>2969.2820000000002</v>
      </c>
      <c r="O306" s="373">
        <v>1589.193</v>
      </c>
      <c r="P306" s="373">
        <v>533.21600000000001</v>
      </c>
      <c r="Q306" s="373">
        <v>240.47</v>
      </c>
      <c r="R306" s="373">
        <v>0</v>
      </c>
      <c r="S306" s="373">
        <v>0</v>
      </c>
      <c r="T306" s="373">
        <v>0</v>
      </c>
      <c r="U306" s="373">
        <v>0</v>
      </c>
      <c r="V306" s="373">
        <v>0</v>
      </c>
      <c r="W306" s="373">
        <v>0</v>
      </c>
      <c r="X306" s="373">
        <v>0</v>
      </c>
      <c r="Y306" s="382">
        <v>0</v>
      </c>
    </row>
    <row r="307" spans="1:25" ht="13.5" thickBot="1" x14ac:dyDescent="0.25">
      <c r="A307" s="379" t="s">
        <v>116</v>
      </c>
      <c r="B307" s="374">
        <f t="shared" ref="B307" si="100">(C306+B306)*(C305-B305)/2</f>
        <v>0.30581550000000002</v>
      </c>
      <c r="C307" s="375">
        <f t="shared" ref="C307" si="101">(D306+C306)*(D305-C305)/2</f>
        <v>60.318765999999997</v>
      </c>
      <c r="D307" s="375">
        <f t="shared" ref="D307" si="102">(E306+D306)*(E305-D305)/2</f>
        <v>88.336135999999996</v>
      </c>
      <c r="E307" s="375">
        <f t="shared" ref="E307" si="103">(F306+E306)*(F305-E305)/2</f>
        <v>176.90752549999999</v>
      </c>
      <c r="F307" s="375">
        <f t="shared" ref="F307" si="104">(G306+F306)*(G305-F305)/2</f>
        <v>2297.0244914999998</v>
      </c>
      <c r="G307" s="375">
        <f t="shared" ref="G307" si="105">(H306+G306)*(H305-G305)/2</f>
        <v>2078.100042</v>
      </c>
      <c r="H307" s="375">
        <f t="shared" ref="H307" si="106">(I306+H306)*(I305-H305)/2</f>
        <v>2454.3101799999999</v>
      </c>
      <c r="I307" s="375">
        <f t="shared" ref="I307" si="107">(J306+I306)*(J305-I305)/2</f>
        <v>3278.5105370000006</v>
      </c>
      <c r="J307" s="375">
        <f t="shared" ref="J307" si="108">(K306+J306)*(K305-J305)/2</f>
        <v>3114.2278529999999</v>
      </c>
      <c r="K307" s="375">
        <f t="shared" ref="K307" si="109">(L306+K306)*(L305-K305)/2</f>
        <v>2954.9062199999998</v>
      </c>
      <c r="L307" s="375">
        <f t="shared" ref="L307" si="110">(M306+L306)*(M305-L305)/2</f>
        <v>141.20033399999969</v>
      </c>
      <c r="M307" s="375">
        <f t="shared" ref="M307" si="111">(N306+M306)*(N305-M305)/2</f>
        <v>550.65541299999973</v>
      </c>
      <c r="N307" s="375">
        <f t="shared" ref="N307" si="112">(O306+N306)*(O305-N305)/2</f>
        <v>339.60638749999907</v>
      </c>
      <c r="O307" s="375">
        <f t="shared" ref="O307" si="113">(P306+O306)*(P305-O305)/2</f>
        <v>170.85392450000052</v>
      </c>
      <c r="P307" s="375">
        <f t="shared" ref="P307" si="114">(Q306+P306)*(Q305-P305)/2</f>
        <v>25.14479499999981</v>
      </c>
      <c r="Q307" s="375">
        <f t="shared" ref="Q307" si="115">(R306+Q306)*(R305-Q305)/2</f>
        <v>4.568930000000031</v>
      </c>
      <c r="R307" s="375">
        <f t="shared" ref="R307" si="116">(S306+R306)*(S305-R305)/2</f>
        <v>0</v>
      </c>
      <c r="S307" s="375">
        <f t="shared" ref="S307" si="117">(T306+S306)*(T305-S305)/2</f>
        <v>0</v>
      </c>
      <c r="T307" s="375">
        <f t="shared" ref="T307" si="118">(U306+T306)*(U305-T305)/2</f>
        <v>0</v>
      </c>
      <c r="U307" s="375">
        <f t="shared" ref="U307" si="119">(V306+U306)*(V305-U305)/2</f>
        <v>0</v>
      </c>
      <c r="V307" s="375">
        <f t="shared" ref="V307" si="120">(W306+V306)*(W305-V305)/2</f>
        <v>0</v>
      </c>
      <c r="W307" s="375">
        <f t="shared" ref="W307" si="121">(X306+W306)*(X305-W305)/2</f>
        <v>0</v>
      </c>
      <c r="X307" s="375">
        <f t="shared" ref="X307" si="122">(Y306+X306)*(Y305-X305)/2</f>
        <v>0</v>
      </c>
      <c r="Y307" s="369"/>
    </row>
    <row r="308" spans="1:25" ht="13.5" thickBot="1" x14ac:dyDescent="0.25">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spans="1:25" ht="13.5" thickBot="1" x14ac:dyDescent="0.25">
      <c r="A309" s="361" t="s">
        <v>44</v>
      </c>
      <c r="B309" s="359">
        <f>ROW(A309)</f>
        <v>309</v>
      </c>
      <c r="C309" s="363" t="s">
        <v>115</v>
      </c>
      <c r="D309" s="353">
        <f>SUM(B312:Y312)</f>
        <v>1E-3</v>
      </c>
      <c r="E309" s="363" t="s">
        <v>114</v>
      </c>
      <c r="F309" s="354">
        <f>D309/g/J309</f>
        <v>1.019367991845056</v>
      </c>
      <c r="G309" s="363" t="s">
        <v>56</v>
      </c>
      <c r="H309" s="64">
        <v>1E-4</v>
      </c>
      <c r="I309" s="363" t="s">
        <v>271</v>
      </c>
      <c r="J309" s="355">
        <f>H309-L309</f>
        <v>1E-4</v>
      </c>
      <c r="K309" s="363" t="s">
        <v>272</v>
      </c>
      <c r="L309" s="64">
        <v>0</v>
      </c>
      <c r="M309" s="363" t="s">
        <v>57</v>
      </c>
      <c r="N309" s="65">
        <v>0</v>
      </c>
      <c r="O309" s="363" t="s">
        <v>59</v>
      </c>
      <c r="P309" s="65">
        <v>0</v>
      </c>
      <c r="Q309" s="363" t="s">
        <v>60</v>
      </c>
      <c r="R309" s="65">
        <v>0</v>
      </c>
      <c r="S309" s="363" t="s">
        <v>61</v>
      </c>
      <c r="T309" s="65">
        <v>0</v>
      </c>
      <c r="U309" s="363" t="s">
        <v>54</v>
      </c>
      <c r="V309" s="66" t="s">
        <v>118</v>
      </c>
      <c r="W309" s="12"/>
      <c r="X309" s="12"/>
      <c r="Y309" s="12"/>
    </row>
    <row r="310" spans="1:25" x14ac:dyDescent="0.2">
      <c r="A310" s="362" t="s">
        <v>33</v>
      </c>
      <c r="B310" s="370">
        <v>0</v>
      </c>
      <c r="C310" s="371">
        <v>0.1</v>
      </c>
      <c r="D310" s="371">
        <v>0.2</v>
      </c>
      <c r="E310" s="371">
        <v>1</v>
      </c>
      <c r="F310" s="371">
        <v>1</v>
      </c>
      <c r="G310" s="371">
        <v>1</v>
      </c>
      <c r="H310" s="371">
        <v>1</v>
      </c>
      <c r="I310" s="371">
        <v>1</v>
      </c>
      <c r="J310" s="371">
        <v>1</v>
      </c>
      <c r="K310" s="371">
        <v>1</v>
      </c>
      <c r="L310" s="371">
        <v>1</v>
      </c>
      <c r="M310" s="371">
        <v>1</v>
      </c>
      <c r="N310" s="371">
        <v>1</v>
      </c>
      <c r="O310" s="371">
        <v>1</v>
      </c>
      <c r="P310" s="371">
        <v>1</v>
      </c>
      <c r="Q310" s="371">
        <v>1</v>
      </c>
      <c r="R310" s="371">
        <v>1</v>
      </c>
      <c r="S310" s="371">
        <v>1</v>
      </c>
      <c r="T310" s="371">
        <v>1</v>
      </c>
      <c r="U310" s="371">
        <v>1</v>
      </c>
      <c r="V310" s="371">
        <v>1</v>
      </c>
      <c r="W310" s="371">
        <v>1</v>
      </c>
      <c r="X310" s="371">
        <v>1</v>
      </c>
      <c r="Y310" s="381">
        <v>1000</v>
      </c>
    </row>
    <row r="311" spans="1:25" x14ac:dyDescent="0.2">
      <c r="A311" s="378" t="s">
        <v>34</v>
      </c>
      <c r="B311" s="372">
        <v>0</v>
      </c>
      <c r="C311" s="373">
        <v>0.01</v>
      </c>
      <c r="D311" s="373">
        <v>0</v>
      </c>
      <c r="E311" s="373">
        <v>0</v>
      </c>
      <c r="F311" s="373">
        <v>0</v>
      </c>
      <c r="G311" s="373">
        <v>0</v>
      </c>
      <c r="H311" s="373">
        <v>0</v>
      </c>
      <c r="I311" s="373">
        <v>0</v>
      </c>
      <c r="J311" s="373">
        <v>0</v>
      </c>
      <c r="K311" s="373">
        <v>0</v>
      </c>
      <c r="L311" s="373">
        <v>0</v>
      </c>
      <c r="M311" s="373">
        <v>0</v>
      </c>
      <c r="N311" s="373">
        <v>0</v>
      </c>
      <c r="O311" s="373">
        <v>0</v>
      </c>
      <c r="P311" s="373">
        <v>0</v>
      </c>
      <c r="Q311" s="373">
        <v>0</v>
      </c>
      <c r="R311" s="373">
        <v>0</v>
      </c>
      <c r="S311" s="373">
        <v>0</v>
      </c>
      <c r="T311" s="373">
        <v>0</v>
      </c>
      <c r="U311" s="373">
        <v>0</v>
      </c>
      <c r="V311" s="373">
        <v>0</v>
      </c>
      <c r="W311" s="373">
        <v>0</v>
      </c>
      <c r="X311" s="373">
        <v>0</v>
      </c>
      <c r="Y311" s="382">
        <v>0</v>
      </c>
    </row>
    <row r="312" spans="1:25" ht="13.5" thickBot="1" x14ac:dyDescent="0.25">
      <c r="A312" s="379" t="s">
        <v>116</v>
      </c>
      <c r="B312" s="374">
        <f t="shared" ref="B312:G312" si="123">(C311+B311)*(C310-B310)/2</f>
        <v>5.0000000000000001E-4</v>
      </c>
      <c r="C312" s="375">
        <f t="shared" si="123"/>
        <v>5.0000000000000001E-4</v>
      </c>
      <c r="D312" s="375">
        <f t="shared" si="123"/>
        <v>0</v>
      </c>
      <c r="E312" s="375">
        <f t="shared" si="123"/>
        <v>0</v>
      </c>
      <c r="F312" s="375">
        <f t="shared" si="123"/>
        <v>0</v>
      </c>
      <c r="G312" s="375">
        <f t="shared" si="123"/>
        <v>0</v>
      </c>
      <c r="H312" s="375">
        <f t="shared" ref="H312:V312" si="124">(I311+H311)*(I310-H310)/2</f>
        <v>0</v>
      </c>
      <c r="I312" s="375">
        <f t="shared" si="124"/>
        <v>0</v>
      </c>
      <c r="J312" s="375">
        <f>(K311+J311)*(K310-J310)/2</f>
        <v>0</v>
      </c>
      <c r="K312" s="375">
        <f t="shared" si="124"/>
        <v>0</v>
      </c>
      <c r="L312" s="375">
        <f t="shared" si="124"/>
        <v>0</v>
      </c>
      <c r="M312" s="375">
        <f t="shared" si="124"/>
        <v>0</v>
      </c>
      <c r="N312" s="375">
        <f t="shared" si="124"/>
        <v>0</v>
      </c>
      <c r="O312" s="375">
        <f t="shared" si="124"/>
        <v>0</v>
      </c>
      <c r="P312" s="375">
        <f t="shared" si="124"/>
        <v>0</v>
      </c>
      <c r="Q312" s="375">
        <f t="shared" si="124"/>
        <v>0</v>
      </c>
      <c r="R312" s="375">
        <f t="shared" si="124"/>
        <v>0</v>
      </c>
      <c r="S312" s="375">
        <f>(T311+S311)*(T310-S310)/2</f>
        <v>0</v>
      </c>
      <c r="T312" s="375">
        <f t="shared" si="124"/>
        <v>0</v>
      </c>
      <c r="U312" s="375">
        <f t="shared" si="124"/>
        <v>0</v>
      </c>
      <c r="V312" s="375">
        <f t="shared" si="124"/>
        <v>0</v>
      </c>
      <c r="W312" s="375">
        <f>(X311+W311)*(X310-W310)/2</f>
        <v>0</v>
      </c>
      <c r="X312" s="375">
        <f>(Y311+X311)*(Y310-X310)/2</f>
        <v>0</v>
      </c>
      <c r="Y312" s="369"/>
    </row>
    <row r="314" spans="1:25" x14ac:dyDescent="0.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6" spans="1:25" x14ac:dyDescent="0.2">
      <c r="A316" s="397" t="str">
        <f>IF(Lang="Français","Liste des propu affichés :","Motor list (shown):")</f>
        <v>Liste des propu affichés :</v>
      </c>
      <c r="C316" s="640" t="s">
        <v>276</v>
      </c>
      <c r="D316" s="641"/>
      <c r="F316" s="640" t="s">
        <v>181</v>
      </c>
      <c r="G316" s="641"/>
      <c r="H316" s="12"/>
      <c r="I316" s="640" t="s">
        <v>397</v>
      </c>
      <c r="J316" s="641"/>
      <c r="K316" s="12"/>
      <c r="L316" s="640" t="s">
        <v>182</v>
      </c>
      <c r="M316" s="641"/>
      <c r="O316" s="640" t="s">
        <v>396</v>
      </c>
      <c r="P316" s="641"/>
      <c r="R316" s="640" t="s">
        <v>118</v>
      </c>
      <c r="S316" s="641"/>
    </row>
    <row r="317" spans="1:25" x14ac:dyDescent="0.2">
      <c r="A317" s="398" t="str">
        <f t="array" ref="A317:A346">IF(RIGHT(Type_fusee,1)=".",Liste_fusex, IF(LEFT(Type_fusee,4)="Mini",Liste_minif, IF(LEFT(Type_fusee,5)="Micro",Liste_µfu, IF(RIGHT(Type_fusee,1)=" ",Liste_H2O, IF(LEFT(Type_fusee,1)="R",Liste_RC, IF(LEFT(Type_fusee,1)=",",Liste_minifT))))))</f>
        <v>Pro54-5G WT</v>
      </c>
      <c r="C317" s="642" t="str">
        <f>A26</f>
        <v>H2O 1.5L 300g 6bar</v>
      </c>
      <c r="D317" s="643"/>
      <c r="F317" s="642" t="str">
        <f>A67</f>
        <v>µ-propu A8-3</v>
      </c>
      <c r="G317" s="643"/>
      <c r="H317" s="472"/>
      <c r="I317" s="644" t="str">
        <f>A148</f>
        <v>p29-1G 56F31</v>
      </c>
      <c r="J317" s="645"/>
      <c r="K317" s="472"/>
      <c r="L317" s="644" t="str">
        <f>A158</f>
        <v>p29-1G 57F59</v>
      </c>
      <c r="M317" s="645"/>
      <c r="O317" s="642" t="str">
        <f>A108</f>
        <v>p24-1G 24E22</v>
      </c>
      <c r="P317" s="643"/>
      <c r="R317" s="642" t="str">
        <f>A284</f>
        <v>Pro54-5G WT</v>
      </c>
      <c r="S317" s="643"/>
    </row>
    <row r="318" spans="1:25" x14ac:dyDescent="0.2">
      <c r="A318" s="398" t="str">
        <v>Barasinga (Pro54-5G C)</v>
      </c>
      <c r="C318" s="642" t="str">
        <f>A31</f>
        <v>H2O 1.5L 450g 6bar</v>
      </c>
      <c r="D318" s="643"/>
      <c r="F318" s="642" t="str">
        <f>A72</f>
        <v>µ-propu B4-4</v>
      </c>
      <c r="G318" s="643"/>
      <c r="H318" s="472"/>
      <c r="I318" s="644" t="str">
        <f>A153</f>
        <v>p29-1G 56F120</v>
      </c>
      <c r="J318" s="645"/>
      <c r="K318" s="472"/>
      <c r="L318" s="644" t="str">
        <f>A183</f>
        <v>p24-3G 74F85</v>
      </c>
      <c r="M318" s="645"/>
      <c r="O318" s="642" t="str">
        <f>A113</f>
        <v>p24-1G 25E75 (Rufina)</v>
      </c>
      <c r="P318" s="643"/>
      <c r="R318" s="642" t="str">
        <f>A279</f>
        <v>Barasinga (Pro54-5G C)</v>
      </c>
      <c r="S318" s="643"/>
    </row>
    <row r="319" spans="1:25" x14ac:dyDescent="0.2">
      <c r="A319" s="398" t="str">
        <v>Orignal (Pro75-3G C)</v>
      </c>
      <c r="C319" s="642" t="str">
        <f>A36</f>
        <v>H2O 1.5L 600g 6bar</v>
      </c>
      <c r="D319" s="643"/>
      <c r="F319" s="642" t="str">
        <f>A77</f>
        <v>µ-propu C6-3</v>
      </c>
      <c r="G319" s="643"/>
      <c r="H319" s="472"/>
      <c r="I319" s="644" t="str">
        <f>A158</f>
        <v>p29-1G 57F59</v>
      </c>
      <c r="J319" s="645"/>
      <c r="K319" s="472"/>
      <c r="L319" s="644" t="str">
        <f>A188</f>
        <v>p24-3G 75F51</v>
      </c>
      <c r="M319" s="645"/>
      <c r="O319" s="642" t="str">
        <f>A118</f>
        <v>p24-1G 26E31</v>
      </c>
      <c r="P319" s="643"/>
      <c r="R319" s="642" t="str">
        <f>A289</f>
        <v>Orignal (Pro75-3G C)</v>
      </c>
      <c r="S319" s="643"/>
    </row>
    <row r="320" spans="1:25" x14ac:dyDescent="0.2">
      <c r="A320" s="398" t="str">
        <v>Pro98-6G Green</v>
      </c>
      <c r="C320" s="642" t="str">
        <f>A41</f>
        <v>H2O 1.5L 750g 6bar</v>
      </c>
      <c r="D320" s="643"/>
      <c r="F320" s="642" t="str">
        <f>A82</f>
        <v>µ-propu C6-3 x2</v>
      </c>
      <c r="G320" s="643"/>
      <c r="H320" s="472"/>
      <c r="I320" s="644" t="str">
        <f>A183</f>
        <v>p24-3G 74F85</v>
      </c>
      <c r="J320" s="645"/>
      <c r="K320" s="472"/>
      <c r="L320" s="644" t="str">
        <f>A228</f>
        <v>p29-2G 116G126</v>
      </c>
      <c r="M320" s="645"/>
      <c r="O320" s="642" t="str">
        <f>A123</f>
        <v>p24-2G 50E51</v>
      </c>
      <c r="P320" s="643"/>
      <c r="R320" s="642" t="str">
        <f>A294</f>
        <v>Pro98-6G Green</v>
      </c>
      <c r="S320" s="643"/>
    </row>
    <row r="321" spans="1:19" x14ac:dyDescent="0.2">
      <c r="A321" s="398" t="str">
        <v xml:space="preserve"> </v>
      </c>
      <c r="C321" s="642" t="str">
        <f>A46</f>
        <v>H2O 2.0L 400g 6bar</v>
      </c>
      <c r="D321" s="643"/>
      <c r="F321" s="642" t="str">
        <f>A87</f>
        <v>µ-propu C6-3 x3</v>
      </c>
      <c r="G321" s="643"/>
      <c r="H321" s="472"/>
      <c r="I321" s="644" t="str">
        <f>A188</f>
        <v>p24-3G 75F51</v>
      </c>
      <c r="J321" s="645"/>
      <c r="K321" s="472"/>
      <c r="L321" s="644" t="str">
        <f>A198</f>
        <v>Pandora (Pro24-6G BS)</v>
      </c>
      <c r="M321" s="645"/>
      <c r="O321" s="642" t="str">
        <f>A128</f>
        <v>p24-1G 53E70</v>
      </c>
      <c r="P321" s="643"/>
      <c r="R321" s="642" t="s">
        <v>183</v>
      </c>
      <c r="S321" s="643"/>
    </row>
    <row r="322" spans="1:19" x14ac:dyDescent="0.2">
      <c r="A322" s="398" t="str">
        <v xml:space="preserve"> </v>
      </c>
      <c r="C322" s="642" t="str">
        <f>A51</f>
        <v>H2O 2.0L 600g 6bar</v>
      </c>
      <c r="D322" s="643"/>
      <c r="F322" s="642" t="s">
        <v>183</v>
      </c>
      <c r="G322" s="643"/>
      <c r="H322" s="472"/>
      <c r="I322" s="644" t="s">
        <v>183</v>
      </c>
      <c r="J322" s="645"/>
      <c r="K322" s="472"/>
      <c r="L322" s="642" t="str">
        <f>A92</f>
        <v>Klima D9-7</v>
      </c>
      <c r="M322" s="643"/>
      <c r="O322" s="642" t="str">
        <f>A133</f>
        <v>p29-1G 41F36</v>
      </c>
      <c r="P322" s="643"/>
      <c r="R322" s="642" t="s">
        <v>183</v>
      </c>
      <c r="S322" s="643"/>
    </row>
    <row r="323" spans="1:19" x14ac:dyDescent="0.2">
      <c r="A323" s="398" t="str">
        <v xml:space="preserve"> </v>
      </c>
      <c r="C323" s="642" t="str">
        <f>A56</f>
        <v>H2O 2.0L 800g 6bar</v>
      </c>
      <c r="D323" s="643"/>
      <c r="F323" s="642" t="s">
        <v>183</v>
      </c>
      <c r="G323" s="643"/>
      <c r="H323" s="472"/>
      <c r="I323" s="644" t="s">
        <v>183</v>
      </c>
      <c r="J323" s="645"/>
      <c r="K323" s="472"/>
      <c r="L323" s="642" t="str">
        <f>A97</f>
        <v>Klima D9-7 x2</v>
      </c>
      <c r="M323" s="643"/>
      <c r="O323" s="642" t="str">
        <f>A138</f>
        <v>p29-1G 51F36</v>
      </c>
      <c r="P323" s="643"/>
      <c r="R323" s="642" t="s">
        <v>183</v>
      </c>
      <c r="S323" s="643"/>
    </row>
    <row r="324" spans="1:19" x14ac:dyDescent="0.2">
      <c r="A324" s="398" t="str">
        <v xml:space="preserve"> </v>
      </c>
      <c r="C324" s="642" t="str">
        <f>A61</f>
        <v>H2O 2.0L 1000g 6bar</v>
      </c>
      <c r="D324" s="643"/>
      <c r="F324" s="642" t="s">
        <v>183</v>
      </c>
      <c r="G324" s="643"/>
      <c r="H324" s="472"/>
      <c r="I324" s="644" t="s">
        <v>183</v>
      </c>
      <c r="J324" s="645"/>
      <c r="K324" s="472"/>
      <c r="L324" s="642" t="str">
        <f>A102</f>
        <v>Klima D9-7 x3</v>
      </c>
      <c r="M324" s="643"/>
      <c r="O324" s="642" t="str">
        <f>A143</f>
        <v>p29-1G 55F29</v>
      </c>
      <c r="P324" s="643"/>
      <c r="R324" s="642" t="s">
        <v>183</v>
      </c>
      <c r="S324" s="643"/>
    </row>
    <row r="325" spans="1:19" x14ac:dyDescent="0.2">
      <c r="A325" s="398" t="str">
        <v xml:space="preserve"> </v>
      </c>
      <c r="C325" s="642" t="s">
        <v>183</v>
      </c>
      <c r="D325" s="643"/>
      <c r="F325" s="642" t="s">
        <v>183</v>
      </c>
      <c r="G325" s="643"/>
      <c r="H325" s="472"/>
      <c r="I325" s="644" t="s">
        <v>183</v>
      </c>
      <c r="J325" s="645"/>
      <c r="K325" s="472"/>
      <c r="L325" s="642" t="s">
        <v>183</v>
      </c>
      <c r="M325" s="643"/>
      <c r="O325" s="642" t="str">
        <f>A153</f>
        <v>p29-1G 56F120</v>
      </c>
      <c r="P325" s="643"/>
      <c r="R325" s="642" t="s">
        <v>183</v>
      </c>
      <c r="S325" s="643"/>
    </row>
    <row r="326" spans="1:19" x14ac:dyDescent="0.2">
      <c r="A326" s="398" t="str">
        <v xml:space="preserve"> </v>
      </c>
      <c r="C326" s="642" t="s">
        <v>183</v>
      </c>
      <c r="D326" s="643"/>
      <c r="F326" s="642" t="s">
        <v>183</v>
      </c>
      <c r="G326" s="643"/>
      <c r="H326" s="472"/>
      <c r="I326" s="644" t="s">
        <v>183</v>
      </c>
      <c r="J326" s="645"/>
      <c r="K326" s="472"/>
      <c r="L326" s="642" t="s">
        <v>183</v>
      </c>
      <c r="M326" s="643"/>
      <c r="O326" s="642" t="str">
        <f>A158</f>
        <v>p29-1G 57F59</v>
      </c>
      <c r="P326" s="643"/>
      <c r="R326" s="642" t="s">
        <v>183</v>
      </c>
      <c r="S326" s="643"/>
    </row>
    <row r="327" spans="1:19" x14ac:dyDescent="0.2">
      <c r="A327" s="398" t="str">
        <v xml:space="preserve"> </v>
      </c>
      <c r="C327" s="642" t="s">
        <v>183</v>
      </c>
      <c r="D327" s="643"/>
      <c r="F327" s="642" t="s">
        <v>183</v>
      </c>
      <c r="G327" s="643"/>
      <c r="H327" s="472"/>
      <c r="I327" s="644" t="s">
        <v>183</v>
      </c>
      <c r="J327" s="645"/>
      <c r="K327" s="472"/>
      <c r="L327" s="642" t="s">
        <v>183</v>
      </c>
      <c r="M327" s="643"/>
      <c r="O327" s="642" t="str">
        <f>A163</f>
        <v>p24-3G 60F50</v>
      </c>
      <c r="P327" s="643"/>
      <c r="R327" s="642" t="s">
        <v>183</v>
      </c>
      <c r="S327" s="643"/>
    </row>
    <row r="328" spans="1:19" x14ac:dyDescent="0.2">
      <c r="A328" s="398" t="str">
        <v xml:space="preserve"> </v>
      </c>
      <c r="C328" s="642" t="s">
        <v>183</v>
      </c>
      <c r="D328" s="643"/>
      <c r="F328" s="642" t="s">
        <v>183</v>
      </c>
      <c r="G328" s="643"/>
      <c r="H328" s="472"/>
      <c r="I328" s="644" t="s">
        <v>183</v>
      </c>
      <c r="J328" s="645"/>
      <c r="K328" s="472"/>
      <c r="L328" s="642" t="s">
        <v>183</v>
      </c>
      <c r="M328" s="643"/>
      <c r="O328" s="642" t="str">
        <f>A168</f>
        <v>p24-3G 68F79</v>
      </c>
      <c r="P328" s="643"/>
      <c r="R328" s="642" t="s">
        <v>183</v>
      </c>
      <c r="S328" s="643"/>
    </row>
    <row r="329" spans="1:19" x14ac:dyDescent="0.2">
      <c r="A329" s="398" t="str">
        <v xml:space="preserve"> </v>
      </c>
      <c r="C329" s="642" t="s">
        <v>183</v>
      </c>
      <c r="D329" s="643"/>
      <c r="F329" s="642" t="s">
        <v>183</v>
      </c>
      <c r="G329" s="643"/>
      <c r="H329" s="472"/>
      <c r="I329" s="644" t="s">
        <v>183</v>
      </c>
      <c r="J329" s="645"/>
      <c r="K329" s="472"/>
      <c r="L329" s="642" t="s">
        <v>183</v>
      </c>
      <c r="M329" s="643"/>
      <c r="O329" s="642" t="str">
        <f>A173</f>
        <v>p24-3G 68F240</v>
      </c>
      <c r="P329" s="643"/>
      <c r="R329" s="642" t="s">
        <v>183</v>
      </c>
      <c r="S329" s="643"/>
    </row>
    <row r="330" spans="1:19" x14ac:dyDescent="0.2">
      <c r="A330" s="398" t="str">
        <v xml:space="preserve"> </v>
      </c>
      <c r="C330" s="642" t="s">
        <v>183</v>
      </c>
      <c r="D330" s="643"/>
      <c r="F330" s="642" t="s">
        <v>183</v>
      </c>
      <c r="G330" s="643"/>
      <c r="H330" s="472"/>
      <c r="I330" s="644" t="s">
        <v>183</v>
      </c>
      <c r="J330" s="645"/>
      <c r="K330" s="472"/>
      <c r="L330" s="642" t="s">
        <v>183</v>
      </c>
      <c r="M330" s="643"/>
      <c r="O330" s="642" t="str">
        <f>A178</f>
        <v>p24-3G 73F30</v>
      </c>
      <c r="P330" s="643"/>
      <c r="R330" s="642" t="s">
        <v>183</v>
      </c>
      <c r="S330" s="643"/>
    </row>
    <row r="331" spans="1:19" x14ac:dyDescent="0.2">
      <c r="A331" s="398" t="str">
        <v xml:space="preserve"> </v>
      </c>
      <c r="C331" s="642" t="s">
        <v>183</v>
      </c>
      <c r="D331" s="643"/>
      <c r="F331" s="642" t="s">
        <v>183</v>
      </c>
      <c r="G331" s="643"/>
      <c r="H331" s="472"/>
      <c r="I331" s="648" t="s">
        <v>183</v>
      </c>
      <c r="J331" s="649"/>
      <c r="K331" s="472"/>
      <c r="L331" s="642" t="s">
        <v>183</v>
      </c>
      <c r="M331" s="643"/>
      <c r="O331" s="642" t="str">
        <f>A183</f>
        <v>p24-3G 74F85</v>
      </c>
      <c r="P331" s="643"/>
      <c r="R331" s="642" t="s">
        <v>183</v>
      </c>
      <c r="S331" s="643"/>
    </row>
    <row r="332" spans="1:19" x14ac:dyDescent="0.2">
      <c r="A332" s="462" t="str">
        <v xml:space="preserve"> </v>
      </c>
      <c r="C332" s="646" t="s">
        <v>183</v>
      </c>
      <c r="D332" s="647"/>
      <c r="F332" s="646" t="s">
        <v>183</v>
      </c>
      <c r="G332" s="647"/>
      <c r="H332" s="472"/>
      <c r="I332" s="646" t="s">
        <v>183</v>
      </c>
      <c r="J332" s="647"/>
      <c r="K332" s="472"/>
      <c r="L332" s="646" t="s">
        <v>183</v>
      </c>
      <c r="M332" s="647"/>
      <c r="O332" s="642" t="str">
        <f>A188</f>
        <v>p24-3G 75F51</v>
      </c>
      <c r="P332" s="643"/>
      <c r="R332" s="646" t="s">
        <v>183</v>
      </c>
      <c r="S332" s="647"/>
    </row>
    <row r="333" spans="1:19" x14ac:dyDescent="0.2">
      <c r="A333" s="398" t="str">
        <v xml:space="preserve"> </v>
      </c>
      <c r="C333" s="637" t="s">
        <v>183</v>
      </c>
      <c r="D333" s="637"/>
      <c r="F333" s="637" t="s">
        <v>183</v>
      </c>
      <c r="G333" s="637"/>
      <c r="I333" s="639" t="s">
        <v>183</v>
      </c>
      <c r="J333" s="639"/>
      <c r="L333" s="639" t="s">
        <v>183</v>
      </c>
      <c r="M333" s="639"/>
      <c r="O333" s="642" t="str">
        <f>A213</f>
        <v>p29-2G 84G88</v>
      </c>
      <c r="P333" s="643"/>
      <c r="R333" s="651" t="s">
        <v>183</v>
      </c>
      <c r="S333" s="651"/>
    </row>
    <row r="334" spans="1:19" x14ac:dyDescent="0.2">
      <c r="A334" s="398" t="str">
        <v>Isard</v>
      </c>
      <c r="C334" s="638" t="s">
        <v>183</v>
      </c>
      <c r="D334" s="638"/>
      <c r="F334" s="638" t="s">
        <v>183</v>
      </c>
      <c r="G334" s="638"/>
      <c r="I334" s="639" t="s">
        <v>183</v>
      </c>
      <c r="J334" s="639"/>
      <c r="L334" s="639" t="s">
        <v>183</v>
      </c>
      <c r="M334" s="639"/>
      <c r="O334" s="642" t="str">
        <f>A218</f>
        <v>p29-2G 93G80</v>
      </c>
      <c r="P334" s="643"/>
      <c r="R334" s="650" t="str">
        <f>A269</f>
        <v>Isard</v>
      </c>
      <c r="S334" s="650"/>
    </row>
    <row r="335" spans="1:19" x14ac:dyDescent="0.2">
      <c r="A335" s="398" t="str">
        <v>Chamois</v>
      </c>
      <c r="C335" s="638" t="s">
        <v>183</v>
      </c>
      <c r="D335" s="638"/>
      <c r="F335" s="638" t="s">
        <v>183</v>
      </c>
      <c r="G335" s="638"/>
      <c r="I335" s="639" t="s">
        <v>183</v>
      </c>
      <c r="J335" s="639"/>
      <c r="L335" s="639" t="s">
        <v>183</v>
      </c>
      <c r="M335" s="639"/>
      <c r="O335" s="642" t="str">
        <f>A223</f>
        <v>p29-2G 110G250</v>
      </c>
      <c r="P335" s="643"/>
      <c r="R335" s="650" t="str">
        <f>A274</f>
        <v>Chamois</v>
      </c>
      <c r="S335" s="650"/>
    </row>
    <row r="336" spans="1:19" x14ac:dyDescent="0.2">
      <c r="A336" s="398" t="str">
        <v>Pro54-5G WT</v>
      </c>
      <c r="C336" s="638" t="s">
        <v>183</v>
      </c>
      <c r="D336" s="638"/>
      <c r="F336" s="638" t="s">
        <v>183</v>
      </c>
      <c r="G336" s="638"/>
      <c r="I336" s="639" t="s">
        <v>183</v>
      </c>
      <c r="J336" s="639"/>
      <c r="L336" s="639" t="s">
        <v>183</v>
      </c>
      <c r="M336" s="639"/>
      <c r="O336" s="642" t="str">
        <f>A228</f>
        <v>p29-2G 116G126</v>
      </c>
      <c r="P336" s="643"/>
      <c r="R336" s="650" t="str">
        <f>A284</f>
        <v>Pro54-5G WT</v>
      </c>
      <c r="S336" s="650"/>
    </row>
    <row r="337" spans="1:19" x14ac:dyDescent="0.2">
      <c r="A337" s="398" t="str">
        <v>Pro98-6G Green</v>
      </c>
      <c r="C337" s="638" t="s">
        <v>183</v>
      </c>
      <c r="D337" s="638"/>
      <c r="F337" s="638" t="s">
        <v>183</v>
      </c>
      <c r="G337" s="638"/>
      <c r="I337" s="639" t="s">
        <v>183</v>
      </c>
      <c r="J337" s="639"/>
      <c r="L337" s="639" t="s">
        <v>183</v>
      </c>
      <c r="M337" s="639"/>
      <c r="O337" s="642" t="str">
        <f>A233</f>
        <v>p29-3G 125G131</v>
      </c>
      <c r="P337" s="643"/>
      <c r="R337" s="650" t="str">
        <f>A294</f>
        <v>Pro98-6G Green</v>
      </c>
      <c r="S337" s="650"/>
    </row>
    <row r="338" spans="1:19" x14ac:dyDescent="0.2">
      <c r="A338" s="398" t="str">
        <v>Pro98-3G WT</v>
      </c>
      <c r="C338" s="638" t="s">
        <v>183</v>
      </c>
      <c r="D338" s="638"/>
      <c r="F338" s="638" t="s">
        <v>183</v>
      </c>
      <c r="G338" s="638"/>
      <c r="I338" s="639" t="s">
        <v>183</v>
      </c>
      <c r="J338" s="639"/>
      <c r="L338" s="639" t="s">
        <v>183</v>
      </c>
      <c r="M338" s="639"/>
      <c r="O338" s="642" t="str">
        <f>A248</f>
        <v>p38-1G 128G185</v>
      </c>
      <c r="P338" s="643"/>
      <c r="R338" s="650" t="str">
        <f>A299</f>
        <v>Pro98-3G WT</v>
      </c>
      <c r="S338" s="650"/>
    </row>
    <row r="339" spans="1:19" x14ac:dyDescent="0.2">
      <c r="A339" s="398" t="str">
        <v>Aucun (2e ét. inerte)</v>
      </c>
      <c r="C339" s="638" t="s">
        <v>183</v>
      </c>
      <c r="D339" s="638"/>
      <c r="F339" s="638" t="s">
        <v>183</v>
      </c>
      <c r="G339" s="638"/>
      <c r="I339" s="639" t="s">
        <v>183</v>
      </c>
      <c r="J339" s="639"/>
      <c r="L339" s="639" t="s">
        <v>183</v>
      </c>
      <c r="M339" s="639"/>
      <c r="O339" s="642" t="str">
        <f>A243</f>
        <v>p38-1G 137G58</v>
      </c>
      <c r="P339" s="643"/>
      <c r="R339" s="650" t="str">
        <f>A309</f>
        <v>Aucun (2e ét. inerte)</v>
      </c>
      <c r="S339" s="650"/>
    </row>
    <row r="340" spans="1:19" x14ac:dyDescent="0.2">
      <c r="A340" s="398" t="str">
        <v xml:space="preserve"> </v>
      </c>
      <c r="C340" s="638" t="s">
        <v>183</v>
      </c>
      <c r="D340" s="638"/>
      <c r="F340" s="638" t="s">
        <v>183</v>
      </c>
      <c r="G340" s="638"/>
      <c r="I340" s="639" t="s">
        <v>183</v>
      </c>
      <c r="J340" s="639"/>
      <c r="L340" s="639" t="s">
        <v>183</v>
      </c>
      <c r="M340" s="639"/>
      <c r="O340" s="642" t="str">
        <f>A253</f>
        <v>p38-1G 141G78</v>
      </c>
      <c r="P340" s="643"/>
      <c r="R340" s="639" t="s">
        <v>183</v>
      </c>
      <c r="S340" s="639"/>
    </row>
    <row r="341" spans="1:19" x14ac:dyDescent="0.2">
      <c r="A341" s="398" t="str">
        <v xml:space="preserve"> </v>
      </c>
      <c r="C341" s="638" t="s">
        <v>183</v>
      </c>
      <c r="D341" s="638"/>
      <c r="F341" s="638" t="s">
        <v>183</v>
      </c>
      <c r="G341" s="638"/>
      <c r="I341" s="638" t="s">
        <v>183</v>
      </c>
      <c r="J341" s="638"/>
      <c r="L341" s="639" t="s">
        <v>183</v>
      </c>
      <c r="M341" s="639"/>
      <c r="O341" s="642" t="str">
        <f>A193</f>
        <v>p24-6G 140G145 PK</v>
      </c>
      <c r="P341" s="643"/>
      <c r="R341" s="638" t="s">
        <v>183</v>
      </c>
      <c r="S341" s="638"/>
    </row>
    <row r="342" spans="1:19" x14ac:dyDescent="0.2">
      <c r="A342" s="398" t="str">
        <v xml:space="preserve"> </v>
      </c>
      <c r="C342" s="638" t="s">
        <v>183</v>
      </c>
      <c r="D342" s="638"/>
      <c r="F342" s="638" t="s">
        <v>183</v>
      </c>
      <c r="G342" s="638"/>
      <c r="I342" s="638" t="s">
        <v>183</v>
      </c>
      <c r="J342" s="638"/>
      <c r="L342" s="639" t="s">
        <v>183</v>
      </c>
      <c r="M342" s="639"/>
      <c r="O342" s="642" t="str">
        <f>A198</f>
        <v>Pandora (Pro24-6G BS)</v>
      </c>
      <c r="P342" s="643"/>
      <c r="R342" s="638" t="s">
        <v>183</v>
      </c>
      <c r="S342" s="638"/>
    </row>
    <row r="343" spans="1:19" x14ac:dyDescent="0.2">
      <c r="A343" s="398" t="str">
        <v xml:space="preserve"> </v>
      </c>
      <c r="C343" s="638" t="s">
        <v>183</v>
      </c>
      <c r="D343" s="638"/>
      <c r="F343" s="638" t="s">
        <v>183</v>
      </c>
      <c r="G343" s="638"/>
      <c r="I343" s="638" t="s">
        <v>183</v>
      </c>
      <c r="J343" s="638"/>
      <c r="L343" s="638" t="s">
        <v>183</v>
      </c>
      <c r="M343" s="638"/>
      <c r="O343" s="644" t="str">
        <f>A203</f>
        <v>p24-6G 142G117 WT</v>
      </c>
      <c r="P343" s="645"/>
      <c r="R343" s="638" t="s">
        <v>183</v>
      </c>
      <c r="S343" s="638"/>
    </row>
    <row r="344" spans="1:19" x14ac:dyDescent="0.2">
      <c r="A344" s="398" t="str">
        <v xml:space="preserve"> </v>
      </c>
      <c r="C344" s="638" t="s">
        <v>183</v>
      </c>
      <c r="D344" s="638"/>
      <c r="F344" s="638" t="s">
        <v>183</v>
      </c>
      <c r="G344" s="638"/>
      <c r="I344" s="638" t="s">
        <v>183</v>
      </c>
      <c r="J344" s="638"/>
      <c r="L344" s="638" t="s">
        <v>183</v>
      </c>
      <c r="M344" s="638"/>
      <c r="O344" s="644" t="str">
        <f>A208</f>
        <v>p24-6G 139G107 DT</v>
      </c>
      <c r="P344" s="645"/>
      <c r="R344" s="638" t="s">
        <v>183</v>
      </c>
      <c r="S344" s="638"/>
    </row>
    <row r="345" spans="1:19" x14ac:dyDescent="0.2">
      <c r="A345" s="398" t="str">
        <v xml:space="preserve"> </v>
      </c>
      <c r="C345" s="638" t="s">
        <v>183</v>
      </c>
      <c r="D345" s="638"/>
      <c r="F345" s="638" t="s">
        <v>183</v>
      </c>
      <c r="G345" s="638"/>
      <c r="I345" s="638" t="s">
        <v>183</v>
      </c>
      <c r="J345" s="638"/>
      <c r="L345" s="638" t="s">
        <v>183</v>
      </c>
      <c r="M345" s="638"/>
      <c r="O345" s="644" t="str">
        <f>A263</f>
        <v>Cariacou</v>
      </c>
      <c r="P345" s="645"/>
      <c r="R345" s="638" t="s">
        <v>183</v>
      </c>
      <c r="S345" s="638"/>
    </row>
    <row r="346" spans="1:19" x14ac:dyDescent="0.2">
      <c r="A346" s="473" t="str">
        <v xml:space="preserve"> </v>
      </c>
      <c r="C346" s="638" t="s">
        <v>183</v>
      </c>
      <c r="D346" s="638"/>
      <c r="F346" s="638" t="s">
        <v>183</v>
      </c>
      <c r="G346" s="638"/>
      <c r="I346" s="638" t="s">
        <v>183</v>
      </c>
      <c r="J346" s="638"/>
      <c r="L346" s="638" t="s">
        <v>183</v>
      </c>
      <c r="M346" s="638"/>
      <c r="O346" s="652" t="str">
        <f>A258</f>
        <v>Wapiti</v>
      </c>
      <c r="P346" s="653"/>
      <c r="R346" s="638" t="s">
        <v>183</v>
      </c>
      <c r="S346" s="638"/>
    </row>
  </sheetData>
  <sheetProtection algorithmName="SHA-512" hashValue="TT52kldpbNfsZI03mY8g5TIIsjEeL9Q9TBJMBYh4cROlVUm3NqAv8usVb5XJtvE8tyHIClwYMgtE2emaKO5x7A==" saltValue="IfNq7E35bfDyzUo3UGtZTg==" spinCount="100000" sheet="1" objects="1" scenarios="1"/>
  <dataConsolidate/>
  <mergeCells count="186">
    <mergeCell ref="R346:S346"/>
    <mergeCell ref="R342:S342"/>
    <mergeCell ref="F342:G342"/>
    <mergeCell ref="F343:G343"/>
    <mergeCell ref="F344:G344"/>
    <mergeCell ref="F345:G345"/>
    <mergeCell ref="F346:G346"/>
    <mergeCell ref="O346:P346"/>
    <mergeCell ref="L345:M345"/>
    <mergeCell ref="L346:M346"/>
    <mergeCell ref="I344:J344"/>
    <mergeCell ref="I346:J346"/>
    <mergeCell ref="I345:J345"/>
    <mergeCell ref="R340:S340"/>
    <mergeCell ref="R341:S341"/>
    <mergeCell ref="R343:S343"/>
    <mergeCell ref="R344:S344"/>
    <mergeCell ref="R345:S345"/>
    <mergeCell ref="O345:P345"/>
    <mergeCell ref="O340:P340"/>
    <mergeCell ref="R339:S339"/>
    <mergeCell ref="F332:G332"/>
    <mergeCell ref="O343:P343"/>
    <mergeCell ref="R338:S338"/>
    <mergeCell ref="R336:S336"/>
    <mergeCell ref="R337:S337"/>
    <mergeCell ref="R334:S334"/>
    <mergeCell ref="F341:G341"/>
    <mergeCell ref="O342:P342"/>
    <mergeCell ref="O335:P335"/>
    <mergeCell ref="O334:P334"/>
    <mergeCell ref="O339:P339"/>
    <mergeCell ref="O344:P344"/>
    <mergeCell ref="R335:S335"/>
    <mergeCell ref="R333:S333"/>
    <mergeCell ref="I337:J337"/>
    <mergeCell ref="I338:J338"/>
    <mergeCell ref="F336:G336"/>
    <mergeCell ref="F337:G337"/>
    <mergeCell ref="O327:P327"/>
    <mergeCell ref="O333:P333"/>
    <mergeCell ref="L328:M328"/>
    <mergeCell ref="I336:J336"/>
    <mergeCell ref="O332:P332"/>
    <mergeCell ref="L333:M333"/>
    <mergeCell ref="I341:J341"/>
    <mergeCell ref="O337:P337"/>
    <mergeCell ref="F339:G339"/>
    <mergeCell ref="F340:G340"/>
    <mergeCell ref="O338:P338"/>
    <mergeCell ref="O336:P336"/>
    <mergeCell ref="I328:J328"/>
    <mergeCell ref="I329:J329"/>
    <mergeCell ref="I330:J330"/>
    <mergeCell ref="I331:J331"/>
    <mergeCell ref="I335:J335"/>
    <mergeCell ref="L337:M337"/>
    <mergeCell ref="O341:P341"/>
    <mergeCell ref="L334:M334"/>
    <mergeCell ref="F329:G329"/>
    <mergeCell ref="F330:G330"/>
    <mergeCell ref="F331:G331"/>
    <mergeCell ref="F324:G324"/>
    <mergeCell ref="F321:G321"/>
    <mergeCell ref="F320:G320"/>
    <mergeCell ref="O323:P323"/>
    <mergeCell ref="O320:P320"/>
    <mergeCell ref="O319:P319"/>
    <mergeCell ref="O324:P324"/>
    <mergeCell ref="F319:G319"/>
    <mergeCell ref="O322:P322"/>
    <mergeCell ref="I320:J320"/>
    <mergeCell ref="L319:M319"/>
    <mergeCell ref="L326:M326"/>
    <mergeCell ref="L327:M327"/>
    <mergeCell ref="L321:M321"/>
    <mergeCell ref="L322:M322"/>
    <mergeCell ref="O325:P325"/>
    <mergeCell ref="O330:P330"/>
    <mergeCell ref="F327:G327"/>
    <mergeCell ref="F326:G326"/>
    <mergeCell ref="L316:M316"/>
    <mergeCell ref="C327:D327"/>
    <mergeCell ref="C326:D326"/>
    <mergeCell ref="C325:D325"/>
    <mergeCell ref="C324:D324"/>
    <mergeCell ref="C323:D323"/>
    <mergeCell ref="C322:D322"/>
    <mergeCell ref="O316:P316"/>
    <mergeCell ref="F318:G318"/>
    <mergeCell ref="F317:G317"/>
    <mergeCell ref="O318:P318"/>
    <mergeCell ref="O317:P317"/>
    <mergeCell ref="L318:M318"/>
    <mergeCell ref="C316:D316"/>
    <mergeCell ref="C317:D317"/>
    <mergeCell ref="C318:D318"/>
    <mergeCell ref="C319:D319"/>
    <mergeCell ref="C320:D320"/>
    <mergeCell ref="F316:G316"/>
    <mergeCell ref="L320:M320"/>
    <mergeCell ref="I316:J316"/>
    <mergeCell ref="I317:J317"/>
    <mergeCell ref="I318:J318"/>
    <mergeCell ref="I319:J319"/>
    <mergeCell ref="L317:M317"/>
    <mergeCell ref="C332:D332"/>
    <mergeCell ref="R322:S322"/>
    <mergeCell ref="R328:S328"/>
    <mergeCell ref="R332:S332"/>
    <mergeCell ref="F328:G328"/>
    <mergeCell ref="F322:G322"/>
    <mergeCell ref="O326:P326"/>
    <mergeCell ref="F323:G323"/>
    <mergeCell ref="O331:P331"/>
    <mergeCell ref="R330:S330"/>
    <mergeCell ref="R329:S329"/>
    <mergeCell ref="O329:P329"/>
    <mergeCell ref="R331:S331"/>
    <mergeCell ref="L331:M331"/>
    <mergeCell ref="L332:M332"/>
    <mergeCell ref="L329:M329"/>
    <mergeCell ref="L330:M330"/>
    <mergeCell ref="L325:M325"/>
    <mergeCell ref="C329:D329"/>
    <mergeCell ref="C330:D330"/>
    <mergeCell ref="I332:J332"/>
    <mergeCell ref="C331:D331"/>
    <mergeCell ref="F325:G325"/>
    <mergeCell ref="R316:S316"/>
    <mergeCell ref="R317:S317"/>
    <mergeCell ref="R318:S318"/>
    <mergeCell ref="R319:S319"/>
    <mergeCell ref="R320:S320"/>
    <mergeCell ref="C328:D328"/>
    <mergeCell ref="O328:P328"/>
    <mergeCell ref="R327:S327"/>
    <mergeCell ref="R326:S326"/>
    <mergeCell ref="C321:D321"/>
    <mergeCell ref="O321:P321"/>
    <mergeCell ref="R321:S321"/>
    <mergeCell ref="R325:S325"/>
    <mergeCell ref="R324:S324"/>
    <mergeCell ref="R323:S323"/>
    <mergeCell ref="I321:J321"/>
    <mergeCell ref="I322:J322"/>
    <mergeCell ref="I323:J323"/>
    <mergeCell ref="I324:J324"/>
    <mergeCell ref="I325:J325"/>
    <mergeCell ref="I326:J326"/>
    <mergeCell ref="I327:J327"/>
    <mergeCell ref="L323:M323"/>
    <mergeCell ref="L324:M324"/>
    <mergeCell ref="C345:D345"/>
    <mergeCell ref="C346:D346"/>
    <mergeCell ref="C335:D335"/>
    <mergeCell ref="C336:D336"/>
    <mergeCell ref="C337:D337"/>
    <mergeCell ref="C338:D338"/>
    <mergeCell ref="C339:D339"/>
    <mergeCell ref="C340:D340"/>
    <mergeCell ref="C334:D334"/>
    <mergeCell ref="C333:D333"/>
    <mergeCell ref="L343:M343"/>
    <mergeCell ref="L344:M344"/>
    <mergeCell ref="F338:G338"/>
    <mergeCell ref="C341:D341"/>
    <mergeCell ref="C342:D342"/>
    <mergeCell ref="C343:D343"/>
    <mergeCell ref="I342:J342"/>
    <mergeCell ref="I343:J343"/>
    <mergeCell ref="L341:M341"/>
    <mergeCell ref="L342:M342"/>
    <mergeCell ref="C344:D344"/>
    <mergeCell ref="L338:M338"/>
    <mergeCell ref="F333:G333"/>
    <mergeCell ref="L335:M335"/>
    <mergeCell ref="L336:M336"/>
    <mergeCell ref="I333:J333"/>
    <mergeCell ref="I334:J334"/>
    <mergeCell ref="L339:M339"/>
    <mergeCell ref="L340:M340"/>
    <mergeCell ref="I340:J340"/>
    <mergeCell ref="I339:J339"/>
    <mergeCell ref="F334:G334"/>
    <mergeCell ref="F335:G335"/>
  </mergeCells>
  <phoneticPr fontId="8" type="noConversion"/>
  <pageMargins left="0.39370078740157483" right="0.39370078740157483" top="0.39370078740157483" bottom="0.39370078740157483" header="0" footer="0"/>
  <pageSetup scale="44" firstPageNumber="0" fitToHeight="3" orientation="landscape" horizontalDpi="300" verticalDpi="300" r:id="rId1"/>
  <headerFooter alignWithMargins="0"/>
  <ignoredErrors>
    <ignoredError sqref="S318 C317:D324 F317:G321 O322:P339 O342:P342 R334:S339 O340:O341 O317:P319 O320:P321 P341 M324 S317" unlockedFormula="1"/>
  </ignoredError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pageSetUpPr fitToPage="1"/>
  </sheetPr>
  <dimension ref="A1:IN1075"/>
  <sheetViews>
    <sheetView showGridLines="0" workbookViewId="0">
      <pane xSplit="3" ySplit="7" topLeftCell="D8" activePane="bottomRight" state="frozen"/>
      <selection pane="topRight" activeCell="D1" sqref="D1"/>
      <selection pane="bottomLeft" activeCell="A8" sqref="A8"/>
      <selection pane="bottomRight" activeCell="K2" sqref="K1:K1048576"/>
    </sheetView>
  </sheetViews>
  <sheetFormatPr baseColWidth="10" defaultColWidth="11.5703125" defaultRowHeight="12.75" x14ac:dyDescent="0.2"/>
  <cols>
    <col min="1" max="1" width="4.5703125" style="7" bestFit="1" customWidth="1"/>
    <col min="2" max="2" width="6" style="7" bestFit="1" customWidth="1"/>
    <col min="3" max="3" width="1.42578125" style="8" customWidth="1"/>
    <col min="4" max="4" width="7.140625" style="7" customWidth="1"/>
    <col min="5" max="6" width="7.42578125" style="7" customWidth="1"/>
    <col min="7" max="7" width="7.140625" style="7" customWidth="1"/>
    <col min="8" max="8" width="7.42578125" style="7" customWidth="1"/>
    <col min="9" max="9" width="7.140625" style="7" customWidth="1"/>
    <col min="10" max="12" width="7.5703125" style="7" bestFit="1" customWidth="1"/>
    <col min="13" max="13" width="5.85546875" style="7" customWidth="1"/>
    <col min="14" max="14" width="6.42578125" style="7" customWidth="1"/>
    <col min="15" max="15" width="1.42578125" style="8" customWidth="1"/>
    <col min="16" max="16" width="4" style="7" customWidth="1"/>
    <col min="17" max="17" width="8.5703125" style="7" customWidth="1"/>
    <col min="18" max="18" width="5.85546875" style="7" customWidth="1"/>
    <col min="19" max="19" width="5.140625" style="7" customWidth="1"/>
    <col min="20" max="20" width="6" style="7" customWidth="1"/>
    <col min="21" max="21" width="8.85546875" style="7" customWidth="1"/>
    <col min="22" max="22" width="6.85546875" style="7" customWidth="1"/>
    <col min="23" max="23" width="7.140625" style="7" customWidth="1"/>
    <col min="24" max="24" width="1.42578125" style="8" customWidth="1"/>
    <col min="25" max="25" width="15.85546875" style="7" customWidth="1"/>
    <col min="26" max="26" width="5.85546875" style="7" customWidth="1"/>
    <col min="27" max="27" width="7.85546875" style="7" customWidth="1"/>
    <col min="28" max="28" width="1.5703125" style="7" customWidth="1"/>
    <col min="29" max="29" width="7.140625" style="7" bestFit="1" customWidth="1"/>
    <col min="30" max="31" width="6.85546875" style="7" bestFit="1" customWidth="1"/>
    <col min="32" max="32" width="1.85546875" style="7" customWidth="1"/>
    <col min="33" max="238" width="11.42578125" style="7" customWidth="1"/>
    <col min="239" max="239" width="11" style="7" customWidth="1"/>
  </cols>
  <sheetData>
    <row r="1" spans="1:248" ht="13.5" thickBot="1" x14ac:dyDescent="0.25">
      <c r="D1" s="654" t="s">
        <v>265</v>
      </c>
      <c r="E1" s="655"/>
      <c r="F1" s="655"/>
      <c r="G1" s="655"/>
      <c r="H1" s="655"/>
      <c r="I1" s="655"/>
      <c r="J1" s="655"/>
      <c r="K1" s="655"/>
      <c r="L1" s="655"/>
      <c r="M1" s="655"/>
      <c r="N1" s="656"/>
      <c r="P1" s="654" t="s">
        <v>17</v>
      </c>
      <c r="Q1" s="655"/>
      <c r="R1" s="655"/>
      <c r="S1" s="655"/>
      <c r="T1" s="655"/>
      <c r="U1" s="655"/>
      <c r="V1" s="655"/>
      <c r="W1" s="656"/>
      <c r="Y1" s="9"/>
      <c r="Z1" s="9"/>
      <c r="AA1" s="9"/>
      <c r="AC1" s="661" t="s">
        <v>185</v>
      </c>
      <c r="AD1" s="661"/>
      <c r="AE1" s="661"/>
      <c r="AG1" s="657" t="s">
        <v>18</v>
      </c>
      <c r="AH1" s="657"/>
    </row>
    <row r="2" spans="1:248" s="12" customFormat="1" x14ac:dyDescent="0.2">
      <c r="A2" s="330" t="s">
        <v>19</v>
      </c>
      <c r="B2" s="331" t="s">
        <v>2</v>
      </c>
      <c r="C2" s="10"/>
      <c r="D2" s="334" t="s">
        <v>192</v>
      </c>
      <c r="E2" s="335" t="s">
        <v>193</v>
      </c>
      <c r="F2" s="331" t="s">
        <v>194</v>
      </c>
      <c r="G2" s="334" t="s">
        <v>189</v>
      </c>
      <c r="H2" s="335" t="s">
        <v>190</v>
      </c>
      <c r="I2" s="331" t="s">
        <v>191</v>
      </c>
      <c r="J2" s="334" t="s">
        <v>186</v>
      </c>
      <c r="K2" s="335" t="s">
        <v>187</v>
      </c>
      <c r="L2" s="331" t="s">
        <v>188</v>
      </c>
      <c r="M2" s="330" t="s">
        <v>20</v>
      </c>
      <c r="N2" s="331" t="s">
        <v>21</v>
      </c>
      <c r="O2" s="10"/>
      <c r="P2" s="330" t="s">
        <v>26</v>
      </c>
      <c r="Q2" s="331" t="s">
        <v>25</v>
      </c>
      <c r="R2" s="330" t="s">
        <v>22</v>
      </c>
      <c r="S2" s="335" t="s">
        <v>38</v>
      </c>
      <c r="T2" s="331" t="s">
        <v>27</v>
      </c>
      <c r="U2" s="338" t="s">
        <v>28</v>
      </c>
      <c r="V2" s="330" t="s">
        <v>24</v>
      </c>
      <c r="W2" s="331" t="s">
        <v>23</v>
      </c>
      <c r="X2" s="11"/>
      <c r="Y2" s="658" t="s">
        <v>184</v>
      </c>
      <c r="Z2" s="659"/>
      <c r="AA2" s="660"/>
      <c r="AC2" s="330" t="s">
        <v>11</v>
      </c>
      <c r="AD2" s="335" t="s">
        <v>3</v>
      </c>
      <c r="AE2" s="331" t="s">
        <v>29</v>
      </c>
      <c r="AG2" s="345" t="s">
        <v>31</v>
      </c>
      <c r="AH2" s="346" t="s">
        <v>30</v>
      </c>
      <c r="IF2"/>
      <c r="IG2"/>
      <c r="IH2"/>
      <c r="II2"/>
      <c r="IJ2"/>
      <c r="IK2"/>
      <c r="IL2"/>
      <c r="IM2"/>
      <c r="IN2"/>
    </row>
    <row r="3" spans="1:248" s="12" customFormat="1" x14ac:dyDescent="0.2">
      <c r="A3" s="332" t="s">
        <v>153</v>
      </c>
      <c r="B3" s="333" t="s">
        <v>153</v>
      </c>
      <c r="C3" s="10"/>
      <c r="D3" s="336" t="s">
        <v>7</v>
      </c>
      <c r="E3" s="337" t="s">
        <v>7</v>
      </c>
      <c r="F3" s="333" t="s">
        <v>7</v>
      </c>
      <c r="G3" s="336" t="s">
        <v>154</v>
      </c>
      <c r="H3" s="337" t="s">
        <v>154</v>
      </c>
      <c r="I3" s="333" t="s">
        <v>154</v>
      </c>
      <c r="J3" s="336" t="s">
        <v>38</v>
      </c>
      <c r="K3" s="337" t="s">
        <v>38</v>
      </c>
      <c r="L3" s="333" t="s">
        <v>38</v>
      </c>
      <c r="M3" s="332" t="s">
        <v>243</v>
      </c>
      <c r="N3" s="333" t="s">
        <v>155</v>
      </c>
      <c r="O3" s="10"/>
      <c r="P3" s="336" t="s">
        <v>14</v>
      </c>
      <c r="Q3" s="339" t="s">
        <v>226</v>
      </c>
      <c r="R3" s="336" t="s">
        <v>244</v>
      </c>
      <c r="S3" s="340" t="s">
        <v>227</v>
      </c>
      <c r="T3" s="339" t="s">
        <v>226</v>
      </c>
      <c r="U3" s="341" t="s">
        <v>226</v>
      </c>
      <c r="V3" s="336" t="s">
        <v>8</v>
      </c>
      <c r="W3" s="339" t="s">
        <v>226</v>
      </c>
      <c r="X3" s="11"/>
      <c r="Y3" s="342"/>
      <c r="Z3" s="343"/>
      <c r="AA3" s="344"/>
      <c r="AC3" s="336" t="s">
        <v>153</v>
      </c>
      <c r="AD3" s="340" t="s">
        <v>38</v>
      </c>
      <c r="AE3" s="339" t="s">
        <v>38</v>
      </c>
      <c r="AG3" s="342" t="s">
        <v>7</v>
      </c>
      <c r="AH3" s="339" t="s">
        <v>7</v>
      </c>
      <c r="IF3"/>
      <c r="IG3"/>
      <c r="IH3"/>
      <c r="II3"/>
      <c r="IJ3"/>
      <c r="IK3"/>
      <c r="IL3"/>
      <c r="IM3"/>
      <c r="IN3"/>
    </row>
    <row r="4" spans="1:248" x14ac:dyDescent="0.2">
      <c r="A4" s="292" t="s">
        <v>14</v>
      </c>
      <c r="B4" s="349">
        <f>T_ini</f>
        <v>0</v>
      </c>
      <c r="D4" s="292" t="s">
        <v>14</v>
      </c>
      <c r="E4" s="293" t="s">
        <v>14</v>
      </c>
      <c r="F4" s="294" t="s">
        <v>14</v>
      </c>
      <c r="G4" s="292">
        <f>vit_xz*COS(Beta)</f>
        <v>17.36481776669304</v>
      </c>
      <c r="H4" s="293">
        <f>vit_xz*SIN(Beta)</f>
        <v>98.480775301220802</v>
      </c>
      <c r="I4" s="349">
        <f>V_ini</f>
        <v>100</v>
      </c>
      <c r="J4" s="350">
        <f>X_ini</f>
        <v>0</v>
      </c>
      <c r="K4" s="351">
        <f>Z_ini</f>
        <v>0</v>
      </c>
      <c r="L4" s="327">
        <f t="shared" ref="L4:L67" si="0">SQRT(pos_x^2+pos_z^2)</f>
        <v>0</v>
      </c>
      <c r="M4" s="292">
        <f>RADIANS(N4)</f>
        <v>1.3962634015954636</v>
      </c>
      <c r="N4" s="349">
        <f>Beta_rampe</f>
        <v>80</v>
      </c>
      <c r="P4" s="292" t="s">
        <v>14</v>
      </c>
      <c r="Q4" s="294" t="s">
        <v>14</v>
      </c>
      <c r="R4" s="292" t="s">
        <v>14</v>
      </c>
      <c r="S4" s="351">
        <f ca="1">m_tot</f>
        <v>6.1159999999999997</v>
      </c>
      <c r="T4" s="327">
        <f t="shared" ref="T4:T67" ca="1" si="1">m*g</f>
        <v>59.997959999999999</v>
      </c>
      <c r="U4" s="328">
        <f t="shared" ref="U4:U67" ca="1" si="2">IF(pos_xz&lt;L_rampe,Poids*COS(Beta),0)</f>
        <v>10.418536417733383</v>
      </c>
      <c r="V4" s="329">
        <f t="shared" ref="V4:V67" si="3">Rho_moyen*(20000-Alt_rampe-pos_z)/(20000+Alt_rampe+pos_z)</f>
        <v>1.2250000000000001</v>
      </c>
      <c r="W4" s="327">
        <f t="shared" ref="W4:W67" si="4">1/2*Rho*Sref*Cx*vit_xz^2</f>
        <v>37.61313451725249</v>
      </c>
      <c r="Y4" s="295" t="s">
        <v>14</v>
      </c>
      <c r="Z4" s="296" t="s">
        <v>14</v>
      </c>
      <c r="AA4" s="297" t="s">
        <v>14</v>
      </c>
      <c r="AC4" s="320">
        <f>IF(ABS(t-ROUND(t,0))&lt;0.001,t,-1)</f>
        <v>0</v>
      </c>
      <c r="AD4" s="321">
        <f>IF(ABS(t-ROUND(t,0))&lt;0.001,pos_x,-1)</f>
        <v>0</v>
      </c>
      <c r="AE4" s="322">
        <f t="shared" ref="AE4:AE67" si="5">IF(t&lt;T_para, pos_z, NA())</f>
        <v>0</v>
      </c>
      <c r="AG4" s="292" t="s">
        <v>14</v>
      </c>
      <c r="AH4" s="294" t="s">
        <v>14</v>
      </c>
    </row>
    <row r="5" spans="1:248" x14ac:dyDescent="0.2">
      <c r="A5" s="347">
        <f t="shared" ref="A5:A68" ca="1" si="6">IF(B4+0.01&lt;=T_ini+ROUNDUP(Temps_fin_propu,0), 0.01, IF(K4&gt;0, 0.1, 0.0001))</f>
        <v>0.01</v>
      </c>
      <c r="B5" s="304">
        <f t="shared" ref="B5:B68" ca="1" si="7">B4+pas</f>
        <v>0.01</v>
      </c>
      <c r="D5" s="306">
        <f t="shared" ref="D5:D68" ca="1" si="8">IF(AND(L4&lt;L_rampe,Poussee&lt;Poids*SIN(M4)),0,(-W4+Poussee)/m*COS(M4)-U4/m*SIN(M4))</f>
        <v>-0.21010784822292128</v>
      </c>
      <c r="E5" s="307">
        <f t="shared" ref="E5:E68" ca="1" si="9">IF(AND(L4&lt;L_rampe,Poussee&lt;Poids*SIN(M4)),0,(-W4+Poussee)/m*SIN(M4)+U4/m*COS(M4)-Poids/m)</f>
        <v>-1.190861931027996</v>
      </c>
      <c r="F5" s="304">
        <f t="shared" ref="F5:F68" ca="1" si="10">SQRT(acc_x^2+acc_z^2)</f>
        <v>1.2092549138443034</v>
      </c>
      <c r="G5" s="306">
        <f t="shared" ref="G5:G68" ca="1" si="11">G4+acc_x*pas</f>
        <v>17.36271668821081</v>
      </c>
      <c r="H5" s="307">
        <f t="shared" ref="H5:H68" ca="1" si="12">H4+acc_z*pas</f>
        <v>98.468866681910526</v>
      </c>
      <c r="I5" s="304">
        <f t="shared" ref="I5:I68" ca="1" si="13">SQRT(vit_x^2+vit_z^2)</f>
        <v>99.987907450926002</v>
      </c>
      <c r="J5" s="306">
        <f t="shared" ref="J5:J68" ca="1" si="14">J4+0.5*(vit_x+G4)*pas*(K4&gt;=0)</f>
        <v>0.17363767227451923</v>
      </c>
      <c r="K5" s="307">
        <f t="shared" ref="K5:K68" ca="1" si="15">K4+0.5*(vit_z+H4)*pas</f>
        <v>0.9847482099156567</v>
      </c>
      <c r="L5" s="304">
        <f t="shared" ca="1" si="0"/>
        <v>0.99993953725463003</v>
      </c>
      <c r="M5" s="306">
        <f t="shared" ref="M5:M68" ca="1" si="16">IF(AND(L4&gt;L_rampe,G5&gt;0),ATAN2(G5,H5),$M$4)</f>
        <v>1.3962634015954636</v>
      </c>
      <c r="N5" s="304">
        <f t="shared" ref="N5:N68" ca="1" si="17">DEGREES(Beta)</f>
        <v>80</v>
      </c>
      <c r="P5" s="310">
        <f t="shared" ref="P5:P68" ca="1" si="18">MATCH(t-pas/2-T_ini,CdP_t)</f>
        <v>1</v>
      </c>
      <c r="Q5" s="304">
        <f t="shared" ref="Q5:Q68" ca="1" si="19">(INDEX(CdP,2,i_P+1)-INDEX(CdP,2,i_P+0))/(INDEX(CdP,1,i_P+1)-INDEX(CdP,1,i_P+0))*(t-pas/2-T_ini-INDEX(CdP,1,i_P+0))+INDEX(CdP,2,i_P+0)</f>
        <v>89.3</v>
      </c>
      <c r="R5" s="306">
        <f t="shared" ref="R5:R68" ca="1" si="20">Poussee/(g*ISP)</f>
        <v>4.4815509359347437E-2</v>
      </c>
      <c r="S5" s="307">
        <f t="shared" ref="S5:S68" ca="1" si="21">S4-Débit*pas</f>
        <v>6.1155518449064061</v>
      </c>
      <c r="T5" s="304">
        <f t="shared" ca="1" si="1"/>
        <v>59.99356359853185</v>
      </c>
      <c r="U5" s="311">
        <f t="shared" ca="1" si="2"/>
        <v>10.417772990630148</v>
      </c>
      <c r="V5" s="306">
        <f t="shared" ca="1" si="3"/>
        <v>1.2248793742835835</v>
      </c>
      <c r="W5" s="304">
        <f t="shared" ca="1" si="4"/>
        <v>37.600335425148991</v>
      </c>
      <c r="Y5" s="314" t="str">
        <f t="shared" ref="Y5:Y68" ca="1" si="22">IF(AND(pos_z&lt;=0,K4&gt;0),"Impact balistique","") &amp; IF(AND(H6&lt;0,vit_z&gt;=0),"Apogée","") &amp; IF(AND(Poussee=0,Q4&gt;0),"Fin de propulsion","") &amp; IF(AND(L6&gt;L_rampe,pos_xz&lt;=L_rampe),"Sortie de rampe","")</f>
        <v/>
      </c>
      <c r="Z5" s="315" t="str">
        <f t="shared" ref="Z5:Z68" ca="1" si="23">IF(ABS(t-T_para)&lt;pas/2,"Para","")</f>
        <v/>
      </c>
      <c r="AA5" s="316" t="str">
        <f t="shared" ref="AA5:AA68" ca="1" si="24">IF(ABS(t-T_satellite)&lt;pas/2,"Satellite","")</f>
        <v/>
      </c>
      <c r="AC5" s="310" t="e">
        <f t="shared" ref="AC5:AC68" ca="1" si="25">IF(ABS(t-ROUND(t,0))&lt;0.001,t,NA())</f>
        <v>#N/A</v>
      </c>
      <c r="AD5" s="323" t="e">
        <f t="shared" ref="AD5:AD68" ca="1" si="26">IF(ABS(t-ROUND(t,0))&lt;0.001,pos_x,NA())</f>
        <v>#N/A</v>
      </c>
      <c r="AE5" s="324">
        <f t="shared" ca="1" si="5"/>
        <v>0.9847482099156567</v>
      </c>
      <c r="AG5" s="306">
        <f t="shared" ref="AG5:AG68" ca="1" si="27">IF(AND(L4&lt;L_rampe,Poussee&lt;Poids*SIN(M4)),0,(-W4+Poussee)/m-Poids*SIN(M4)/m)</f>
        <v>-1.20925490740089</v>
      </c>
      <c r="AH5" s="304">
        <f t="shared" ref="AH5:AH68" ca="1" si="28">IF(AND(L4&lt;L_rampe,Poussee&lt;Poids*SIN(M4)), g*SIN(M4), (-W4+Poussee)/m)</f>
        <v>8.4517091496488703</v>
      </c>
    </row>
    <row r="6" spans="1:248" x14ac:dyDescent="0.2">
      <c r="A6" s="347">
        <f t="shared" ca="1" si="6"/>
        <v>0.01</v>
      </c>
      <c r="B6" s="304">
        <f t="shared" ca="1" si="7"/>
        <v>0.02</v>
      </c>
      <c r="D6" s="306">
        <f t="shared" ca="1" si="8"/>
        <v>4.8627093610709249</v>
      </c>
      <c r="E6" s="307">
        <f t="shared" ca="1" si="9"/>
        <v>27.579952334032988</v>
      </c>
      <c r="F6" s="304">
        <f t="shared" ca="1" si="10"/>
        <v>28.005351507841826</v>
      </c>
      <c r="G6" s="306">
        <f t="shared" ca="1" si="11"/>
        <v>17.411343781821518</v>
      </c>
      <c r="H6" s="307">
        <f t="shared" ca="1" si="12"/>
        <v>98.744666205250851</v>
      </c>
      <c r="I6" s="304">
        <f t="shared" ca="1" si="13"/>
        <v>100.26796096597947</v>
      </c>
      <c r="J6" s="306">
        <f t="shared" ca="1" si="14"/>
        <v>0.34750797462468086</v>
      </c>
      <c r="K6" s="307">
        <f t="shared" ca="1" si="15"/>
        <v>1.9708158743514637</v>
      </c>
      <c r="L6" s="304">
        <f t="shared" ca="1" si="0"/>
        <v>2.0012188793391572</v>
      </c>
      <c r="M6" s="306">
        <f t="shared" ca="1" si="16"/>
        <v>1.3962634015954636</v>
      </c>
      <c r="N6" s="304">
        <f t="shared" ca="1" si="17"/>
        <v>80</v>
      </c>
      <c r="P6" s="310">
        <f t="shared" ca="1" si="18"/>
        <v>1</v>
      </c>
      <c r="Q6" s="304">
        <f t="shared" ca="1" si="19"/>
        <v>267.89999999999998</v>
      </c>
      <c r="R6" s="306">
        <f t="shared" ca="1" si="20"/>
        <v>0.1344465280780423</v>
      </c>
      <c r="S6" s="307">
        <f t="shared" ca="1" si="21"/>
        <v>6.1142073796256255</v>
      </c>
      <c r="T6" s="304">
        <f t="shared" ca="1" si="1"/>
        <v>59.980374394127388</v>
      </c>
      <c r="U6" s="311">
        <f t="shared" ca="1" si="2"/>
        <v>10.415482709320436</v>
      </c>
      <c r="V6" s="306">
        <f t="shared" ca="1" si="3"/>
        <v>1.2247585988432534</v>
      </c>
      <c r="W6" s="304">
        <f t="shared" ca="1" si="4"/>
        <v>37.807529726023894</v>
      </c>
      <c r="Y6" s="314" t="str">
        <f t="shared" ca="1" si="22"/>
        <v/>
      </c>
      <c r="Z6" s="315" t="str">
        <f t="shared" ca="1" si="23"/>
        <v/>
      </c>
      <c r="AA6" s="316" t="str">
        <f t="shared" ca="1" si="24"/>
        <v/>
      </c>
      <c r="AC6" s="310" t="e">
        <f t="shared" ca="1" si="25"/>
        <v>#N/A</v>
      </c>
      <c r="AD6" s="323" t="e">
        <f t="shared" ca="1" si="26"/>
        <v>#N/A</v>
      </c>
      <c r="AE6" s="324">
        <f t="shared" ca="1" si="5"/>
        <v>1.9708158743514637</v>
      </c>
      <c r="AG6" s="306">
        <f t="shared" ca="1" si="27"/>
        <v>28.005351505336726</v>
      </c>
      <c r="AH6" s="304">
        <f t="shared" ca="1" si="28"/>
        <v>37.666315562386487</v>
      </c>
    </row>
    <row r="7" spans="1:248" x14ac:dyDescent="0.2">
      <c r="A7" s="347">
        <f t="shared" ca="1" si="6"/>
        <v>0.01</v>
      </c>
      <c r="B7" s="304">
        <f t="shared" ca="1" si="7"/>
        <v>0.03</v>
      </c>
      <c r="D7" s="306">
        <f t="shared" ca="1" si="8"/>
        <v>9.9332111082658425</v>
      </c>
      <c r="E7" s="307">
        <f t="shared" ca="1" si="9"/>
        <v>56.337636120998866</v>
      </c>
      <c r="F7" s="304">
        <f t="shared" ca="1" si="10"/>
        <v>57.206624849080654</v>
      </c>
      <c r="G7" s="306">
        <f t="shared" ca="1" si="11"/>
        <v>17.510675892904178</v>
      </c>
      <c r="H7" s="307">
        <f t="shared" ca="1" si="12"/>
        <v>99.308042566460841</v>
      </c>
      <c r="I7" s="304">
        <f t="shared" ca="1" si="13"/>
        <v>100.8400272144367</v>
      </c>
      <c r="J7" s="306">
        <f t="shared" ca="1" si="14"/>
        <v>0.52211807299830937</v>
      </c>
      <c r="K7" s="307">
        <f t="shared" ca="1" si="15"/>
        <v>2.961079418210022</v>
      </c>
      <c r="L7" s="304">
        <f t="shared" ca="1" si="0"/>
        <v>3.0067588202412363</v>
      </c>
      <c r="M7" s="306">
        <f t="shared" ca="1" si="16"/>
        <v>1.3962634015954636</v>
      </c>
      <c r="N7" s="304">
        <f t="shared" ca="1" si="17"/>
        <v>80</v>
      </c>
      <c r="P7" s="310">
        <f t="shared" ca="1" si="18"/>
        <v>1</v>
      </c>
      <c r="Q7" s="304">
        <f t="shared" ca="1" si="19"/>
        <v>446.49999999999994</v>
      </c>
      <c r="R7" s="306">
        <f t="shared" ca="1" si="20"/>
        <v>0.22407754679673716</v>
      </c>
      <c r="S7" s="307">
        <f t="shared" ca="1" si="21"/>
        <v>6.1119666041576579</v>
      </c>
      <c r="T7" s="304">
        <f t="shared" ca="1" si="1"/>
        <v>59.958392386786628</v>
      </c>
      <c r="U7" s="311">
        <f t="shared" ca="1" si="2"/>
        <v>10.411665573804251</v>
      </c>
      <c r="V7" s="306">
        <f t="shared" ca="1" si="3"/>
        <v>1.2246373214672661</v>
      </c>
      <c r="W7" s="304">
        <f t="shared" ca="1" si="4"/>
        <v>38.236386030190438</v>
      </c>
      <c r="Y7" s="314" t="str">
        <f t="shared" ca="1" si="22"/>
        <v>Sortie de rampe</v>
      </c>
      <c r="Z7" s="315" t="str">
        <f t="shared" ca="1" si="23"/>
        <v/>
      </c>
      <c r="AA7" s="316" t="str">
        <f t="shared" ca="1" si="24"/>
        <v/>
      </c>
      <c r="AC7" s="310" t="e">
        <f t="shared" ca="1" si="25"/>
        <v>#N/A</v>
      </c>
      <c r="AD7" s="323" t="e">
        <f t="shared" ca="1" si="26"/>
        <v>#N/A</v>
      </c>
      <c r="AE7" s="324">
        <f t="shared" ca="1" si="5"/>
        <v>2.961079418210022</v>
      </c>
      <c r="AG7" s="306">
        <f t="shared" ca="1" si="27"/>
        <v>57.206624845671577</v>
      </c>
      <c r="AH7" s="304">
        <f t="shared" ca="1" si="28"/>
        <v>66.867588902721337</v>
      </c>
    </row>
    <row r="8" spans="1:248" x14ac:dyDescent="0.2">
      <c r="A8" s="347">
        <f t="shared" ca="1" si="6"/>
        <v>0.01</v>
      </c>
      <c r="B8" s="304">
        <f t="shared" ca="1" si="7"/>
        <v>0.04</v>
      </c>
      <c r="D8" s="306">
        <f t="shared" ca="1" si="8"/>
        <v>15.003579302455545</v>
      </c>
      <c r="E8" s="307">
        <f t="shared" ca="1" si="9"/>
        <v>85.09456428610892</v>
      </c>
      <c r="F8" s="304">
        <f t="shared" ca="1" si="10"/>
        <v>86.407130856936774</v>
      </c>
      <c r="G8" s="306">
        <f t="shared" ca="1" si="11"/>
        <v>17.660711685928735</v>
      </c>
      <c r="H8" s="307">
        <f t="shared" ca="1" si="12"/>
        <v>100.15898820932193</v>
      </c>
      <c r="I8" s="304">
        <f t="shared" ca="1" si="13"/>
        <v>101.70409852296312</v>
      </c>
      <c r="J8" s="306">
        <f t="shared" ca="1" si="14"/>
        <v>0.69797501089247393</v>
      </c>
      <c r="K8" s="307">
        <f t="shared" ca="1" si="15"/>
        <v>3.9584145720889357</v>
      </c>
      <c r="L8" s="304">
        <f t="shared" ca="1" si="0"/>
        <v>4.0194794489282293</v>
      </c>
      <c r="M8" s="306">
        <f t="shared" ca="1" si="16"/>
        <v>1.3962634015954636</v>
      </c>
      <c r="N8" s="304">
        <f t="shared" ca="1" si="17"/>
        <v>80</v>
      </c>
      <c r="P8" s="310">
        <f t="shared" ca="1" si="18"/>
        <v>1</v>
      </c>
      <c r="Q8" s="304">
        <f t="shared" ca="1" si="19"/>
        <v>625.1</v>
      </c>
      <c r="R8" s="306">
        <f t="shared" ca="1" si="20"/>
        <v>0.31370856551543208</v>
      </c>
      <c r="S8" s="307">
        <f t="shared" ca="1" si="21"/>
        <v>6.1088295185025032</v>
      </c>
      <c r="T8" s="304">
        <f t="shared" ca="1" si="1"/>
        <v>59.927617576509562</v>
      </c>
      <c r="U8" s="311">
        <f t="shared" ca="1" si="2"/>
        <v>0</v>
      </c>
      <c r="V8" s="306">
        <f t="shared" ca="1" si="3"/>
        <v>1.2245151901688343</v>
      </c>
      <c r="W8" s="304">
        <f t="shared" ca="1" si="4"/>
        <v>38.890589374562794</v>
      </c>
      <c r="Y8" s="314" t="str">
        <f t="shared" ca="1" si="22"/>
        <v/>
      </c>
      <c r="Z8" s="315" t="str">
        <f t="shared" ca="1" si="23"/>
        <v/>
      </c>
      <c r="AA8" s="316" t="str">
        <f t="shared" ca="1" si="24"/>
        <v/>
      </c>
      <c r="AC8" s="310" t="e">
        <f t="shared" ca="1" si="25"/>
        <v>#N/A</v>
      </c>
      <c r="AD8" s="323" t="e">
        <f t="shared" ca="1" si="26"/>
        <v>#N/A</v>
      </c>
      <c r="AE8" s="324">
        <f t="shared" ca="1" si="5"/>
        <v>3.9584145720889357</v>
      </c>
      <c r="AG8" s="306">
        <f t="shared" ca="1" si="27"/>
        <v>86.407130852508487</v>
      </c>
      <c r="AH8" s="304">
        <f t="shared" ca="1" si="28"/>
        <v>96.068094909558255</v>
      </c>
    </row>
    <row r="9" spans="1:248" x14ac:dyDescent="0.2">
      <c r="A9" s="347">
        <f t="shared" ca="1" si="6"/>
        <v>0.01</v>
      </c>
      <c r="B9" s="304">
        <f t="shared" ca="1" si="7"/>
        <v>0.05</v>
      </c>
      <c r="D9" s="306">
        <f t="shared" ca="1" si="8"/>
        <v>21.754659410272879</v>
      </c>
      <c r="E9" s="307">
        <f t="shared" ca="1" si="9"/>
        <v>113.56680440545584</v>
      </c>
      <c r="F9" s="304">
        <f t="shared" ca="1" si="10"/>
        <v>115.63167502429444</v>
      </c>
      <c r="G9" s="306">
        <f t="shared" ca="1" si="11"/>
        <v>17.878258280031464</v>
      </c>
      <c r="H9" s="307">
        <f t="shared" ca="1" si="12"/>
        <v>101.29465625337649</v>
      </c>
      <c r="I9" s="304">
        <f t="shared" ca="1" si="13"/>
        <v>102.86029119449942</v>
      </c>
      <c r="J9" s="306">
        <f t="shared" ca="1" si="14"/>
        <v>0.87566986072227493</v>
      </c>
      <c r="K9" s="307">
        <f t="shared" ca="1" si="15"/>
        <v>4.9656827944024275</v>
      </c>
      <c r="L9" s="304">
        <f t="shared" ca="1" si="0"/>
        <v>5.0423013911905015</v>
      </c>
      <c r="M9" s="306">
        <f t="shared" ca="1" si="16"/>
        <v>1.3960979840313801</v>
      </c>
      <c r="N9" s="304">
        <f t="shared" ca="1" si="17"/>
        <v>79.990522271720678</v>
      </c>
      <c r="P9" s="310">
        <f t="shared" ca="1" si="18"/>
        <v>1</v>
      </c>
      <c r="Q9" s="304">
        <f t="shared" ca="1" si="19"/>
        <v>803.7</v>
      </c>
      <c r="R9" s="306">
        <f t="shared" ca="1" si="20"/>
        <v>0.40333958423412697</v>
      </c>
      <c r="S9" s="307">
        <f t="shared" ca="1" si="21"/>
        <v>6.1047961226601624</v>
      </c>
      <c r="T9" s="304">
        <f t="shared" ca="1" si="1"/>
        <v>59.888049963296197</v>
      </c>
      <c r="U9" s="311">
        <f t="shared" ca="1" si="2"/>
        <v>0</v>
      </c>
      <c r="V9" s="306">
        <f t="shared" ca="1" si="3"/>
        <v>1.2243918548504811</v>
      </c>
      <c r="W9" s="304">
        <f t="shared" ca="1" si="4"/>
        <v>39.77584084515744</v>
      </c>
      <c r="Y9" s="314" t="str">
        <f t="shared" ca="1" si="22"/>
        <v/>
      </c>
      <c r="Z9" s="315" t="str">
        <f t="shared" ca="1" si="23"/>
        <v/>
      </c>
      <c r="AA9" s="316" t="str">
        <f t="shared" ca="1" si="24"/>
        <v/>
      </c>
      <c r="AC9" s="310" t="e">
        <f t="shared" ca="1" si="25"/>
        <v>#N/A</v>
      </c>
      <c r="AD9" s="323" t="e">
        <f t="shared" ca="1" si="26"/>
        <v>#N/A</v>
      </c>
      <c r="AE9" s="324">
        <f t="shared" ca="1" si="5"/>
        <v>4.9656827944024275</v>
      </c>
      <c r="AG9" s="306">
        <f t="shared" ca="1" si="27"/>
        <v>115.61912642567253</v>
      </c>
      <c r="AH9" s="304">
        <f t="shared" ca="1" si="28"/>
        <v>125.28009048272229</v>
      </c>
    </row>
    <row r="10" spans="1:248" x14ac:dyDescent="0.2">
      <c r="A10" s="347">
        <f t="shared" ca="1" si="6"/>
        <v>0.01</v>
      </c>
      <c r="B10" s="304">
        <f t="shared" ca="1" si="7"/>
        <v>6.0000000000000005E-2</v>
      </c>
      <c r="D10" s="306">
        <f t="shared" ca="1" si="8"/>
        <v>24.28009486942296</v>
      </c>
      <c r="E10" s="307">
        <f t="shared" ca="1" si="9"/>
        <v>127.75618933873244</v>
      </c>
      <c r="F10" s="304">
        <f t="shared" ca="1" si="10"/>
        <v>130.04294260444212</v>
      </c>
      <c r="G10" s="306">
        <f t="shared" ca="1" si="11"/>
        <v>18.121059228725692</v>
      </c>
      <c r="H10" s="307">
        <f t="shared" ca="1" si="12"/>
        <v>102.57221814676382</v>
      </c>
      <c r="I10" s="304">
        <f t="shared" ca="1" si="13"/>
        <v>104.16061022823497</v>
      </c>
      <c r="J10" s="306">
        <f t="shared" ca="1" si="14"/>
        <v>1.0556664482660607</v>
      </c>
      <c r="K10" s="307">
        <f t="shared" ca="1" si="15"/>
        <v>5.9850171664031286</v>
      </c>
      <c r="L10" s="304">
        <f t="shared" ca="1" si="0"/>
        <v>6.0774058719271675</v>
      </c>
      <c r="M10" s="306">
        <f t="shared" ca="1" si="16"/>
        <v>1.3959342861904573</v>
      </c>
      <c r="N10" s="304">
        <f t="shared" ca="1" si="17"/>
        <v>79.981143076320407</v>
      </c>
      <c r="P10" s="310">
        <f t="shared" ca="1" si="18"/>
        <v>2</v>
      </c>
      <c r="Q10" s="304">
        <f t="shared" ca="1" si="19"/>
        <v>891.94444444444446</v>
      </c>
      <c r="R10" s="306">
        <f t="shared" ca="1" si="20"/>
        <v>0.44762535944029064</v>
      </c>
      <c r="S10" s="307">
        <f t="shared" ca="1" si="21"/>
        <v>6.1003198690657596</v>
      </c>
      <c r="T10" s="304">
        <f t="shared" ca="1" si="1"/>
        <v>59.844137915535107</v>
      </c>
      <c r="U10" s="311">
        <f t="shared" ca="1" si="2"/>
        <v>0</v>
      </c>
      <c r="V10" s="306">
        <f t="shared" ca="1" si="3"/>
        <v>1.2242670547316161</v>
      </c>
      <c r="W10" s="304">
        <f t="shared" ca="1" si="4"/>
        <v>40.783700823464009</v>
      </c>
      <c r="Y10" s="314" t="str">
        <f t="shared" ca="1" si="22"/>
        <v/>
      </c>
      <c r="Z10" s="315" t="str">
        <f t="shared" ca="1" si="23"/>
        <v/>
      </c>
      <c r="AA10" s="316" t="str">
        <f t="shared" ca="1" si="24"/>
        <v/>
      </c>
      <c r="AC10" s="310" t="e">
        <f t="shared" ca="1" si="25"/>
        <v>#N/A</v>
      </c>
      <c r="AD10" s="323" t="e">
        <f t="shared" ca="1" si="26"/>
        <v>#N/A</v>
      </c>
      <c r="AE10" s="324">
        <f t="shared" ca="1" si="5"/>
        <v>5.9850171664031286</v>
      </c>
      <c r="AG10" s="306">
        <f t="shared" ca="1" si="27"/>
        <v>130.03176381404842</v>
      </c>
      <c r="AH10" s="304">
        <f t="shared" ca="1" si="28"/>
        <v>139.69244595198469</v>
      </c>
    </row>
    <row r="11" spans="1:248" x14ac:dyDescent="0.2">
      <c r="A11" s="347">
        <f t="shared" ca="1" si="6"/>
        <v>0.01</v>
      </c>
      <c r="B11" s="304">
        <f t="shared" ca="1" si="7"/>
        <v>7.0000000000000007E-2</v>
      </c>
      <c r="D11" s="306">
        <f t="shared" ca="1" si="8"/>
        <v>24.231403576148335</v>
      </c>
      <c r="E11" s="307">
        <f t="shared" ca="1" si="9"/>
        <v>127.34913524938813</v>
      </c>
      <c r="F11" s="304">
        <f t="shared" ca="1" si="10"/>
        <v>129.63395839068221</v>
      </c>
      <c r="G11" s="306">
        <f t="shared" ca="1" si="11"/>
        <v>18.363373264487176</v>
      </c>
      <c r="H11" s="307">
        <f t="shared" ca="1" si="12"/>
        <v>103.84570949925769</v>
      </c>
      <c r="I11" s="304">
        <f t="shared" ca="1" si="13"/>
        <v>105.45683884440641</v>
      </c>
      <c r="J11" s="306">
        <f t="shared" ca="1" si="14"/>
        <v>1.238088610732125</v>
      </c>
      <c r="K11" s="307">
        <f t="shared" ca="1" si="15"/>
        <v>7.0171068046332365</v>
      </c>
      <c r="L11" s="304">
        <f t="shared" ca="1" si="0"/>
        <v>7.1254930577227196</v>
      </c>
      <c r="M11" s="306">
        <f t="shared" ca="1" si="16"/>
        <v>1.3957724504926641</v>
      </c>
      <c r="N11" s="304">
        <f t="shared" ca="1" si="17"/>
        <v>79.97187057386229</v>
      </c>
      <c r="P11" s="310">
        <f t="shared" ca="1" si="18"/>
        <v>2</v>
      </c>
      <c r="Q11" s="304">
        <f t="shared" ca="1" si="19"/>
        <v>889.83333333333337</v>
      </c>
      <c r="R11" s="306">
        <f t="shared" ca="1" si="20"/>
        <v>0.44656589113392309</v>
      </c>
      <c r="S11" s="307">
        <f t="shared" ca="1" si="21"/>
        <v>6.0958542101544202</v>
      </c>
      <c r="T11" s="304">
        <f t="shared" ca="1" si="1"/>
        <v>59.800329801614865</v>
      </c>
      <c r="U11" s="311">
        <f t="shared" ca="1" si="2"/>
        <v>0</v>
      </c>
      <c r="V11" s="306">
        <f t="shared" ca="1" si="3"/>
        <v>1.2241407059043548</v>
      </c>
      <c r="W11" s="304">
        <f t="shared" ca="1" si="4"/>
        <v>41.800769415681366</v>
      </c>
      <c r="Y11" s="314" t="str">
        <f t="shared" ca="1" si="22"/>
        <v/>
      </c>
      <c r="Z11" s="315" t="str">
        <f t="shared" ca="1" si="23"/>
        <v/>
      </c>
      <c r="AA11" s="316" t="str">
        <f t="shared" ca="1" si="24"/>
        <v/>
      </c>
      <c r="AC11" s="310" t="e">
        <f t="shared" ca="1" si="25"/>
        <v>#N/A</v>
      </c>
      <c r="AD11" s="323" t="e">
        <f t="shared" ca="1" si="26"/>
        <v>#N/A</v>
      </c>
      <c r="AE11" s="324">
        <f t="shared" ca="1" si="5"/>
        <v>7.0171068046332365</v>
      </c>
      <c r="AG11" s="306">
        <f t="shared" ca="1" si="27"/>
        <v>129.62272351723044</v>
      </c>
      <c r="AH11" s="304">
        <f t="shared" ca="1" si="28"/>
        <v>139.28312640671919</v>
      </c>
    </row>
    <row r="12" spans="1:248" x14ac:dyDescent="0.2">
      <c r="A12" s="347">
        <f t="shared" ca="1" si="6"/>
        <v>0.01</v>
      </c>
      <c r="B12" s="304">
        <f t="shared" ca="1" si="7"/>
        <v>0.08</v>
      </c>
      <c r="D12" s="306">
        <f t="shared" ca="1" si="8"/>
        <v>24.181915208437889</v>
      </c>
      <c r="E12" s="307">
        <f t="shared" ca="1" si="9"/>
        <v>126.93982835138979</v>
      </c>
      <c r="F12" s="304">
        <f t="shared" ca="1" si="10"/>
        <v>129.22261816349484</v>
      </c>
      <c r="G12" s="306">
        <f t="shared" ca="1" si="11"/>
        <v>18.605192416571555</v>
      </c>
      <c r="H12" s="307">
        <f t="shared" ca="1" si="12"/>
        <v>105.11510778277159</v>
      </c>
      <c r="I12" s="304">
        <f t="shared" ca="1" si="13"/>
        <v>106.74895347984139</v>
      </c>
      <c r="J12" s="306">
        <f t="shared" ca="1" si="14"/>
        <v>1.4229314391374186</v>
      </c>
      <c r="K12" s="307">
        <f t="shared" ca="1" si="15"/>
        <v>8.0619108910433823</v>
      </c>
      <c r="L12" s="304">
        <f t="shared" ca="1" si="0"/>
        <v>8.1865219168832368</v>
      </c>
      <c r="M12" s="306">
        <f t="shared" ca="1" si="16"/>
        <v>1.3956124272390409</v>
      </c>
      <c r="N12" s="304">
        <f t="shared" ca="1" si="17"/>
        <v>79.962701916805727</v>
      </c>
      <c r="P12" s="310">
        <f t="shared" ca="1" si="18"/>
        <v>2</v>
      </c>
      <c r="Q12" s="304">
        <f t="shared" ca="1" si="19"/>
        <v>887.72222222222217</v>
      </c>
      <c r="R12" s="306">
        <f t="shared" ca="1" si="20"/>
        <v>0.44550642282755548</v>
      </c>
      <c r="S12" s="307">
        <f t="shared" ca="1" si="21"/>
        <v>6.091399145926145</v>
      </c>
      <c r="T12" s="304">
        <f t="shared" ca="1" si="1"/>
        <v>59.756625621535484</v>
      </c>
      <c r="U12" s="311">
        <f t="shared" ca="1" si="2"/>
        <v>0</v>
      </c>
      <c r="V12" s="306">
        <f t="shared" ca="1" si="3"/>
        <v>1.2240128138461874</v>
      </c>
      <c r="W12" s="304">
        <f t="shared" ca="1" si="4"/>
        <v>42.826901537803998</v>
      </c>
      <c r="Y12" s="314" t="str">
        <f t="shared" ca="1" si="22"/>
        <v/>
      </c>
      <c r="Z12" s="315" t="str">
        <f t="shared" ca="1" si="23"/>
        <v/>
      </c>
      <c r="AA12" s="316" t="str">
        <f t="shared" ca="1" si="24"/>
        <v/>
      </c>
      <c r="AC12" s="310" t="e">
        <f t="shared" ca="1" si="25"/>
        <v>#N/A</v>
      </c>
      <c r="AD12" s="323" t="e">
        <f t="shared" ca="1" si="26"/>
        <v>#N/A</v>
      </c>
      <c r="AE12" s="324">
        <f t="shared" ca="1" si="5"/>
        <v>8.0619108910433823</v>
      </c>
      <c r="AG12" s="306">
        <f t="shared" ca="1" si="27"/>
        <v>129.2113268651191</v>
      </c>
      <c r="AH12" s="304">
        <f t="shared" ca="1" si="28"/>
        <v>138.87145342827895</v>
      </c>
    </row>
    <row r="13" spans="1:248" x14ac:dyDescent="0.2">
      <c r="A13" s="347">
        <f t="shared" ca="1" si="6"/>
        <v>0.01</v>
      </c>
      <c r="B13" s="304">
        <f t="shared" ca="1" si="7"/>
        <v>0.09</v>
      </c>
      <c r="D13" s="306">
        <f t="shared" ca="1" si="8"/>
        <v>24.131641336854745</v>
      </c>
      <c r="E13" s="307">
        <f t="shared" ca="1" si="9"/>
        <v>126.52828789856187</v>
      </c>
      <c r="F13" s="304">
        <f t="shared" ca="1" si="10"/>
        <v>128.80894282677718</v>
      </c>
      <c r="G13" s="306">
        <f t="shared" ca="1" si="11"/>
        <v>18.846508829940102</v>
      </c>
      <c r="H13" s="307">
        <f t="shared" ca="1" si="12"/>
        <v>106.3803906617572</v>
      </c>
      <c r="I13" s="304">
        <f t="shared" ca="1" si="13"/>
        <v>108.03693078028961</v>
      </c>
      <c r="J13" s="306">
        <f t="shared" ca="1" si="14"/>
        <v>1.6101899453699768</v>
      </c>
      <c r="K13" s="307">
        <f t="shared" ca="1" si="15"/>
        <v>9.1193883832660259</v>
      </c>
      <c r="L13" s="304">
        <f t="shared" ca="1" si="0"/>
        <v>9.2604511847435322</v>
      </c>
      <c r="M13" s="306">
        <f t="shared" ca="1" si="16"/>
        <v>1.3954541686420801</v>
      </c>
      <c r="N13" s="304">
        <f t="shared" ca="1" si="17"/>
        <v>79.953634367128217</v>
      </c>
      <c r="P13" s="310">
        <f t="shared" ca="1" si="18"/>
        <v>2</v>
      </c>
      <c r="Q13" s="304">
        <f t="shared" ca="1" si="19"/>
        <v>885.61111111111109</v>
      </c>
      <c r="R13" s="306">
        <f t="shared" ca="1" si="20"/>
        <v>0.44444695452118799</v>
      </c>
      <c r="S13" s="307">
        <f t="shared" ca="1" si="21"/>
        <v>6.086954676380933</v>
      </c>
      <c r="T13" s="304">
        <f t="shared" ca="1" si="1"/>
        <v>59.713025375296958</v>
      </c>
      <c r="U13" s="311">
        <f t="shared" ca="1" si="2"/>
        <v>0</v>
      </c>
      <c r="V13" s="306">
        <f t="shared" ca="1" si="3"/>
        <v>1.2238833840657688</v>
      </c>
      <c r="W13" s="304">
        <f t="shared" ca="1" si="4"/>
        <v>43.861951746747458</v>
      </c>
      <c r="Y13" s="314" t="str">
        <f t="shared" ca="1" si="22"/>
        <v/>
      </c>
      <c r="Z13" s="315" t="str">
        <f t="shared" ca="1" si="23"/>
        <v/>
      </c>
      <c r="AA13" s="316" t="str">
        <f t="shared" ca="1" si="24"/>
        <v/>
      </c>
      <c r="AC13" s="310" t="e">
        <f t="shared" ca="1" si="25"/>
        <v>#N/A</v>
      </c>
      <c r="AD13" s="323" t="e">
        <f t="shared" ca="1" si="26"/>
        <v>#N/A</v>
      </c>
      <c r="AE13" s="324">
        <f t="shared" ca="1" si="5"/>
        <v>9.1193883832660259</v>
      </c>
      <c r="AG13" s="306">
        <f t="shared" ca="1" si="27"/>
        <v>128.79759475134472</v>
      </c>
      <c r="AH13" s="304">
        <f t="shared" ca="1" si="28"/>
        <v>138.45744783406107</v>
      </c>
    </row>
    <row r="14" spans="1:248" x14ac:dyDescent="0.2">
      <c r="A14" s="347">
        <f t="shared" ca="1" si="6"/>
        <v>0.01</v>
      </c>
      <c r="B14" s="304">
        <f t="shared" ca="1" si="7"/>
        <v>9.9999999999999992E-2</v>
      </c>
      <c r="D14" s="306">
        <f t="shared" ca="1" si="8"/>
        <v>24.08059325353112</v>
      </c>
      <c r="E14" s="307">
        <f t="shared" ca="1" si="9"/>
        <v>126.11453333361771</v>
      </c>
      <c r="F14" s="304">
        <f t="shared" ca="1" si="10"/>
        <v>128.3929534257943</v>
      </c>
      <c r="G14" s="306">
        <f t="shared" ca="1" si="11"/>
        <v>19.087314762475415</v>
      </c>
      <c r="H14" s="307">
        <f t="shared" ca="1" si="12"/>
        <v>107.64153599509338</v>
      </c>
      <c r="I14" s="304">
        <f t="shared" ca="1" si="13"/>
        <v>109.32074760183812</v>
      </c>
      <c r="J14" s="306">
        <f t="shared" ca="1" si="14"/>
        <v>1.7998590633320544</v>
      </c>
      <c r="K14" s="307">
        <f t="shared" ca="1" si="15"/>
        <v>10.189498016550278</v>
      </c>
      <c r="L14" s="304">
        <f t="shared" ca="1" si="0"/>
        <v>10.347239365025851</v>
      </c>
      <c r="M14" s="306">
        <f t="shared" ca="1" si="16"/>
        <v>1.395297628728176</v>
      </c>
      <c r="N14" s="304">
        <f t="shared" ca="1" si="17"/>
        <v>79.944665290736168</v>
      </c>
      <c r="P14" s="310">
        <f t="shared" ca="1" si="18"/>
        <v>2</v>
      </c>
      <c r="Q14" s="304">
        <f t="shared" ca="1" si="19"/>
        <v>883.5</v>
      </c>
      <c r="R14" s="306">
        <f t="shared" ca="1" si="20"/>
        <v>0.44338748621482044</v>
      </c>
      <c r="S14" s="307">
        <f t="shared" ca="1" si="21"/>
        <v>6.0825208015187844</v>
      </c>
      <c r="T14" s="304">
        <f t="shared" ca="1" si="1"/>
        <v>59.669529062899279</v>
      </c>
      <c r="U14" s="311">
        <f t="shared" ca="1" si="2"/>
        <v>0</v>
      </c>
      <c r="V14" s="306">
        <f t="shared" ca="1" si="3"/>
        <v>1.2237524221025984</v>
      </c>
      <c r="W14" s="304">
        <f t="shared" ca="1" si="4"/>
        <v>44.905774261369551</v>
      </c>
      <c r="Y14" s="314" t="str">
        <f t="shared" ca="1" si="22"/>
        <v/>
      </c>
      <c r="Z14" s="315" t="str">
        <f t="shared" ca="1" si="23"/>
        <v/>
      </c>
      <c r="AA14" s="316" t="str">
        <f t="shared" ca="1" si="24"/>
        <v/>
      </c>
      <c r="AC14" s="310" t="e">
        <f t="shared" ca="1" si="25"/>
        <v>#N/A</v>
      </c>
      <c r="AD14" s="323" t="e">
        <f t="shared" ca="1" si="26"/>
        <v>#N/A</v>
      </c>
      <c r="AE14" s="324">
        <f t="shared" ca="1" si="5"/>
        <v>10.189498016550278</v>
      </c>
      <c r="AG14" s="306">
        <f t="shared" ca="1" si="27"/>
        <v>128.38154821100096</v>
      </c>
      <c r="AH14" s="304">
        <f t="shared" ca="1" si="28"/>
        <v>138.0411305857923</v>
      </c>
    </row>
    <row r="15" spans="1:248" x14ac:dyDescent="0.2">
      <c r="A15" s="347">
        <f t="shared" ca="1" si="6"/>
        <v>0.01</v>
      </c>
      <c r="B15" s="304">
        <f t="shared" ca="1" si="7"/>
        <v>0.10999999999999999</v>
      </c>
      <c r="D15" s="306">
        <f t="shared" ca="1" si="8"/>
        <v>24.028781987424011</v>
      </c>
      <c r="E15" s="307">
        <f t="shared" ca="1" si="9"/>
        <v>125.69858428250248</v>
      </c>
      <c r="F15" s="304">
        <f t="shared" ca="1" si="10"/>
        <v>127.97467114403744</v>
      </c>
      <c r="G15" s="306">
        <f t="shared" ca="1" si="11"/>
        <v>19.327602582349655</v>
      </c>
      <c r="H15" s="307">
        <f t="shared" ca="1" si="12"/>
        <v>108.89852183791841</v>
      </c>
      <c r="I15" s="304">
        <f t="shared" ca="1" si="13"/>
        <v>110.60038101229509</v>
      </c>
      <c r="J15" s="306">
        <f t="shared" ca="1" si="14"/>
        <v>1.9919336500561797</v>
      </c>
      <c r="K15" s="307">
        <f t="shared" ca="1" si="15"/>
        <v>11.272198305715337</v>
      </c>
      <c r="L15" s="304">
        <f t="shared" ca="1" si="0"/>
        <v>11.446844731610447</v>
      </c>
      <c r="M15" s="306">
        <f t="shared" ca="1" si="16"/>
        <v>1.3951427632462352</v>
      </c>
      <c r="N15" s="304">
        <f t="shared" ca="1" si="17"/>
        <v>79.9357921522287</v>
      </c>
      <c r="P15" s="310">
        <f t="shared" ca="1" si="18"/>
        <v>2</v>
      </c>
      <c r="Q15" s="304">
        <f t="shared" ca="1" si="19"/>
        <v>881.38888888888891</v>
      </c>
      <c r="R15" s="306">
        <f t="shared" ca="1" si="20"/>
        <v>0.44232801790845289</v>
      </c>
      <c r="S15" s="307">
        <f t="shared" ca="1" si="21"/>
        <v>6.0780975213396999</v>
      </c>
      <c r="T15" s="304">
        <f t="shared" ca="1" si="1"/>
        <v>59.626136684342463</v>
      </c>
      <c r="U15" s="311">
        <f t="shared" ca="1" si="2"/>
        <v>0</v>
      </c>
      <c r="V15" s="306">
        <f t="shared" ca="1" si="3"/>
        <v>1.223619933526698</v>
      </c>
      <c r="W15" s="304">
        <f t="shared" ca="1" si="4"/>
        <v>45.958222983474094</v>
      </c>
      <c r="Y15" s="314" t="str">
        <f t="shared" ca="1" si="22"/>
        <v/>
      </c>
      <c r="Z15" s="315" t="str">
        <f t="shared" ca="1" si="23"/>
        <v/>
      </c>
      <c r="AA15" s="316" t="str">
        <f t="shared" ca="1" si="24"/>
        <v/>
      </c>
      <c r="AC15" s="310" t="e">
        <f t="shared" ca="1" si="25"/>
        <v>#N/A</v>
      </c>
      <c r="AD15" s="323" t="e">
        <f t="shared" ca="1" si="26"/>
        <v>#N/A</v>
      </c>
      <c r="AE15" s="324">
        <f t="shared" ca="1" si="5"/>
        <v>11.272198305715337</v>
      </c>
      <c r="AG15" s="306">
        <f t="shared" ca="1" si="27"/>
        <v>127.96320841749275</v>
      </c>
      <c r="AH15" s="304">
        <f t="shared" ca="1" si="28"/>
        <v>137.62252278623305</v>
      </c>
    </row>
    <row r="16" spans="1:248" x14ac:dyDescent="0.2">
      <c r="A16" s="347">
        <f t="shared" ca="1" si="6"/>
        <v>0.01</v>
      </c>
      <c r="B16" s="304">
        <f t="shared" ca="1" si="7"/>
        <v>0.11999999999999998</v>
      </c>
      <c r="D16" s="306">
        <f t="shared" ca="1" si="8"/>
        <v>23.976218318567057</v>
      </c>
      <c r="E16" s="307">
        <f t="shared" ca="1" si="9"/>
        <v>125.28046054887162</v>
      </c>
      <c r="F16" s="304">
        <f t="shared" ca="1" si="10"/>
        <v>127.55411730005805</v>
      </c>
      <c r="G16" s="306">
        <f t="shared" ca="1" si="11"/>
        <v>19.567364765535327</v>
      </c>
      <c r="H16" s="307">
        <f t="shared" ca="1" si="12"/>
        <v>110.15132644340713</v>
      </c>
      <c r="I16" s="304">
        <f t="shared" ca="1" si="13"/>
        <v>111.87580829254176</v>
      </c>
      <c r="J16" s="306">
        <f t="shared" ca="1" si="14"/>
        <v>2.1864084867956048</v>
      </c>
      <c r="K16" s="307">
        <f t="shared" ca="1" si="15"/>
        <v>12.367447547121964</v>
      </c>
      <c r="L16" s="304">
        <f t="shared" ca="1" si="0"/>
        <v>12.559225330486946</v>
      </c>
      <c r="M16" s="306">
        <f t="shared" ca="1" si="16"/>
        <v>1.3949895295819885</v>
      </c>
      <c r="N16" s="304">
        <f t="shared" ca="1" si="17"/>
        <v>79.927012509988046</v>
      </c>
      <c r="P16" s="310">
        <f t="shared" ca="1" si="18"/>
        <v>2</v>
      </c>
      <c r="Q16" s="304">
        <f t="shared" ca="1" si="19"/>
        <v>879.27777777777783</v>
      </c>
      <c r="R16" s="306">
        <f t="shared" ca="1" si="20"/>
        <v>0.44126854960208534</v>
      </c>
      <c r="S16" s="307">
        <f t="shared" ca="1" si="21"/>
        <v>6.0736848358436788</v>
      </c>
      <c r="T16" s="304">
        <f t="shared" ca="1" si="1"/>
        <v>59.582848239626493</v>
      </c>
      <c r="U16" s="311">
        <f t="shared" ca="1" si="2"/>
        <v>0</v>
      </c>
      <c r="V16" s="306">
        <f t="shared" ca="1" si="3"/>
        <v>1.2234859239382911</v>
      </c>
      <c r="W16" s="304">
        <f t="shared" ca="1" si="4"/>
        <v>47.019151518792228</v>
      </c>
      <c r="Y16" s="314" t="str">
        <f t="shared" ca="1" si="22"/>
        <v/>
      </c>
      <c r="Z16" s="315" t="str">
        <f t="shared" ca="1" si="23"/>
        <v/>
      </c>
      <c r="AA16" s="316" t="str">
        <f t="shared" ca="1" si="24"/>
        <v/>
      </c>
      <c r="AC16" s="310" t="e">
        <f t="shared" ca="1" si="25"/>
        <v>#N/A</v>
      </c>
      <c r="AD16" s="323" t="e">
        <f t="shared" ca="1" si="26"/>
        <v>#N/A</v>
      </c>
      <c r="AE16" s="324">
        <f t="shared" ca="1" si="5"/>
        <v>12.367447547121964</v>
      </c>
      <c r="AG16" s="306">
        <f t="shared" ca="1" si="27"/>
        <v>127.54259667935992</v>
      </c>
      <c r="AH16" s="304">
        <f t="shared" ca="1" si="28"/>
        <v>137.20164567586582</v>
      </c>
    </row>
    <row r="17" spans="1:34" x14ac:dyDescent="0.2">
      <c r="A17" s="347">
        <f t="shared" ca="1" si="6"/>
        <v>0.01</v>
      </c>
      <c r="B17" s="304">
        <f t="shared" ca="1" si="7"/>
        <v>0.12999999999999998</v>
      </c>
      <c r="D17" s="306">
        <f t="shared" ca="1" si="8"/>
        <v>23.922912791393049</v>
      </c>
      <c r="E17" s="307">
        <f t="shared" ca="1" si="9"/>
        <v>124.86018210869457</v>
      </c>
      <c r="F17" s="304">
        <f t="shared" ca="1" si="10"/>
        <v>127.1313133442779</v>
      </c>
      <c r="G17" s="306">
        <f t="shared" ca="1" si="11"/>
        <v>19.806593893449257</v>
      </c>
      <c r="H17" s="307">
        <f t="shared" ca="1" si="12"/>
        <v>111.39992826449408</v>
      </c>
      <c r="I17" s="304">
        <f t="shared" ca="1" si="13"/>
        <v>113.14700693785252</v>
      </c>
      <c r="J17" s="306">
        <f t="shared" ca="1" si="14"/>
        <v>2.3832782800905279</v>
      </c>
      <c r="K17" s="307">
        <f t="shared" ca="1" si="15"/>
        <v>13.47520382066147</v>
      </c>
      <c r="L17" s="304">
        <f t="shared" ca="1" si="0"/>
        <v>13.684338981796699</v>
      </c>
      <c r="M17" s="306">
        <f t="shared" ca="1" si="16"/>
        <v>1.3948378866775792</v>
      </c>
      <c r="N17" s="304">
        <f t="shared" ca="1" si="17"/>
        <v>79.918324011572281</v>
      </c>
      <c r="P17" s="310">
        <f t="shared" ca="1" si="18"/>
        <v>2</v>
      </c>
      <c r="Q17" s="304">
        <f t="shared" ca="1" si="19"/>
        <v>877.16666666666663</v>
      </c>
      <c r="R17" s="306">
        <f t="shared" ca="1" si="20"/>
        <v>0.44020908129571773</v>
      </c>
      <c r="S17" s="307">
        <f t="shared" ca="1" si="21"/>
        <v>6.0692827450307218</v>
      </c>
      <c r="T17" s="304">
        <f t="shared" ca="1" si="1"/>
        <v>59.539663728751385</v>
      </c>
      <c r="U17" s="311">
        <f t="shared" ca="1" si="2"/>
        <v>0</v>
      </c>
      <c r="V17" s="306">
        <f t="shared" ca="1" si="3"/>
        <v>1.2233503989674759</v>
      </c>
      <c r="W17" s="304">
        <f t="shared" ca="1" si="4"/>
        <v>48.088413197935914</v>
      </c>
      <c r="Y17" s="314" t="str">
        <f t="shared" ca="1" si="22"/>
        <v/>
      </c>
      <c r="Z17" s="315" t="str">
        <f t="shared" ca="1" si="23"/>
        <v/>
      </c>
      <c r="AA17" s="316" t="str">
        <f t="shared" ca="1" si="24"/>
        <v/>
      </c>
      <c r="AC17" s="310" t="e">
        <f t="shared" ca="1" si="25"/>
        <v>#N/A</v>
      </c>
      <c r="AD17" s="323" t="e">
        <f t="shared" ca="1" si="26"/>
        <v>#N/A</v>
      </c>
      <c r="AE17" s="324">
        <f t="shared" ca="1" si="5"/>
        <v>13.47520382066147</v>
      </c>
      <c r="AG17" s="306">
        <f t="shared" ca="1" si="27"/>
        <v>127.11973443707798</v>
      </c>
      <c r="AH17" s="304">
        <f t="shared" ca="1" si="28"/>
        <v>136.77852062956944</v>
      </c>
    </row>
    <row r="18" spans="1:34" x14ac:dyDescent="0.2">
      <c r="A18" s="347">
        <f t="shared" ca="1" si="6"/>
        <v>0.01</v>
      </c>
      <c r="B18" s="304">
        <f t="shared" ca="1" si="7"/>
        <v>0.13999999999999999</v>
      </c>
      <c r="D18" s="306">
        <f t="shared" ca="1" si="8"/>
        <v>23.868875727196126</v>
      </c>
      <c r="E18" s="307">
        <f t="shared" ca="1" si="9"/>
        <v>124.43776910497448</v>
      </c>
      <c r="F18" s="304">
        <f t="shared" ca="1" si="10"/>
        <v>126.70628085577792</v>
      </c>
      <c r="G18" s="306">
        <f t="shared" ca="1" si="11"/>
        <v>20.045282650721219</v>
      </c>
      <c r="H18" s="307">
        <f t="shared" ca="1" si="12"/>
        <v>112.64430595554383</v>
      </c>
      <c r="I18" s="304">
        <f t="shared" ca="1" si="13"/>
        <v>114.41395465918251</v>
      </c>
      <c r="J18" s="306">
        <f t="shared" ca="1" si="14"/>
        <v>2.5825376628113803</v>
      </c>
      <c r="K18" s="307">
        <f t="shared" ca="1" si="15"/>
        <v>14.595424991761659</v>
      </c>
      <c r="L18" s="304">
        <f t="shared" ca="1" si="0"/>
        <v>14.822143281927215</v>
      </c>
      <c r="M18" s="306">
        <f t="shared" ca="1" si="16"/>
        <v>1.3946877949560428</v>
      </c>
      <c r="N18" s="304">
        <f t="shared" ca="1" si="17"/>
        <v>79.909724389388401</v>
      </c>
      <c r="P18" s="310">
        <f t="shared" ca="1" si="18"/>
        <v>2</v>
      </c>
      <c r="Q18" s="304">
        <f t="shared" ca="1" si="19"/>
        <v>875.05555555555554</v>
      </c>
      <c r="R18" s="306">
        <f t="shared" ca="1" si="20"/>
        <v>0.43914961298935024</v>
      </c>
      <c r="S18" s="307">
        <f t="shared" ca="1" si="21"/>
        <v>6.0648912489008282</v>
      </c>
      <c r="T18" s="304">
        <f t="shared" ca="1" si="1"/>
        <v>59.496583151717125</v>
      </c>
      <c r="U18" s="311">
        <f t="shared" ca="1" si="2"/>
        <v>0</v>
      </c>
      <c r="V18" s="306">
        <f t="shared" ca="1" si="3"/>
        <v>1.2232133642738954</v>
      </c>
      <c r="W18" s="304">
        <f t="shared" ca="1" si="4"/>
        <v>49.165861097318306</v>
      </c>
      <c r="Y18" s="314" t="str">
        <f t="shared" ca="1" si="22"/>
        <v/>
      </c>
      <c r="Z18" s="315" t="str">
        <f t="shared" ca="1" si="23"/>
        <v/>
      </c>
      <c r="AA18" s="316" t="str">
        <f t="shared" ca="1" si="24"/>
        <v/>
      </c>
      <c r="AC18" s="310" t="e">
        <f t="shared" ca="1" si="25"/>
        <v>#N/A</v>
      </c>
      <c r="AD18" s="323" t="e">
        <f t="shared" ca="1" si="26"/>
        <v>#N/A</v>
      </c>
      <c r="AE18" s="324">
        <f t="shared" ca="1" si="5"/>
        <v>14.595424991761659</v>
      </c>
      <c r="AG18" s="306">
        <f t="shared" ca="1" si="27"/>
        <v>126.69464325983778</v>
      </c>
      <c r="AH18" s="304">
        <f t="shared" ca="1" si="28"/>
        <v>136.35316915327957</v>
      </c>
    </row>
    <row r="19" spans="1:34" x14ac:dyDescent="0.2">
      <c r="A19" s="347">
        <f t="shared" ca="1" si="6"/>
        <v>0.01</v>
      </c>
      <c r="B19" s="304">
        <f t="shared" ca="1" si="7"/>
        <v>0.15</v>
      </c>
      <c r="D19" s="306">
        <f t="shared" ca="1" si="8"/>
        <v>23.81411723579653</v>
      </c>
      <c r="E19" s="307">
        <f t="shared" ca="1" si="9"/>
        <v>124.01324184257564</v>
      </c>
      <c r="F19" s="304">
        <f t="shared" ca="1" si="10"/>
        <v>126.27904153906702</v>
      </c>
      <c r="G19" s="306">
        <f t="shared" ca="1" si="11"/>
        <v>20.283423823079186</v>
      </c>
      <c r="H19" s="307">
        <f t="shared" ca="1" si="12"/>
        <v>113.88443837396959</v>
      </c>
      <c r="I19" s="304">
        <f t="shared" ca="1" si="13"/>
        <v>115.67662938442291</v>
      </c>
      <c r="J19" s="306">
        <f t="shared" ca="1" si="14"/>
        <v>2.7841811951803823</v>
      </c>
      <c r="K19" s="307">
        <f t="shared" ca="1" si="15"/>
        <v>15.728068713409225</v>
      </c>
      <c r="L19" s="304">
        <f t="shared" ca="1" si="0"/>
        <v>15.972595605640249</v>
      </c>
      <c r="M19" s="306">
        <f t="shared" ca="1" si="16"/>
        <v>1.3945392162503258</v>
      </c>
      <c r="N19" s="304">
        <f t="shared" ca="1" si="17"/>
        <v>79.901211456625305</v>
      </c>
      <c r="P19" s="310">
        <f t="shared" ca="1" si="18"/>
        <v>2</v>
      </c>
      <c r="Q19" s="304">
        <f t="shared" ca="1" si="19"/>
        <v>872.94444444444446</v>
      </c>
      <c r="R19" s="306">
        <f t="shared" ca="1" si="20"/>
        <v>0.43809014468298269</v>
      </c>
      <c r="S19" s="307">
        <f t="shared" ca="1" si="21"/>
        <v>6.0605103474539987</v>
      </c>
      <c r="T19" s="304">
        <f t="shared" ca="1" si="1"/>
        <v>59.453606508523734</v>
      </c>
      <c r="U19" s="311">
        <f t="shared" ca="1" si="2"/>
        <v>0</v>
      </c>
      <c r="V19" s="306">
        <f t="shared" ca="1" si="3"/>
        <v>1.2230748255464123</v>
      </c>
      <c r="W19" s="304">
        <f t="shared" ca="1" si="4"/>
        <v>50.251348060036229</v>
      </c>
      <c r="Y19" s="314" t="str">
        <f t="shared" ca="1" si="22"/>
        <v/>
      </c>
      <c r="Z19" s="315" t="str">
        <f t="shared" ca="1" si="23"/>
        <v/>
      </c>
      <c r="AA19" s="316" t="str">
        <f t="shared" ca="1" si="24"/>
        <v/>
      </c>
      <c r="AC19" s="310" t="e">
        <f t="shared" ca="1" si="25"/>
        <v>#N/A</v>
      </c>
      <c r="AD19" s="323" t="e">
        <f t="shared" ca="1" si="26"/>
        <v>#N/A</v>
      </c>
      <c r="AE19" s="324">
        <f t="shared" ca="1" si="5"/>
        <v>15.728068713409225</v>
      </c>
      <c r="AG19" s="306">
        <f t="shared" ca="1" si="27"/>
        <v>126.26734484230542</v>
      </c>
      <c r="AH19" s="304">
        <f t="shared" ca="1" si="28"/>
        <v>135.92561288063686</v>
      </c>
    </row>
    <row r="20" spans="1:34" x14ac:dyDescent="0.2">
      <c r="A20" s="347">
        <f t="shared" ca="1" si="6"/>
        <v>0.01</v>
      </c>
      <c r="B20" s="304">
        <f t="shared" ca="1" si="7"/>
        <v>0.16</v>
      </c>
      <c r="D20" s="306">
        <f t="shared" ca="1" si="8"/>
        <v>23.75864722646487</v>
      </c>
      <c r="E20" s="307">
        <f t="shared" ca="1" si="9"/>
        <v>123.58662078315081</v>
      </c>
      <c r="F20" s="304">
        <f t="shared" ca="1" si="10"/>
        <v>125.84961722083199</v>
      </c>
      <c r="G20" s="306">
        <f t="shared" ca="1" si="11"/>
        <v>20.521010295343835</v>
      </c>
      <c r="H20" s="307">
        <f t="shared" ca="1" si="12"/>
        <v>115.12030458180109</v>
      </c>
      <c r="I20" s="304">
        <f t="shared" ca="1" si="13"/>
        <v>116.93500925962361</v>
      </c>
      <c r="J20" s="306">
        <f t="shared" ca="1" si="14"/>
        <v>2.9882033657724976</v>
      </c>
      <c r="K20" s="307">
        <f t="shared" ca="1" si="15"/>
        <v>16.87309242818808</v>
      </c>
      <c r="L20" s="304">
        <f t="shared" ca="1" si="0"/>
        <v>17.135653108224151</v>
      </c>
      <c r="M20" s="306">
        <f t="shared" ca="1" si="16"/>
        <v>1.3943921137365174</v>
      </c>
      <c r="N20" s="304">
        <f t="shared" ca="1" si="17"/>
        <v>79.892783103428314</v>
      </c>
      <c r="P20" s="310">
        <f t="shared" ca="1" si="18"/>
        <v>2</v>
      </c>
      <c r="Q20" s="304">
        <f t="shared" ca="1" si="19"/>
        <v>870.83333333333337</v>
      </c>
      <c r="R20" s="306">
        <f t="shared" ca="1" si="20"/>
        <v>0.43703067637661513</v>
      </c>
      <c r="S20" s="307">
        <f t="shared" ca="1" si="21"/>
        <v>6.0561400406902326</v>
      </c>
      <c r="T20" s="304">
        <f t="shared" ca="1" si="1"/>
        <v>59.410733799171183</v>
      </c>
      <c r="U20" s="311">
        <f t="shared" ca="1" si="2"/>
        <v>0</v>
      </c>
      <c r="V20" s="306">
        <f t="shared" ca="1" si="3"/>
        <v>1.222934788502771</v>
      </c>
      <c r="W20" s="304">
        <f t="shared" ca="1" si="4"/>
        <v>51.344726716708941</v>
      </c>
      <c r="Y20" s="314" t="str">
        <f t="shared" ca="1" si="22"/>
        <v/>
      </c>
      <c r="Z20" s="315" t="str">
        <f t="shared" ca="1" si="23"/>
        <v/>
      </c>
      <c r="AA20" s="316" t="str">
        <f t="shared" ca="1" si="24"/>
        <v/>
      </c>
      <c r="AC20" s="310" t="e">
        <f t="shared" ca="1" si="25"/>
        <v>#N/A</v>
      </c>
      <c r="AD20" s="323" t="e">
        <f t="shared" ca="1" si="26"/>
        <v>#N/A</v>
      </c>
      <c r="AE20" s="324">
        <f t="shared" ca="1" si="5"/>
        <v>16.87309242818808</v>
      </c>
      <c r="AG20" s="306">
        <f t="shared" ca="1" si="27"/>
        <v>125.8378610013639</v>
      </c>
      <c r="AH20" s="304">
        <f t="shared" ca="1" si="28"/>
        <v>135.49587356962331</v>
      </c>
    </row>
    <row r="21" spans="1:34" x14ac:dyDescent="0.2">
      <c r="A21" s="347">
        <f t="shared" ca="1" si="6"/>
        <v>0.01</v>
      </c>
      <c r="B21" s="304">
        <f t="shared" ca="1" si="7"/>
        <v>0.17</v>
      </c>
      <c r="D21" s="306">
        <f t="shared" ca="1" si="8"/>
        <v>23.702475418159484</v>
      </c>
      <c r="E21" s="307">
        <f t="shared" ca="1" si="9"/>
        <v>123.15792654016138</v>
      </c>
      <c r="F21" s="304">
        <f t="shared" ca="1" si="10"/>
        <v>125.41802984667015</v>
      </c>
      <c r="G21" s="306">
        <f t="shared" ca="1" si="11"/>
        <v>20.758035049525429</v>
      </c>
      <c r="H21" s="307">
        <f t="shared" ca="1" si="12"/>
        <v>116.35188384720271</v>
      </c>
      <c r="I21" s="304">
        <f t="shared" ca="1" si="13"/>
        <v>118.18907265018318</v>
      </c>
      <c r="J21" s="306">
        <f t="shared" ca="1" si="14"/>
        <v>3.1945985924968436</v>
      </c>
      <c r="K21" s="307">
        <f t="shared" ca="1" si="15"/>
        <v>18.030453370333099</v>
      </c>
      <c r="L21" s="304">
        <f t="shared" ca="1" si="0"/>
        <v>18.311272727665301</v>
      </c>
      <c r="M21" s="306">
        <f t="shared" ca="1" si="16"/>
        <v>1.3942464518709976</v>
      </c>
      <c r="N21" s="304">
        <f t="shared" ca="1" si="17"/>
        <v>79.884437293298021</v>
      </c>
      <c r="P21" s="310">
        <f t="shared" ca="1" si="18"/>
        <v>2</v>
      </c>
      <c r="Q21" s="304">
        <f t="shared" ca="1" si="19"/>
        <v>868.72222222222217</v>
      </c>
      <c r="R21" s="306">
        <f t="shared" ca="1" si="20"/>
        <v>0.43597120807024753</v>
      </c>
      <c r="S21" s="307">
        <f t="shared" ca="1" si="21"/>
        <v>6.0517803286095297</v>
      </c>
      <c r="T21" s="304">
        <f t="shared" ca="1" si="1"/>
        <v>59.367965023659487</v>
      </c>
      <c r="U21" s="311">
        <f t="shared" ca="1" si="2"/>
        <v>0</v>
      </c>
      <c r="V21" s="306">
        <f t="shared" ca="1" si="3"/>
        <v>1.2227932588892689</v>
      </c>
      <c r="W21" s="304">
        <f t="shared" ca="1" si="4"/>
        <v>52.445849506269255</v>
      </c>
      <c r="Y21" s="314" t="str">
        <f t="shared" ca="1" si="22"/>
        <v/>
      </c>
      <c r="Z21" s="315" t="str">
        <f t="shared" ca="1" si="23"/>
        <v/>
      </c>
      <c r="AA21" s="316" t="str">
        <f t="shared" ca="1" si="24"/>
        <v/>
      </c>
      <c r="AC21" s="310" t="e">
        <f t="shared" ca="1" si="25"/>
        <v>#N/A</v>
      </c>
      <c r="AD21" s="323" t="e">
        <f t="shared" ca="1" si="26"/>
        <v>#N/A</v>
      </c>
      <c r="AE21" s="324">
        <f t="shared" ca="1" si="5"/>
        <v>18.030453370333099</v>
      </c>
      <c r="AG21" s="306">
        <f t="shared" ca="1" si="27"/>
        <v>125.40621367283798</v>
      </c>
      <c r="AH21" s="304">
        <f t="shared" ca="1" si="28"/>
        <v>135.0639730991881</v>
      </c>
    </row>
    <row r="22" spans="1:34" x14ac:dyDescent="0.2">
      <c r="A22" s="347">
        <f t="shared" ca="1" si="6"/>
        <v>0.01</v>
      </c>
      <c r="B22" s="304">
        <f t="shared" ca="1" si="7"/>
        <v>0.18000000000000002</v>
      </c>
      <c r="D22" s="306">
        <f t="shared" ca="1" si="8"/>
        <v>23.645611349124454</v>
      </c>
      <c r="E22" s="307">
        <f t="shared" ca="1" si="9"/>
        <v>122.72717987398451</v>
      </c>
      <c r="F22" s="304">
        <f t="shared" ca="1" si="10"/>
        <v>124.98430147780637</v>
      </c>
      <c r="G22" s="306">
        <f t="shared" ca="1" si="11"/>
        <v>20.994491163016672</v>
      </c>
      <c r="H22" s="307">
        <f t="shared" ca="1" si="12"/>
        <v>117.57915564594256</v>
      </c>
      <c r="I22" s="304">
        <f t="shared" ca="1" si="13"/>
        <v>119.43879814200565</v>
      </c>
      <c r="J22" s="306">
        <f t="shared" ca="1" si="14"/>
        <v>3.4033612235595543</v>
      </c>
      <c r="K22" s="307">
        <f t="shared" ca="1" si="15"/>
        <v>19.200108567798825</v>
      </c>
      <c r="L22" s="304">
        <f t="shared" ca="1" si="0"/>
        <v>19.499411186835633</v>
      </c>
      <c r="M22" s="306">
        <f t="shared" ca="1" si="16"/>
        <v>1.3941021963312312</v>
      </c>
      <c r="N22" s="304">
        <f t="shared" ca="1" si="17"/>
        <v>79.876172059698035</v>
      </c>
      <c r="P22" s="310">
        <f t="shared" ca="1" si="18"/>
        <v>2</v>
      </c>
      <c r="Q22" s="304">
        <f t="shared" ca="1" si="19"/>
        <v>866.61111111111109</v>
      </c>
      <c r="R22" s="306">
        <f t="shared" ca="1" si="20"/>
        <v>0.43491173976387998</v>
      </c>
      <c r="S22" s="307">
        <f t="shared" ca="1" si="21"/>
        <v>6.0474312112118911</v>
      </c>
      <c r="T22" s="304">
        <f t="shared" ca="1" si="1"/>
        <v>59.325300181988652</v>
      </c>
      <c r="U22" s="311">
        <f t="shared" ca="1" si="2"/>
        <v>0</v>
      </c>
      <c r="V22" s="306">
        <f t="shared" ca="1" si="3"/>
        <v>1.2226502424804189</v>
      </c>
      <c r="W22" s="304">
        <f t="shared" ca="1" si="4"/>
        <v>53.554568696700585</v>
      </c>
      <c r="Y22" s="314" t="str">
        <f t="shared" ca="1" si="22"/>
        <v/>
      </c>
      <c r="Z22" s="315" t="str">
        <f t="shared" ca="1" si="23"/>
        <v/>
      </c>
      <c r="AA22" s="316" t="str">
        <f t="shared" ca="1" si="24"/>
        <v/>
      </c>
      <c r="AC22" s="310" t="e">
        <f t="shared" ca="1" si="25"/>
        <v>#N/A</v>
      </c>
      <c r="AD22" s="323" t="e">
        <f t="shared" ca="1" si="26"/>
        <v>#N/A</v>
      </c>
      <c r="AE22" s="324">
        <f t="shared" ca="1" si="5"/>
        <v>19.200108567798825</v>
      </c>
      <c r="AG22" s="306">
        <f t="shared" ca="1" si="27"/>
        <v>124.97242490820315</v>
      </c>
      <c r="AH22" s="304">
        <f t="shared" ca="1" si="28"/>
        <v>134.62993346586327</v>
      </c>
    </row>
    <row r="23" spans="1:34" x14ac:dyDescent="0.2">
      <c r="A23" s="347">
        <f t="shared" ca="1" si="6"/>
        <v>0.01</v>
      </c>
      <c r="B23" s="304">
        <f t="shared" ca="1" si="7"/>
        <v>0.19000000000000003</v>
      </c>
      <c r="D23" s="306">
        <f t="shared" ca="1" si="8"/>
        <v>23.588064385893169</v>
      </c>
      <c r="E23" s="307">
        <f t="shared" ca="1" si="9"/>
        <v>122.29440168710101</v>
      </c>
      <c r="F23" s="304">
        <f t="shared" ca="1" si="10"/>
        <v>124.54845428779539</v>
      </c>
      <c r="G23" s="306">
        <f t="shared" ca="1" si="11"/>
        <v>21.230371806875603</v>
      </c>
      <c r="H23" s="307">
        <f t="shared" ca="1" si="12"/>
        <v>118.80209966281357</v>
      </c>
      <c r="I23" s="304">
        <f t="shared" ca="1" si="13"/>
        <v>120.68416454262452</v>
      </c>
      <c r="J23" s="306">
        <f t="shared" ca="1" si="14"/>
        <v>3.6144855384090158</v>
      </c>
      <c r="K23" s="307">
        <f t="shared" ca="1" si="15"/>
        <v>20.382014844342606</v>
      </c>
      <c r="L23" s="304">
        <f t="shared" ca="1" si="0"/>
        <v>20.700024995694335</v>
      </c>
      <c r="M23" s="306">
        <f t="shared" ca="1" si="16"/>
        <v>1.393959313959952</v>
      </c>
      <c r="N23" s="304">
        <f t="shared" ca="1" si="17"/>
        <v>79.867985502856911</v>
      </c>
      <c r="P23" s="310">
        <f t="shared" ca="1" si="18"/>
        <v>2</v>
      </c>
      <c r="Q23" s="304">
        <f t="shared" ca="1" si="19"/>
        <v>864.5</v>
      </c>
      <c r="R23" s="306">
        <f t="shared" ca="1" si="20"/>
        <v>0.43385227145751248</v>
      </c>
      <c r="S23" s="307">
        <f t="shared" ca="1" si="21"/>
        <v>6.0430926884973157</v>
      </c>
      <c r="T23" s="304">
        <f t="shared" ca="1" si="1"/>
        <v>59.282739274158672</v>
      </c>
      <c r="U23" s="311">
        <f t="shared" ca="1" si="2"/>
        <v>0</v>
      </c>
      <c r="V23" s="306">
        <f t="shared" ca="1" si="3"/>
        <v>1.2225057450786101</v>
      </c>
      <c r="W23" s="304">
        <f t="shared" ca="1" si="4"/>
        <v>54.670736405715992</v>
      </c>
      <c r="Y23" s="314" t="str">
        <f t="shared" ca="1" si="22"/>
        <v/>
      </c>
      <c r="Z23" s="315" t="str">
        <f t="shared" ca="1" si="23"/>
        <v/>
      </c>
      <c r="AA23" s="316" t="str">
        <f t="shared" ca="1" si="24"/>
        <v/>
      </c>
      <c r="AC23" s="310" t="e">
        <f t="shared" ca="1" si="25"/>
        <v>#N/A</v>
      </c>
      <c r="AD23" s="323" t="e">
        <f t="shared" ca="1" si="26"/>
        <v>#N/A</v>
      </c>
      <c r="AE23" s="324">
        <f t="shared" ca="1" si="5"/>
        <v>20.382014844342606</v>
      </c>
      <c r="AG23" s="306">
        <f t="shared" ca="1" si="27"/>
        <v>124.53651687128067</v>
      </c>
      <c r="AH23" s="304">
        <f t="shared" ca="1" si="28"/>
        <v>134.19377678037077</v>
      </c>
    </row>
    <row r="24" spans="1:34" x14ac:dyDescent="0.2">
      <c r="A24" s="347">
        <f t="shared" ca="1" si="6"/>
        <v>0.01</v>
      </c>
      <c r="B24" s="304">
        <f t="shared" ca="1" si="7"/>
        <v>0.20000000000000004</v>
      </c>
      <c r="D24" s="306">
        <f t="shared" ca="1" si="8"/>
        <v>23.529843731738413</v>
      </c>
      <c r="E24" s="307">
        <f t="shared" ca="1" si="9"/>
        <v>121.85961301935882</v>
      </c>
      <c r="F24" s="304">
        <f t="shared" ca="1" si="10"/>
        <v>124.11051055921055</v>
      </c>
      <c r="G24" s="306">
        <f t="shared" ca="1" si="11"/>
        <v>21.465670244192985</v>
      </c>
      <c r="H24" s="307">
        <f t="shared" ca="1" si="12"/>
        <v>120.02069579300716</v>
      </c>
      <c r="I24" s="304">
        <f t="shared" ca="1" si="13"/>
        <v>121.92515088229335</v>
      </c>
      <c r="J24" s="306">
        <f t="shared" ca="1" si="14"/>
        <v>3.8279657486643588</v>
      </c>
      <c r="K24" s="307">
        <f t="shared" ca="1" si="15"/>
        <v>21.576128821621708</v>
      </c>
      <c r="L24" s="304">
        <f t="shared" ca="1" si="0"/>
        <v>21.91307045350246</v>
      </c>
      <c r="M24" s="306">
        <f t="shared" ca="1" si="16"/>
        <v>1.393817772712509</v>
      </c>
      <c r="N24" s="304">
        <f t="shared" ca="1" si="17"/>
        <v>79.859875786751402</v>
      </c>
      <c r="P24" s="310">
        <f t="shared" ca="1" si="18"/>
        <v>2</v>
      </c>
      <c r="Q24" s="304">
        <f t="shared" ca="1" si="19"/>
        <v>862.38888888888891</v>
      </c>
      <c r="R24" s="306">
        <f t="shared" ca="1" si="20"/>
        <v>0.43279280315114493</v>
      </c>
      <c r="S24" s="307">
        <f t="shared" ca="1" si="21"/>
        <v>6.0387647604658046</v>
      </c>
      <c r="T24" s="304">
        <f t="shared" ca="1" si="1"/>
        <v>59.240282300169547</v>
      </c>
      <c r="U24" s="311">
        <f t="shared" ca="1" si="2"/>
        <v>0</v>
      </c>
      <c r="V24" s="306">
        <f t="shared" ca="1" si="3"/>
        <v>1.2223597725137696</v>
      </c>
      <c r="W24" s="304">
        <f t="shared" ca="1" si="4"/>
        <v>55.794204621373851</v>
      </c>
      <c r="Y24" s="314" t="str">
        <f t="shared" ca="1" si="22"/>
        <v/>
      </c>
      <c r="Z24" s="315" t="str">
        <f t="shared" ca="1" si="23"/>
        <v/>
      </c>
      <c r="AA24" s="316" t="str">
        <f t="shared" ca="1" si="24"/>
        <v/>
      </c>
      <c r="AC24" s="310" t="e">
        <f t="shared" ca="1" si="25"/>
        <v>#N/A</v>
      </c>
      <c r="AD24" s="323" t="e">
        <f t="shared" ca="1" si="26"/>
        <v>#N/A</v>
      </c>
      <c r="AE24" s="324">
        <f t="shared" ca="1" si="5"/>
        <v>21.576128821621708</v>
      </c>
      <c r="AG24" s="306">
        <f t="shared" ca="1" si="27"/>
        <v>124.09851183491939</v>
      </c>
      <c r="AH24" s="304">
        <f t="shared" ca="1" si="28"/>
        <v>133.75552526422126</v>
      </c>
    </row>
    <row r="25" spans="1:34" x14ac:dyDescent="0.2">
      <c r="A25" s="347">
        <f t="shared" ca="1" si="6"/>
        <v>0.01</v>
      </c>
      <c r="B25" s="304">
        <f t="shared" ca="1" si="7"/>
        <v>0.21000000000000005</v>
      </c>
      <c r="D25" s="306">
        <f t="shared" ca="1" si="8"/>
        <v>23.470958434606487</v>
      </c>
      <c r="E25" s="307">
        <f t="shared" ca="1" si="9"/>
        <v>121.42283504330783</v>
      </c>
      <c r="F25" s="304">
        <f t="shared" ca="1" si="10"/>
        <v>123.67049268032116</v>
      </c>
      <c r="G25" s="306">
        <f t="shared" ca="1" si="11"/>
        <v>21.700379828539049</v>
      </c>
      <c r="H25" s="307">
        <f t="shared" ca="1" si="12"/>
        <v>121.23492414344024</v>
      </c>
      <c r="I25" s="304">
        <f t="shared" ca="1" si="13"/>
        <v>123.16173641504318</v>
      </c>
      <c r="J25" s="306">
        <f t="shared" ca="1" si="14"/>
        <v>4.0437959990280188</v>
      </c>
      <c r="K25" s="307">
        <f t="shared" ca="1" si="15"/>
        <v>22.782406921303945</v>
      </c>
      <c r="L25" s="304">
        <f t="shared" ca="1" si="0"/>
        <v>23.13850365104954</v>
      </c>
      <c r="M25" s="306">
        <f t="shared" ca="1" si="16"/>
        <v>1.3936775416071623</v>
      </c>
      <c r="N25" s="304">
        <f t="shared" ca="1" si="17"/>
        <v>79.851841136258585</v>
      </c>
      <c r="P25" s="310">
        <f t="shared" ca="1" si="18"/>
        <v>2</v>
      </c>
      <c r="Q25" s="304">
        <f t="shared" ca="1" si="19"/>
        <v>860.27777777777783</v>
      </c>
      <c r="R25" s="306">
        <f t="shared" ca="1" si="20"/>
        <v>0.43173333484477738</v>
      </c>
      <c r="S25" s="307">
        <f t="shared" ca="1" si="21"/>
        <v>6.0344474271173567</v>
      </c>
      <c r="T25" s="304">
        <f t="shared" ca="1" si="1"/>
        <v>59.197929260021276</v>
      </c>
      <c r="U25" s="311">
        <f t="shared" ca="1" si="2"/>
        <v>0</v>
      </c>
      <c r="V25" s="306">
        <f t="shared" ca="1" si="3"/>
        <v>1.2222123306430228</v>
      </c>
      <c r="W25" s="304">
        <f t="shared" ca="1" si="4"/>
        <v>56.924825222625401</v>
      </c>
      <c r="Y25" s="314" t="str">
        <f t="shared" ca="1" si="22"/>
        <v/>
      </c>
      <c r="Z25" s="315" t="str">
        <f t="shared" ca="1" si="23"/>
        <v/>
      </c>
      <c r="AA25" s="316" t="str">
        <f t="shared" ca="1" si="24"/>
        <v/>
      </c>
      <c r="AC25" s="310" t="e">
        <f t="shared" ca="1" si="25"/>
        <v>#N/A</v>
      </c>
      <c r="AD25" s="323" t="e">
        <f t="shared" ca="1" si="26"/>
        <v>#N/A</v>
      </c>
      <c r="AE25" s="324">
        <f t="shared" ca="1" si="5"/>
        <v>22.782406921303945</v>
      </c>
      <c r="AG25" s="306">
        <f t="shared" ca="1" si="27"/>
        <v>123.65843217766596</v>
      </c>
      <c r="AH25" s="304">
        <f t="shared" ca="1" si="28"/>
        <v>133.315201246306</v>
      </c>
    </row>
    <row r="26" spans="1:34" x14ac:dyDescent="0.2">
      <c r="A26" s="347">
        <f t="shared" ca="1" si="6"/>
        <v>0.01</v>
      </c>
      <c r="B26" s="304">
        <f t="shared" ca="1" si="7"/>
        <v>0.22000000000000006</v>
      </c>
      <c r="D26" s="306">
        <f t="shared" ca="1" si="8"/>
        <v>23.411417394570012</v>
      </c>
      <c r="E26" s="307">
        <f t="shared" ca="1" si="9"/>
        <v>120.98408905960127</v>
      </c>
      <c r="F26" s="304">
        <f t="shared" ca="1" si="10"/>
        <v>123.2284231417586</v>
      </c>
      <c r="G26" s="306">
        <f t="shared" ca="1" si="11"/>
        <v>21.934494002484747</v>
      </c>
      <c r="H26" s="307">
        <f t="shared" ca="1" si="12"/>
        <v>122.44476503403625</v>
      </c>
      <c r="I26" s="304">
        <f t="shared" ca="1" si="13"/>
        <v>124.39390061970637</v>
      </c>
      <c r="J26" s="306">
        <f t="shared" ca="1" si="14"/>
        <v>4.261970368183138</v>
      </c>
      <c r="K26" s="307">
        <f t="shared" ca="1" si="15"/>
        <v>24.000805367191326</v>
      </c>
      <c r="L26" s="304">
        <f t="shared" ca="1" si="0"/>
        <v>24.376280472891491</v>
      </c>
      <c r="M26" s="306">
        <f t="shared" ca="1" si="16"/>
        <v>1.3935385906781301</v>
      </c>
      <c r="N26" s="304">
        <f t="shared" ca="1" si="17"/>
        <v>79.843879834465625</v>
      </c>
      <c r="P26" s="310">
        <f t="shared" ca="1" si="18"/>
        <v>2</v>
      </c>
      <c r="Q26" s="304">
        <f t="shared" ca="1" si="19"/>
        <v>858.16666666666663</v>
      </c>
      <c r="R26" s="306">
        <f t="shared" ca="1" si="20"/>
        <v>0.43067386653840978</v>
      </c>
      <c r="S26" s="307">
        <f t="shared" ca="1" si="21"/>
        <v>6.030140688451973</v>
      </c>
      <c r="T26" s="304">
        <f t="shared" ca="1" si="1"/>
        <v>59.15568015371386</v>
      </c>
      <c r="U26" s="311">
        <f t="shared" ca="1" si="2"/>
        <v>0</v>
      </c>
      <c r="V26" s="306">
        <f t="shared" ca="1" si="3"/>
        <v>1.2220634253503497</v>
      </c>
      <c r="W26" s="304">
        <f t="shared" ca="1" si="4"/>
        <v>58.062449999789024</v>
      </c>
      <c r="Y26" s="314" t="str">
        <f t="shared" ca="1" si="22"/>
        <v/>
      </c>
      <c r="Z26" s="315" t="str">
        <f t="shared" ca="1" si="23"/>
        <v/>
      </c>
      <c r="AA26" s="316" t="str">
        <f t="shared" ca="1" si="24"/>
        <v/>
      </c>
      <c r="AC26" s="310" t="e">
        <f t="shared" ca="1" si="25"/>
        <v>#N/A</v>
      </c>
      <c r="AD26" s="323" t="e">
        <f t="shared" ca="1" si="26"/>
        <v>#N/A</v>
      </c>
      <c r="AE26" s="324">
        <f t="shared" ca="1" si="5"/>
        <v>24.000805367191326</v>
      </c>
      <c r="AG26" s="306">
        <f t="shared" ca="1" si="27"/>
        <v>123.21630038042439</v>
      </c>
      <c r="AH26" s="304">
        <f t="shared" ca="1" si="28"/>
        <v>132.8728271594824</v>
      </c>
    </row>
    <row r="27" spans="1:34" x14ac:dyDescent="0.2">
      <c r="A27" s="347">
        <f t="shared" ca="1" si="6"/>
        <v>0.01</v>
      </c>
      <c r="B27" s="304">
        <f t="shared" ca="1" si="7"/>
        <v>0.23000000000000007</v>
      </c>
      <c r="D27" s="306">
        <f t="shared" ca="1" si="8"/>
        <v>23.351229370831707</v>
      </c>
      <c r="E27" s="307">
        <f t="shared" ca="1" si="9"/>
        <v>120.54339649245972</v>
      </c>
      <c r="F27" s="304">
        <f t="shared" ca="1" si="10"/>
        <v>122.78432453317298</v>
      </c>
      <c r="G27" s="306">
        <f t="shared" ca="1" si="11"/>
        <v>22.168006296193063</v>
      </c>
      <c r="H27" s="307">
        <f t="shared" ca="1" si="12"/>
        <v>123.65019899896085</v>
      </c>
      <c r="I27" s="304">
        <f t="shared" ca="1" si="13"/>
        <v>125.62162320090707</v>
      </c>
      <c r="J27" s="306">
        <f t="shared" ca="1" si="14"/>
        <v>4.4824828696765273</v>
      </c>
      <c r="K27" s="307">
        <f t="shared" ca="1" si="15"/>
        <v>25.231280187356312</v>
      </c>
      <c r="L27" s="304">
        <f t="shared" ca="1" si="0"/>
        <v>25.626356599599227</v>
      </c>
      <c r="M27" s="306">
        <f t="shared" ca="1" si="16"/>
        <v>1.3934008909312068</v>
      </c>
      <c r="N27" s="304">
        <f t="shared" ca="1" si="17"/>
        <v>79.835990220126888</v>
      </c>
      <c r="P27" s="310">
        <f t="shared" ca="1" si="18"/>
        <v>2</v>
      </c>
      <c r="Q27" s="304">
        <f t="shared" ca="1" si="19"/>
        <v>856.05555555555554</v>
      </c>
      <c r="R27" s="306">
        <f t="shared" ca="1" si="20"/>
        <v>0.42961439823204223</v>
      </c>
      <c r="S27" s="307">
        <f t="shared" ca="1" si="21"/>
        <v>6.0258445444696527</v>
      </c>
      <c r="T27" s="304">
        <f t="shared" ca="1" si="1"/>
        <v>59.113534981247298</v>
      </c>
      <c r="U27" s="311">
        <f t="shared" ca="1" si="2"/>
        <v>0</v>
      </c>
      <c r="V27" s="306">
        <f t="shared" ca="1" si="3"/>
        <v>1.2219130625462398</v>
      </c>
      <c r="W27" s="304">
        <f t="shared" ca="1" si="4"/>
        <v>59.206930674946811</v>
      </c>
      <c r="Y27" s="314" t="str">
        <f t="shared" ca="1" si="22"/>
        <v/>
      </c>
      <c r="Z27" s="315" t="str">
        <f t="shared" ca="1" si="23"/>
        <v/>
      </c>
      <c r="AA27" s="316" t="str">
        <f t="shared" ca="1" si="24"/>
        <v/>
      </c>
      <c r="AC27" s="310" t="e">
        <f t="shared" ca="1" si="25"/>
        <v>#N/A</v>
      </c>
      <c r="AD27" s="323" t="e">
        <f t="shared" ca="1" si="26"/>
        <v>#N/A</v>
      </c>
      <c r="AE27" s="324">
        <f t="shared" ca="1" si="5"/>
        <v>25.231280187356312</v>
      </c>
      <c r="AG27" s="306">
        <f t="shared" ca="1" si="27"/>
        <v>122.77213902310628</v>
      </c>
      <c r="AH27" s="304">
        <f t="shared" ca="1" si="28"/>
        <v>132.42842553715425</v>
      </c>
    </row>
    <row r="28" spans="1:34" x14ac:dyDescent="0.2">
      <c r="A28" s="347">
        <f t="shared" ca="1" si="6"/>
        <v>0.01</v>
      </c>
      <c r="B28" s="304">
        <f t="shared" ca="1" si="7"/>
        <v>0.24000000000000007</v>
      </c>
      <c r="D28" s="306">
        <f t="shared" ca="1" si="8"/>
        <v>23.290402988308518</v>
      </c>
      <c r="E28" s="307">
        <f t="shared" ca="1" si="9"/>
        <v>120.1007788851947</v>
      </c>
      <c r="F28" s="304">
        <f t="shared" ca="1" si="10"/>
        <v>122.33821953988149</v>
      </c>
      <c r="G28" s="306">
        <f t="shared" ca="1" si="11"/>
        <v>22.400910326076147</v>
      </c>
      <c r="H28" s="307">
        <f t="shared" ca="1" si="12"/>
        <v>124.8512067878128</v>
      </c>
      <c r="I28" s="304">
        <f t="shared" ca="1" si="13"/>
        <v>126.84488409001798</v>
      </c>
      <c r="J28" s="306">
        <f t="shared" ca="1" si="14"/>
        <v>4.7053274527878735</v>
      </c>
      <c r="K28" s="307">
        <f t="shared" ca="1" si="15"/>
        <v>26.47378721629018</v>
      </c>
      <c r="L28" s="304">
        <f t="shared" ca="1" si="0"/>
        <v>26.888687510017451</v>
      </c>
      <c r="M28" s="306">
        <f t="shared" ca="1" si="16"/>
        <v>1.3932644143017849</v>
      </c>
      <c r="N28" s="304">
        <f t="shared" ca="1" si="17"/>
        <v>79.828170685258854</v>
      </c>
      <c r="P28" s="310">
        <f t="shared" ca="1" si="18"/>
        <v>2</v>
      </c>
      <c r="Q28" s="304">
        <f t="shared" ca="1" si="19"/>
        <v>853.94444444444446</v>
      </c>
      <c r="R28" s="306">
        <f t="shared" ca="1" si="20"/>
        <v>0.42855492992567468</v>
      </c>
      <c r="S28" s="307">
        <f t="shared" ca="1" si="21"/>
        <v>6.0215589951703956</v>
      </c>
      <c r="T28" s="304">
        <f t="shared" ca="1" si="1"/>
        <v>59.071493742621584</v>
      </c>
      <c r="U28" s="311">
        <f t="shared" ca="1" si="2"/>
        <v>0</v>
      </c>
      <c r="V28" s="306">
        <f t="shared" ca="1" si="3"/>
        <v>1.2217612481673477</v>
      </c>
      <c r="W28" s="304">
        <f t="shared" ca="1" si="4"/>
        <v>60.358118922258491</v>
      </c>
      <c r="Y28" s="314" t="str">
        <f t="shared" ca="1" si="22"/>
        <v/>
      </c>
      <c r="Z28" s="315" t="str">
        <f t="shared" ca="1" si="23"/>
        <v/>
      </c>
      <c r="AA28" s="316" t="str">
        <f t="shared" ca="1" si="24"/>
        <v/>
      </c>
      <c r="AC28" s="310" t="e">
        <f t="shared" ca="1" si="25"/>
        <v>#N/A</v>
      </c>
      <c r="AD28" s="323" t="e">
        <f t="shared" ca="1" si="26"/>
        <v>#N/A</v>
      </c>
      <c r="AE28" s="324">
        <f t="shared" ca="1" si="5"/>
        <v>26.47378721629018</v>
      </c>
      <c r="AG28" s="306">
        <f t="shared" ca="1" si="27"/>
        <v>122.32597078127279</v>
      </c>
      <c r="AH28" s="304">
        <f t="shared" ca="1" si="28"/>
        <v>131.98201900984756</v>
      </c>
    </row>
    <row r="29" spans="1:34" x14ac:dyDescent="0.2">
      <c r="A29" s="347">
        <f t="shared" ca="1" si="6"/>
        <v>0.01</v>
      </c>
      <c r="B29" s="304">
        <f t="shared" ca="1" si="7"/>
        <v>0.25000000000000006</v>
      </c>
      <c r="D29" s="306">
        <f t="shared" ca="1" si="8"/>
        <v>23.228946743823496</v>
      </c>
      <c r="E29" s="307">
        <f t="shared" ca="1" si="9"/>
        <v>119.65625789578809</v>
      </c>
      <c r="F29" s="304">
        <f t="shared" ca="1" si="10"/>
        <v>121.89013093950936</v>
      </c>
      <c r="G29" s="306">
        <f t="shared" ca="1" si="11"/>
        <v>22.633199793514382</v>
      </c>
      <c r="H29" s="307">
        <f t="shared" ca="1" si="12"/>
        <v>126.04776936677068</v>
      </c>
      <c r="I29" s="304">
        <f t="shared" ca="1" si="13"/>
        <v>128.06366344608355</v>
      </c>
      <c r="J29" s="306">
        <f t="shared" ca="1" si="14"/>
        <v>4.9304980033858259</v>
      </c>
      <c r="K29" s="307">
        <f t="shared" ca="1" si="15"/>
        <v>27.728282097063097</v>
      </c>
      <c r="L29" s="304">
        <f t="shared" ca="1" si="0"/>
        <v>28.163228483533302</v>
      </c>
      <c r="M29" s="306">
        <f t="shared" ca="1" si="16"/>
        <v>1.3931291336151264</v>
      </c>
      <c r="N29" s="304">
        <f t="shared" ca="1" si="17"/>
        <v>79.820419672863679</v>
      </c>
      <c r="P29" s="310">
        <f t="shared" ca="1" si="18"/>
        <v>2</v>
      </c>
      <c r="Q29" s="304">
        <f t="shared" ca="1" si="19"/>
        <v>851.83333333333337</v>
      </c>
      <c r="R29" s="306">
        <f t="shared" ca="1" si="20"/>
        <v>0.42749546161930718</v>
      </c>
      <c r="S29" s="307">
        <f t="shared" ca="1" si="21"/>
        <v>6.0172840405542027</v>
      </c>
      <c r="T29" s="304">
        <f t="shared" ca="1" si="1"/>
        <v>59.029556437836732</v>
      </c>
      <c r="U29" s="311">
        <f t="shared" ca="1" si="2"/>
        <v>0</v>
      </c>
      <c r="V29" s="306">
        <f t="shared" ca="1" si="3"/>
        <v>1.2216079881761466</v>
      </c>
      <c r="W29" s="304">
        <f t="shared" ca="1" si="4"/>
        <v>61.515866388188115</v>
      </c>
      <c r="Y29" s="314" t="str">
        <f t="shared" ca="1" si="22"/>
        <v/>
      </c>
      <c r="Z29" s="315" t="str">
        <f t="shared" ca="1" si="23"/>
        <v/>
      </c>
      <c r="AA29" s="316" t="str">
        <f t="shared" ca="1" si="24"/>
        <v/>
      </c>
      <c r="AC29" s="310" t="e">
        <f t="shared" ca="1" si="25"/>
        <v>#N/A</v>
      </c>
      <c r="AD29" s="323" t="e">
        <f t="shared" ca="1" si="26"/>
        <v>#N/A</v>
      </c>
      <c r="AE29" s="324">
        <f t="shared" ca="1" si="5"/>
        <v>27.728282097063097</v>
      </c>
      <c r="AG29" s="306">
        <f t="shared" ca="1" si="27"/>
        <v>121.87781842276974</v>
      </c>
      <c r="AH29" s="304">
        <f t="shared" ca="1" si="28"/>
        <v>131.53363030178289</v>
      </c>
    </row>
    <row r="30" spans="1:34" x14ac:dyDescent="0.2">
      <c r="A30" s="347">
        <f t="shared" ca="1" si="6"/>
        <v>0.01</v>
      </c>
      <c r="B30" s="304">
        <f t="shared" ca="1" si="7"/>
        <v>0.26000000000000006</v>
      </c>
      <c r="D30" s="306">
        <f t="shared" ca="1" si="8"/>
        <v>23.166869011930739</v>
      </c>
      <c r="E30" s="307">
        <f t="shared" ca="1" si="9"/>
        <v>119.20985529252494</v>
      </c>
      <c r="F30" s="304">
        <f t="shared" ca="1" si="10"/>
        <v>121.44008159862497</v>
      </c>
      <c r="G30" s="306">
        <f t="shared" ca="1" si="11"/>
        <v>22.864868483633689</v>
      </c>
      <c r="H30" s="307">
        <f t="shared" ca="1" si="12"/>
        <v>127.23986791969593</v>
      </c>
      <c r="I30" s="304">
        <f t="shared" ca="1" si="13"/>
        <v>129.27794165670929</v>
      </c>
      <c r="J30" s="306">
        <f t="shared" ca="1" si="14"/>
        <v>5.1579883447715664</v>
      </c>
      <c r="K30" s="307">
        <f t="shared" ca="1" si="15"/>
        <v>28.994720283495429</v>
      </c>
      <c r="L30" s="304">
        <f t="shared" ca="1" si="0"/>
        <v>29.449934602354222</v>
      </c>
      <c r="M30" s="306">
        <f t="shared" ca="1" si="16"/>
        <v>1.3929950225487373</v>
      </c>
      <c r="N30" s="304">
        <f t="shared" ca="1" si="17"/>
        <v>79.812735674773592</v>
      </c>
      <c r="P30" s="310">
        <f t="shared" ca="1" si="18"/>
        <v>2</v>
      </c>
      <c r="Q30" s="304">
        <f t="shared" ca="1" si="19"/>
        <v>849.72222222222217</v>
      </c>
      <c r="R30" s="306">
        <f t="shared" ca="1" si="20"/>
        <v>0.42643599331293958</v>
      </c>
      <c r="S30" s="307">
        <f t="shared" ca="1" si="21"/>
        <v>6.0130196806210732</v>
      </c>
      <c r="T30" s="304">
        <f t="shared" ca="1" si="1"/>
        <v>58.987723066892734</v>
      </c>
      <c r="U30" s="311">
        <f t="shared" ca="1" si="2"/>
        <v>0</v>
      </c>
      <c r="V30" s="306">
        <f t="shared" ca="1" si="3"/>
        <v>1.2214532885605776</v>
      </c>
      <c r="W30" s="304">
        <f t="shared" ca="1" si="4"/>
        <v>62.680024711638552</v>
      </c>
      <c r="Y30" s="314" t="str">
        <f t="shared" ca="1" si="22"/>
        <v/>
      </c>
      <c r="Z30" s="315" t="str">
        <f t="shared" ca="1" si="23"/>
        <v/>
      </c>
      <c r="AA30" s="316" t="str">
        <f t="shared" ca="1" si="24"/>
        <v/>
      </c>
      <c r="AC30" s="310" t="e">
        <f t="shared" ca="1" si="25"/>
        <v>#N/A</v>
      </c>
      <c r="AD30" s="323" t="e">
        <f t="shared" ca="1" si="26"/>
        <v>#N/A</v>
      </c>
      <c r="AE30" s="324">
        <f t="shared" ca="1" si="5"/>
        <v>28.994720283495429</v>
      </c>
      <c r="AG30" s="306">
        <f t="shared" ca="1" si="27"/>
        <v>121.42770480435652</v>
      </c>
      <c r="AH30" s="304">
        <f t="shared" ca="1" si="28"/>
        <v>131.08328222744512</v>
      </c>
    </row>
    <row r="31" spans="1:34" x14ac:dyDescent="0.2">
      <c r="A31" s="347">
        <f t="shared" ca="1" si="6"/>
        <v>0.01</v>
      </c>
      <c r="B31" s="304">
        <f t="shared" ca="1" si="7"/>
        <v>0.27000000000000007</v>
      </c>
      <c r="D31" s="306">
        <f t="shared" ca="1" si="8"/>
        <v>23.104178050396921</v>
      </c>
      <c r="E31" s="307">
        <f t="shared" ca="1" si="9"/>
        <v>118.7615929496767</v>
      </c>
      <c r="F31" s="304">
        <f t="shared" ca="1" si="10"/>
        <v>120.98809446936976</v>
      </c>
      <c r="G31" s="306">
        <f t="shared" ca="1" si="11"/>
        <v>23.095910264137657</v>
      </c>
      <c r="H31" s="307">
        <f t="shared" ca="1" si="12"/>
        <v>128.4274838491927</v>
      </c>
      <c r="I31" s="304">
        <f t="shared" ca="1" si="13"/>
        <v>130.48769933891757</v>
      </c>
      <c r="J31" s="306">
        <f t="shared" ca="1" si="14"/>
        <v>5.3877922385104231</v>
      </c>
      <c r="K31" s="307">
        <f t="shared" ca="1" si="15"/>
        <v>30.273057042339872</v>
      </c>
      <c r="L31" s="304">
        <f t="shared" ca="1" si="0"/>
        <v>30.748760753794887</v>
      </c>
      <c r="M31" s="306">
        <f t="shared" ca="1" si="16"/>
        <v>1.3928620555967171</v>
      </c>
      <c r="N31" s="304">
        <f t="shared" ca="1" si="17"/>
        <v>79.805117229608115</v>
      </c>
      <c r="P31" s="310">
        <f t="shared" ca="1" si="18"/>
        <v>2</v>
      </c>
      <c r="Q31" s="304">
        <f t="shared" ca="1" si="19"/>
        <v>847.61111111111109</v>
      </c>
      <c r="R31" s="306">
        <f t="shared" ca="1" si="20"/>
        <v>0.42537652500657203</v>
      </c>
      <c r="S31" s="307">
        <f t="shared" ca="1" si="21"/>
        <v>6.0087659153710078</v>
      </c>
      <c r="T31" s="304">
        <f t="shared" ca="1" si="1"/>
        <v>58.945993629789591</v>
      </c>
      <c r="U31" s="311">
        <f t="shared" ca="1" si="2"/>
        <v>0</v>
      </c>
      <c r="V31" s="306">
        <f t="shared" ca="1" si="3"/>
        <v>1.2212971553337035</v>
      </c>
      <c r="W31" s="304">
        <f t="shared" ca="1" si="4"/>
        <v>63.850445543990055</v>
      </c>
      <c r="Y31" s="314" t="str">
        <f t="shared" ca="1" si="22"/>
        <v/>
      </c>
      <c r="Z31" s="315" t="str">
        <f t="shared" ca="1" si="23"/>
        <v/>
      </c>
      <c r="AA31" s="316" t="str">
        <f t="shared" ca="1" si="24"/>
        <v/>
      </c>
      <c r="AC31" s="310" t="e">
        <f t="shared" ca="1" si="25"/>
        <v>#N/A</v>
      </c>
      <c r="AD31" s="323" t="e">
        <f t="shared" ca="1" si="26"/>
        <v>#N/A</v>
      </c>
      <c r="AE31" s="324">
        <f t="shared" ca="1" si="5"/>
        <v>30.273057042339872</v>
      </c>
      <c r="AG31" s="306">
        <f t="shared" ca="1" si="27"/>
        <v>120.97565286833043</v>
      </c>
      <c r="AH31" s="304">
        <f t="shared" ca="1" si="28"/>
        <v>130.63099768815133</v>
      </c>
    </row>
    <row r="32" spans="1:34" x14ac:dyDescent="0.2">
      <c r="A32" s="347">
        <f t="shared" ca="1" si="6"/>
        <v>0.01</v>
      </c>
      <c r="B32" s="304">
        <f t="shared" ca="1" si="7"/>
        <v>0.28000000000000008</v>
      </c>
      <c r="D32" s="306">
        <f t="shared" ca="1" si="8"/>
        <v>23.040882005360999</v>
      </c>
      <c r="E32" s="307">
        <f t="shared" ca="1" si="9"/>
        <v>118.31149284323249</v>
      </c>
      <c r="F32" s="304">
        <f t="shared" ca="1" si="10"/>
        <v>120.53419258608413</v>
      </c>
      <c r="G32" s="306">
        <f t="shared" ca="1" si="11"/>
        <v>23.326319084191269</v>
      </c>
      <c r="H32" s="307">
        <f t="shared" ca="1" si="12"/>
        <v>129.61059877762503</v>
      </c>
      <c r="I32" s="304">
        <f t="shared" ca="1" si="13"/>
        <v>131.69291733996934</v>
      </c>
      <c r="J32" s="306">
        <f t="shared" ca="1" si="14"/>
        <v>5.6199033852520675</v>
      </c>
      <c r="K32" s="307">
        <f t="shared" ca="1" si="15"/>
        <v>31.563247455473959</v>
      </c>
      <c r="L32" s="304">
        <f t="shared" ca="1" si="0"/>
        <v>32.059661632572649</v>
      </c>
      <c r="M32" s="306">
        <f t="shared" ca="1" si="16"/>
        <v>1.3927302080359567</v>
      </c>
      <c r="N32" s="304">
        <f t="shared" ca="1" si="17"/>
        <v>79.79756292083745</v>
      </c>
      <c r="P32" s="310">
        <f t="shared" ca="1" si="18"/>
        <v>2</v>
      </c>
      <c r="Q32" s="304">
        <f t="shared" ca="1" si="19"/>
        <v>845.5</v>
      </c>
      <c r="R32" s="306">
        <f t="shared" ca="1" si="20"/>
        <v>0.42431705670020448</v>
      </c>
      <c r="S32" s="307">
        <f t="shared" ca="1" si="21"/>
        <v>6.0045227448040057</v>
      </c>
      <c r="T32" s="304">
        <f t="shared" ca="1" si="1"/>
        <v>58.904368126527302</v>
      </c>
      <c r="U32" s="311">
        <f t="shared" ca="1" si="2"/>
        <v>0</v>
      </c>
      <c r="V32" s="306">
        <f t="shared" ca="1" si="3"/>
        <v>1.2211395945333556</v>
      </c>
      <c r="W32" s="304">
        <f t="shared" ca="1" si="4"/>
        <v>65.026980569037065</v>
      </c>
      <c r="Y32" s="314" t="str">
        <f t="shared" ca="1" si="22"/>
        <v/>
      </c>
      <c r="Z32" s="315" t="str">
        <f t="shared" ca="1" si="23"/>
        <v/>
      </c>
      <c r="AA32" s="316" t="str">
        <f t="shared" ca="1" si="24"/>
        <v/>
      </c>
      <c r="AC32" s="310" t="e">
        <f t="shared" ca="1" si="25"/>
        <v>#N/A</v>
      </c>
      <c r="AD32" s="323" t="e">
        <f t="shared" ca="1" si="26"/>
        <v>#N/A</v>
      </c>
      <c r="AE32" s="324">
        <f t="shared" ca="1" si="5"/>
        <v>31.563247455473959</v>
      </c>
      <c r="AG32" s="306">
        <f t="shared" ca="1" si="27"/>
        <v>120.52168563914674</v>
      </c>
      <c r="AH32" s="304">
        <f t="shared" ca="1" si="28"/>
        <v>130.17679966861778</v>
      </c>
    </row>
    <row r="33" spans="1:34" x14ac:dyDescent="0.2">
      <c r="A33" s="347">
        <f t="shared" ca="1" si="6"/>
        <v>0.01</v>
      </c>
      <c r="B33" s="304">
        <f t="shared" ca="1" si="7"/>
        <v>0.29000000000000009</v>
      </c>
      <c r="D33" s="306">
        <f t="shared" ca="1" si="8"/>
        <v>22.976988916192184</v>
      </c>
      <c r="E33" s="307">
        <f t="shared" ca="1" si="9"/>
        <v>117.85957704667669</v>
      </c>
      <c r="F33" s="304">
        <f t="shared" ca="1" si="10"/>
        <v>120.07839906193094</v>
      </c>
      <c r="G33" s="306">
        <f t="shared" ca="1" si="11"/>
        <v>23.556088973353191</v>
      </c>
      <c r="H33" s="307">
        <f t="shared" ca="1" si="12"/>
        <v>130.78919454809179</v>
      </c>
      <c r="I33" s="304">
        <f t="shared" ca="1" si="13"/>
        <v>132.89357673815215</v>
      </c>
      <c r="J33" s="306">
        <f t="shared" ca="1" si="14"/>
        <v>5.8543154255397898</v>
      </c>
      <c r="K33" s="307">
        <f t="shared" ca="1" si="15"/>
        <v>32.865246422102544</v>
      </c>
      <c r="L33" s="304">
        <f t="shared" ca="1" si="0"/>
        <v>33.382591743111213</v>
      </c>
      <c r="M33" s="306">
        <f t="shared" ca="1" si="16"/>
        <v>1.3925994558940717</v>
      </c>
      <c r="N33" s="304">
        <f t="shared" ca="1" si="17"/>
        <v>79.790071374945143</v>
      </c>
      <c r="P33" s="310">
        <f t="shared" ca="1" si="18"/>
        <v>2</v>
      </c>
      <c r="Q33" s="304">
        <f t="shared" ca="1" si="19"/>
        <v>843.38888888888891</v>
      </c>
      <c r="R33" s="306">
        <f t="shared" ca="1" si="20"/>
        <v>0.42325758839383693</v>
      </c>
      <c r="S33" s="307">
        <f t="shared" ca="1" si="21"/>
        <v>6.0002901689200669</v>
      </c>
      <c r="T33" s="304">
        <f t="shared" ca="1" si="1"/>
        <v>58.862846557105861</v>
      </c>
      <c r="U33" s="311">
        <f t="shared" ca="1" si="2"/>
        <v>0</v>
      </c>
      <c r="V33" s="306">
        <f t="shared" ca="1" si="3"/>
        <v>1.2209806122217826</v>
      </c>
      <c r="W33" s="304">
        <f t="shared" ca="1" si="4"/>
        <v>66.209481522820013</v>
      </c>
      <c r="Y33" s="314" t="str">
        <f t="shared" ca="1" si="22"/>
        <v/>
      </c>
      <c r="Z33" s="315" t="str">
        <f t="shared" ca="1" si="23"/>
        <v/>
      </c>
      <c r="AA33" s="316" t="str">
        <f t="shared" ca="1" si="24"/>
        <v/>
      </c>
      <c r="AC33" s="310" t="e">
        <f t="shared" ca="1" si="25"/>
        <v>#N/A</v>
      </c>
      <c r="AD33" s="323" t="e">
        <f t="shared" ca="1" si="26"/>
        <v>#N/A</v>
      </c>
      <c r="AE33" s="324">
        <f t="shared" ca="1" si="5"/>
        <v>32.865246422102544</v>
      </c>
      <c r="AG33" s="306">
        <f t="shared" ca="1" si="27"/>
        <v>120.06582622003673</v>
      </c>
      <c r="AH33" s="304">
        <f t="shared" ca="1" si="28"/>
        <v>129.72071123352714</v>
      </c>
    </row>
    <row r="34" spans="1:34" x14ac:dyDescent="0.2">
      <c r="A34" s="347">
        <f t="shared" ca="1" si="6"/>
        <v>0.01</v>
      </c>
      <c r="B34" s="304">
        <f t="shared" ca="1" si="7"/>
        <v>0.3000000000000001</v>
      </c>
      <c r="D34" s="306">
        <f t="shared" ca="1" si="8"/>
        <v>22.912506720065224</v>
      </c>
      <c r="E34" s="307">
        <f t="shared" ca="1" si="9"/>
        <v>117.40586772681023</v>
      </c>
      <c r="F34" s="304">
        <f t="shared" ca="1" si="10"/>
        <v>119.62073708551664</v>
      </c>
      <c r="G34" s="306">
        <f t="shared" ca="1" si="11"/>
        <v>23.785214040553843</v>
      </c>
      <c r="H34" s="307">
        <f t="shared" ca="1" si="12"/>
        <v>131.96325322535989</v>
      </c>
      <c r="I34" s="304">
        <f t="shared" ca="1" si="13"/>
        <v>134.08965884353429</v>
      </c>
      <c r="J34" s="306">
        <f t="shared" ca="1" si="14"/>
        <v>6.0910219406093251</v>
      </c>
      <c r="K34" s="307">
        <f t="shared" ca="1" si="15"/>
        <v>34.179008660969799</v>
      </c>
      <c r="L34" s="304">
        <f t="shared" ca="1" si="0"/>
        <v>34.717505401852144</v>
      </c>
      <c r="M34" s="306">
        <f t="shared" ca="1" si="16"/>
        <v>1.392469775918965</v>
      </c>
      <c r="N34" s="304">
        <f t="shared" ca="1" si="17"/>
        <v>79.782641259684169</v>
      </c>
      <c r="P34" s="310">
        <f t="shared" ca="1" si="18"/>
        <v>2</v>
      </c>
      <c r="Q34" s="304">
        <f t="shared" ca="1" si="19"/>
        <v>841.27777777777771</v>
      </c>
      <c r="R34" s="306">
        <f t="shared" ca="1" si="20"/>
        <v>0.42219812008746938</v>
      </c>
      <c r="S34" s="307">
        <f t="shared" ca="1" si="21"/>
        <v>5.9960681877191924</v>
      </c>
      <c r="T34" s="304">
        <f t="shared" ca="1" si="1"/>
        <v>58.821428921525282</v>
      </c>
      <c r="U34" s="311">
        <f t="shared" ca="1" si="2"/>
        <v>0</v>
      </c>
      <c r="V34" s="306">
        <f t="shared" ca="1" si="3"/>
        <v>1.2208202144852967</v>
      </c>
      <c r="W34" s="304">
        <f t="shared" ca="1" si="4"/>
        <v>67.397800213347026</v>
      </c>
      <c r="Y34" s="314" t="str">
        <f t="shared" ca="1" si="22"/>
        <v/>
      </c>
      <c r="Z34" s="315" t="str">
        <f t="shared" ca="1" si="23"/>
        <v/>
      </c>
      <c r="AA34" s="316" t="str">
        <f t="shared" ca="1" si="24"/>
        <v/>
      </c>
      <c r="AC34" s="310" t="e">
        <f t="shared" ca="1" si="25"/>
        <v>#N/A</v>
      </c>
      <c r="AD34" s="323" t="e">
        <f t="shared" ca="1" si="26"/>
        <v>#N/A</v>
      </c>
      <c r="AE34" s="324">
        <f t="shared" ca="1" si="5"/>
        <v>34.179008660969799</v>
      </c>
      <c r="AG34" s="306">
        <f t="shared" ca="1" si="27"/>
        <v>119.60809778962339</v>
      </c>
      <c r="AH34" s="304">
        <f t="shared" ca="1" si="28"/>
        <v>129.26275552409638</v>
      </c>
    </row>
    <row r="35" spans="1:34" x14ac:dyDescent="0.2">
      <c r="A35" s="347">
        <f t="shared" ca="1" si="6"/>
        <v>0.01</v>
      </c>
      <c r="B35" s="304">
        <f t="shared" ca="1" si="7"/>
        <v>0.31000000000000011</v>
      </c>
      <c r="D35" s="306">
        <f t="shared" ca="1" si="8"/>
        <v>22.847443256270008</v>
      </c>
      <c r="E35" s="307">
        <f t="shared" ca="1" si="9"/>
        <v>116.95038713961455</v>
      </c>
      <c r="F35" s="304">
        <f t="shared" ca="1" si="10"/>
        <v>119.16122991751217</v>
      </c>
      <c r="G35" s="306">
        <f t="shared" ca="1" si="11"/>
        <v>24.013688473116542</v>
      </c>
      <c r="H35" s="307">
        <f t="shared" ca="1" si="12"/>
        <v>133.13275709675605</v>
      </c>
      <c r="I35" s="304">
        <f t="shared" ca="1" si="13"/>
        <v>135.28114519868515</v>
      </c>
      <c r="J35" s="306">
        <f t="shared" ca="1" si="14"/>
        <v>6.3300164531776772</v>
      </c>
      <c r="K35" s="307">
        <f t="shared" ca="1" si="15"/>
        <v>35.504488712580383</v>
      </c>
      <c r="L35" s="304">
        <f t="shared" ca="1" si="0"/>
        <v>36.064356739573881</v>
      </c>
      <c r="M35" s="306">
        <f t="shared" ca="1" si="16"/>
        <v>1.3923411455499208</v>
      </c>
      <c r="N35" s="304">
        <f t="shared" ca="1" si="17"/>
        <v>79.775271282420732</v>
      </c>
      <c r="P35" s="310">
        <f t="shared" ca="1" si="18"/>
        <v>2</v>
      </c>
      <c r="Q35" s="304">
        <f t="shared" ca="1" si="19"/>
        <v>839.16666666666663</v>
      </c>
      <c r="R35" s="306">
        <f t="shared" ca="1" si="20"/>
        <v>0.42113865178110182</v>
      </c>
      <c r="S35" s="307">
        <f t="shared" ca="1" si="21"/>
        <v>5.9918568012013811</v>
      </c>
      <c r="T35" s="304">
        <f t="shared" ca="1" si="1"/>
        <v>58.78011521978555</v>
      </c>
      <c r="U35" s="311">
        <f t="shared" ca="1" si="2"/>
        <v>0</v>
      </c>
      <c r="V35" s="306">
        <f t="shared" ca="1" si="3"/>
        <v>1.220658407433922</v>
      </c>
      <c r="W35" s="304">
        <f t="shared" ca="1" si="4"/>
        <v>68.591788540201634</v>
      </c>
      <c r="Y35" s="314" t="str">
        <f t="shared" ca="1" si="22"/>
        <v/>
      </c>
      <c r="Z35" s="315" t="str">
        <f t="shared" ca="1" si="23"/>
        <v/>
      </c>
      <c r="AA35" s="316" t="str">
        <f t="shared" ca="1" si="24"/>
        <v/>
      </c>
      <c r="AC35" s="310" t="e">
        <f t="shared" ca="1" si="25"/>
        <v>#N/A</v>
      </c>
      <c r="AD35" s="323" t="e">
        <f t="shared" ca="1" si="26"/>
        <v>#N/A</v>
      </c>
      <c r="AE35" s="324">
        <f t="shared" ca="1" si="5"/>
        <v>35.504488712580383</v>
      </c>
      <c r="AG35" s="306">
        <f t="shared" ca="1" si="27"/>
        <v>119.14852359853697</v>
      </c>
      <c r="AH35" s="304">
        <f t="shared" ca="1" si="28"/>
        <v>128.80295575464655</v>
      </c>
    </row>
    <row r="36" spans="1:34" x14ac:dyDescent="0.2">
      <c r="A36" s="347">
        <f t="shared" ca="1" si="6"/>
        <v>0.01</v>
      </c>
      <c r="B36" s="304">
        <f t="shared" ca="1" si="7"/>
        <v>0.32000000000000012</v>
      </c>
      <c r="D36" s="306">
        <f t="shared" ca="1" si="8"/>
        <v>22.781806270271758</v>
      </c>
      <c r="E36" s="307">
        <f t="shared" ca="1" si="9"/>
        <v>116.49315762615603</v>
      </c>
      <c r="F36" s="304">
        <f t="shared" ca="1" si="10"/>
        <v>118.69990088727381</v>
      </c>
      <c r="G36" s="306">
        <f t="shared" ca="1" si="11"/>
        <v>24.241506535819259</v>
      </c>
      <c r="H36" s="307">
        <f t="shared" ca="1" si="12"/>
        <v>134.2976886730176</v>
      </c>
      <c r="I36" s="304">
        <f t="shared" ca="1" si="13"/>
        <v>136.46801757936154</v>
      </c>
      <c r="J36" s="306">
        <f t="shared" ca="1" si="14"/>
        <v>6.5712924282223559</v>
      </c>
      <c r="K36" s="307">
        <f t="shared" ca="1" si="15"/>
        <v>36.841640941429247</v>
      </c>
      <c r="L36" s="304">
        <f t="shared" ca="1" si="0"/>
        <v>37.423099703717867</v>
      </c>
      <c r="M36" s="306">
        <f t="shared" ca="1" si="16"/>
        <v>1.3922135428901363</v>
      </c>
      <c r="N36" s="304">
        <f t="shared" ca="1" si="17"/>
        <v>79.767960188560437</v>
      </c>
      <c r="P36" s="310">
        <f t="shared" ca="1" si="18"/>
        <v>2</v>
      </c>
      <c r="Q36" s="304">
        <f t="shared" ca="1" si="19"/>
        <v>837.05555555555554</v>
      </c>
      <c r="R36" s="306">
        <f t="shared" ca="1" si="20"/>
        <v>0.42007918347473427</v>
      </c>
      <c r="S36" s="307">
        <f t="shared" ca="1" si="21"/>
        <v>5.987656009366634</v>
      </c>
      <c r="T36" s="304">
        <f t="shared" ca="1" si="1"/>
        <v>58.73890545188668</v>
      </c>
      <c r="U36" s="311">
        <f t="shared" ca="1" si="2"/>
        <v>0</v>
      </c>
      <c r="V36" s="306">
        <f t="shared" ca="1" si="3"/>
        <v>1.2204951972010367</v>
      </c>
      <c r="W36" s="304">
        <f t="shared" ca="1" si="4"/>
        <v>69.791298514031681</v>
      </c>
      <c r="Y36" s="314" t="str">
        <f t="shared" ca="1" si="22"/>
        <v/>
      </c>
      <c r="Z36" s="315" t="str">
        <f t="shared" ca="1" si="23"/>
        <v/>
      </c>
      <c r="AA36" s="316" t="str">
        <f t="shared" ca="1" si="24"/>
        <v/>
      </c>
      <c r="AC36" s="310" t="e">
        <f t="shared" ca="1" si="25"/>
        <v>#N/A</v>
      </c>
      <c r="AD36" s="323" t="e">
        <f t="shared" ca="1" si="26"/>
        <v>#N/A</v>
      </c>
      <c r="AE36" s="324">
        <f t="shared" ca="1" si="5"/>
        <v>36.841640941429247</v>
      </c>
      <c r="AG36" s="306">
        <f t="shared" ca="1" si="27"/>
        <v>118.68712696603043</v>
      </c>
      <c r="AH36" s="304">
        <f t="shared" ca="1" si="28"/>
        <v>128.34133520917496</v>
      </c>
    </row>
    <row r="37" spans="1:34" x14ac:dyDescent="0.2">
      <c r="A37" s="347">
        <f t="shared" ca="1" si="6"/>
        <v>0.01</v>
      </c>
      <c r="B37" s="304">
        <f t="shared" ca="1" si="7"/>
        <v>0.33000000000000013</v>
      </c>
      <c r="D37" s="306">
        <f t="shared" ca="1" si="8"/>
        <v>22.715603417537103</v>
      </c>
      <c r="E37" s="307">
        <f t="shared" ca="1" si="9"/>
        <v>116.0342016085298</v>
      </c>
      <c r="F37" s="304">
        <f t="shared" ca="1" si="10"/>
        <v>118.23677338946527</v>
      </c>
      <c r="G37" s="306">
        <f t="shared" ca="1" si="11"/>
        <v>24.468662569994631</v>
      </c>
      <c r="H37" s="307">
        <f t="shared" ca="1" si="12"/>
        <v>135.45803068910291</v>
      </c>
      <c r="I37" s="304">
        <f t="shared" ca="1" si="13"/>
        <v>137.65025799516033</v>
      </c>
      <c r="J37" s="306">
        <f t="shared" ca="1" si="14"/>
        <v>6.8148432737514257</v>
      </c>
      <c r="K37" s="307">
        <f t="shared" ca="1" si="15"/>
        <v>38.190419538239851</v>
      </c>
      <c r="L37" s="304">
        <f t="shared" ca="1" si="0"/>
        <v>38.793688060721514</v>
      </c>
      <c r="M37" s="306">
        <f t="shared" ca="1" si="16"/>
        <v>1.3920869466806094</v>
      </c>
      <c r="N37" s="304">
        <f t="shared" ca="1" si="17"/>
        <v>79.760706760052187</v>
      </c>
      <c r="P37" s="310">
        <f t="shared" ca="1" si="18"/>
        <v>2</v>
      </c>
      <c r="Q37" s="304">
        <f t="shared" ca="1" si="19"/>
        <v>834.94444444444446</v>
      </c>
      <c r="R37" s="306">
        <f t="shared" ca="1" si="20"/>
        <v>0.41901971516836672</v>
      </c>
      <c r="S37" s="307">
        <f t="shared" ca="1" si="21"/>
        <v>5.9834658122149502</v>
      </c>
      <c r="T37" s="304">
        <f t="shared" ca="1" si="1"/>
        <v>58.697799617828665</v>
      </c>
      <c r="U37" s="311">
        <f t="shared" ca="1" si="2"/>
        <v>0</v>
      </c>
      <c r="V37" s="306">
        <f t="shared" ca="1" si="3"/>
        <v>1.2203305899430192</v>
      </c>
      <c r="W37" s="304">
        <f t="shared" ca="1" si="4"/>
        <v>70.996182275915672</v>
      </c>
      <c r="Y37" s="314" t="str">
        <f t="shared" ca="1" si="22"/>
        <v/>
      </c>
      <c r="Z37" s="315" t="str">
        <f t="shared" ca="1" si="23"/>
        <v/>
      </c>
      <c r="AA37" s="316" t="str">
        <f t="shared" ca="1" si="24"/>
        <v/>
      </c>
      <c r="AC37" s="310" t="e">
        <f t="shared" ca="1" si="25"/>
        <v>#N/A</v>
      </c>
      <c r="AD37" s="323" t="e">
        <f t="shared" ca="1" si="26"/>
        <v>#N/A</v>
      </c>
      <c r="AE37" s="324">
        <f t="shared" ca="1" si="5"/>
        <v>38.190419538239851</v>
      </c>
      <c r="AG37" s="306">
        <f t="shared" ca="1" si="27"/>
        <v>118.22393127659649</v>
      </c>
      <c r="AH37" s="304">
        <f t="shared" ca="1" si="28"/>
        <v>127.87791723793096</v>
      </c>
    </row>
    <row r="38" spans="1:34" x14ac:dyDescent="0.2">
      <c r="A38" s="347">
        <f t="shared" ca="1" si="6"/>
        <v>0.01</v>
      </c>
      <c r="B38" s="304">
        <f t="shared" ca="1" si="7"/>
        <v>0.34000000000000014</v>
      </c>
      <c r="D38" s="306">
        <f t="shared" ca="1" si="8"/>
        <v>22.648842267139649</v>
      </c>
      <c r="E38" s="307">
        <f t="shared" ca="1" si="9"/>
        <v>115.57354158584194</v>
      </c>
      <c r="F38" s="304">
        <f t="shared" ca="1" si="10"/>
        <v>117.77187088068231</v>
      </c>
      <c r="G38" s="306">
        <f t="shared" ca="1" si="11"/>
        <v>24.695150992666029</v>
      </c>
      <c r="H38" s="307">
        <f t="shared" ca="1" si="12"/>
        <v>136.61376610496134</v>
      </c>
      <c r="I38" s="304">
        <f t="shared" ca="1" si="13"/>
        <v>138.8278486901373</v>
      </c>
      <c r="J38" s="306">
        <f t="shared" ca="1" si="14"/>
        <v>7.0606623415647292</v>
      </c>
      <c r="K38" s="307">
        <f t="shared" ca="1" si="15"/>
        <v>39.550778522210173</v>
      </c>
      <c r="L38" s="304">
        <f t="shared" ca="1" si="0"/>
        <v>40.176075398357561</v>
      </c>
      <c r="M38" s="306">
        <f t="shared" ca="1" si="16"/>
        <v>1.3919613362752974</v>
      </c>
      <c r="N38" s="304">
        <f t="shared" ca="1" si="17"/>
        <v>79.753509813964882</v>
      </c>
      <c r="P38" s="310">
        <f t="shared" ca="1" si="18"/>
        <v>2</v>
      </c>
      <c r="Q38" s="304">
        <f t="shared" ca="1" si="19"/>
        <v>832.83333333333326</v>
      </c>
      <c r="R38" s="306">
        <f t="shared" ca="1" si="20"/>
        <v>0.41796024686199912</v>
      </c>
      <c r="S38" s="307">
        <f t="shared" ca="1" si="21"/>
        <v>5.9792862097463306</v>
      </c>
      <c r="T38" s="304">
        <f t="shared" ca="1" si="1"/>
        <v>58.656797717611504</v>
      </c>
      <c r="U38" s="311">
        <f t="shared" ca="1" si="2"/>
        <v>0</v>
      </c>
      <c r="V38" s="306">
        <f t="shared" ca="1" si="3"/>
        <v>1.2201645918388915</v>
      </c>
      <c r="W38" s="304">
        <f t="shared" ca="1" si="4"/>
        <v>72.206292116602526</v>
      </c>
      <c r="Y38" s="314" t="str">
        <f t="shared" ca="1" si="22"/>
        <v/>
      </c>
      <c r="Z38" s="315" t="str">
        <f t="shared" ca="1" si="23"/>
        <v/>
      </c>
      <c r="AA38" s="316" t="str">
        <f t="shared" ca="1" si="24"/>
        <v/>
      </c>
      <c r="AC38" s="310" t="e">
        <f t="shared" ca="1" si="25"/>
        <v>#N/A</v>
      </c>
      <c r="AD38" s="323" t="e">
        <f t="shared" ca="1" si="26"/>
        <v>#N/A</v>
      </c>
      <c r="AE38" s="324">
        <f t="shared" ca="1" si="5"/>
        <v>39.550778522210173</v>
      </c>
      <c r="AG38" s="306">
        <f t="shared" ca="1" si="27"/>
        <v>117.75895997658699</v>
      </c>
      <c r="AH38" s="304">
        <f t="shared" ca="1" si="28"/>
        <v>127.41272525399621</v>
      </c>
    </row>
    <row r="39" spans="1:34" x14ac:dyDescent="0.2">
      <c r="A39" s="347">
        <f t="shared" ca="1" si="6"/>
        <v>0.01</v>
      </c>
      <c r="B39" s="304">
        <f t="shared" ca="1" si="7"/>
        <v>0.35000000000000014</v>
      </c>
      <c r="D39" s="306">
        <f t="shared" ca="1" si="8"/>
        <v>22.581530305158601</v>
      </c>
      <c r="E39" s="307">
        <f t="shared" ca="1" si="9"/>
        <v>115.11120013022808</v>
      </c>
      <c r="F39" s="304">
        <f t="shared" ca="1" si="10"/>
        <v>117.30521687608024</v>
      </c>
      <c r="G39" s="306">
        <f t="shared" ca="1" si="11"/>
        <v>24.920966295717616</v>
      </c>
      <c r="H39" s="307">
        <f t="shared" ca="1" si="12"/>
        <v>137.76487810626364</v>
      </c>
      <c r="I39" s="304">
        <f t="shared" ca="1" si="13"/>
        <v>140.00077214339203</v>
      </c>
      <c r="J39" s="306">
        <f t="shared" ca="1" si="14"/>
        <v>7.3087429280066472</v>
      </c>
      <c r="K39" s="307">
        <f t="shared" ca="1" si="15"/>
        <v>40.922671743266299</v>
      </c>
      <c r="L39" s="304">
        <f t="shared" ca="1" si="0"/>
        <v>41.570215128079539</v>
      </c>
      <c r="M39" s="306">
        <f t="shared" ca="1" si="16"/>
        <v>1.39183669161748</v>
      </c>
      <c r="N39" s="304">
        <f t="shared" ca="1" si="17"/>
        <v>79.746368201133095</v>
      </c>
      <c r="P39" s="310">
        <f t="shared" ca="1" si="18"/>
        <v>2</v>
      </c>
      <c r="Q39" s="304">
        <f t="shared" ca="1" si="19"/>
        <v>830.72222222222217</v>
      </c>
      <c r="R39" s="306">
        <f t="shared" ca="1" si="20"/>
        <v>0.41690077855563162</v>
      </c>
      <c r="S39" s="307">
        <f t="shared" ca="1" si="21"/>
        <v>5.9751172019607743</v>
      </c>
      <c r="T39" s="304">
        <f t="shared" ca="1" si="1"/>
        <v>58.615899751235197</v>
      </c>
      <c r="U39" s="311">
        <f t="shared" ca="1" si="2"/>
        <v>0</v>
      </c>
      <c r="V39" s="306">
        <f t="shared" ca="1" si="3"/>
        <v>1.2199972090899607</v>
      </c>
      <c r="W39" s="304">
        <f t="shared" ca="1" si="4"/>
        <v>73.421480495620017</v>
      </c>
      <c r="Y39" s="314" t="str">
        <f t="shared" ca="1" si="22"/>
        <v/>
      </c>
      <c r="Z39" s="315" t="str">
        <f t="shared" ca="1" si="23"/>
        <v/>
      </c>
      <c r="AA39" s="316" t="str">
        <f t="shared" ca="1" si="24"/>
        <v/>
      </c>
      <c r="AC39" s="310" t="e">
        <f t="shared" ca="1" si="25"/>
        <v>#N/A</v>
      </c>
      <c r="AD39" s="323" t="e">
        <f t="shared" ca="1" si="26"/>
        <v>#N/A</v>
      </c>
      <c r="AE39" s="324">
        <f t="shared" ca="1" si="5"/>
        <v>40.922671743266299</v>
      </c>
      <c r="AG39" s="306">
        <f t="shared" ca="1" si="27"/>
        <v>117.29223657083543</v>
      </c>
      <c r="AH39" s="304">
        <f t="shared" ca="1" si="28"/>
        <v>126.94578272986973</v>
      </c>
    </row>
    <row r="40" spans="1:34" x14ac:dyDescent="0.2">
      <c r="A40" s="347">
        <f t="shared" ca="1" si="6"/>
        <v>0.01</v>
      </c>
      <c r="B40" s="304">
        <f t="shared" ca="1" si="7"/>
        <v>0.36000000000000015</v>
      </c>
      <c r="D40" s="306">
        <f t="shared" ca="1" si="8"/>
        <v>22.513674937881984</v>
      </c>
      <c r="E40" s="307">
        <f t="shared" ca="1" si="9"/>
        <v>114.64719988290845</v>
      </c>
      <c r="F40" s="304">
        <f t="shared" ca="1" si="10"/>
        <v>116.83683494600571</v>
      </c>
      <c r="G40" s="306">
        <f t="shared" ca="1" si="11"/>
        <v>25.146103045096435</v>
      </c>
      <c r="H40" s="307">
        <f t="shared" ca="1" si="12"/>
        <v>138.91135010509271</v>
      </c>
      <c r="I40" s="304">
        <f t="shared" ca="1" si="13"/>
        <v>141.16901106961913</v>
      </c>
      <c r="J40" s="306">
        <f t="shared" ca="1" si="14"/>
        <v>7.5590782747107177</v>
      </c>
      <c r="K40" s="307">
        <f t="shared" ca="1" si="15"/>
        <v>42.30605288432308</v>
      </c>
      <c r="L40" s="304">
        <f t="shared" ca="1" si="0"/>
        <v>42.976060487373026</v>
      </c>
      <c r="M40" s="306">
        <f t="shared" ca="1" si="16"/>
        <v>1.3917129932172505</v>
      </c>
      <c r="N40" s="304">
        <f t="shared" ca="1" si="17"/>
        <v>79.73928080486742</v>
      </c>
      <c r="P40" s="310">
        <f t="shared" ca="1" si="18"/>
        <v>2</v>
      </c>
      <c r="Q40" s="304">
        <f t="shared" ca="1" si="19"/>
        <v>828.61111111111109</v>
      </c>
      <c r="R40" s="306">
        <f t="shared" ca="1" si="20"/>
        <v>0.41584131024926407</v>
      </c>
      <c r="S40" s="307">
        <f t="shared" ca="1" si="21"/>
        <v>5.9709587888582814</v>
      </c>
      <c r="T40" s="304">
        <f t="shared" ca="1" si="1"/>
        <v>58.575105718699746</v>
      </c>
      <c r="U40" s="311">
        <f t="shared" ca="1" si="2"/>
        <v>0</v>
      </c>
      <c r="V40" s="306">
        <f t="shared" ca="1" si="3"/>
        <v>1.2198284479194612</v>
      </c>
      <c r="W40" s="304">
        <f t="shared" ca="1" si="4"/>
        <v>74.641600060248493</v>
      </c>
      <c r="Y40" s="314" t="str">
        <f t="shared" ca="1" si="22"/>
        <v/>
      </c>
      <c r="Z40" s="315" t="str">
        <f t="shared" ca="1" si="23"/>
        <v/>
      </c>
      <c r="AA40" s="316" t="str">
        <f t="shared" ca="1" si="24"/>
        <v/>
      </c>
      <c r="AC40" s="310" t="e">
        <f t="shared" ca="1" si="25"/>
        <v>#N/A</v>
      </c>
      <c r="AD40" s="323" t="e">
        <f t="shared" ca="1" si="26"/>
        <v>#N/A</v>
      </c>
      <c r="AE40" s="324">
        <f t="shared" ca="1" si="5"/>
        <v>42.30605288432308</v>
      </c>
      <c r="AG40" s="306">
        <f t="shared" ca="1" si="27"/>
        <v>116.82378461928359</v>
      </c>
      <c r="AH40" s="304">
        <f t="shared" ca="1" si="28"/>
        <v>126.47711319405913</v>
      </c>
    </row>
    <row r="41" spans="1:34" x14ac:dyDescent="0.2">
      <c r="A41" s="347">
        <f t="shared" ca="1" si="6"/>
        <v>0.01</v>
      </c>
      <c r="B41" s="304">
        <f t="shared" ca="1" si="7"/>
        <v>0.37000000000000016</v>
      </c>
      <c r="D41" s="306">
        <f t="shared" ca="1" si="8"/>
        <v>22.445283494826526</v>
      </c>
      <c r="E41" s="307">
        <f t="shared" ca="1" si="9"/>
        <v>114.18156355027769</v>
      </c>
      <c r="F41" s="304">
        <f t="shared" ca="1" si="10"/>
        <v>116.36674871263369</v>
      </c>
      <c r="G41" s="306">
        <f t="shared" ca="1" si="11"/>
        <v>25.370555880044702</v>
      </c>
      <c r="H41" s="307">
        <f t="shared" ca="1" si="12"/>
        <v>140.05316574059549</v>
      </c>
      <c r="I41" s="304">
        <f t="shared" ca="1" si="13"/>
        <v>142.33254841962599</v>
      </c>
      <c r="J41" s="306">
        <f t="shared" ca="1" si="14"/>
        <v>7.8116615693364233</v>
      </c>
      <c r="K41" s="307">
        <f t="shared" ca="1" si="15"/>
        <v>43.700875463551519</v>
      </c>
      <c r="L41" s="304">
        <f t="shared" ca="1" si="0"/>
        <v>44.393564542112259</v>
      </c>
      <c r="M41" s="306">
        <f t="shared" ca="1" si="16"/>
        <v>1.3915902221300742</v>
      </c>
      <c r="N41" s="304">
        <f t="shared" ca="1" si="17"/>
        <v>79.732246539725992</v>
      </c>
      <c r="P41" s="310">
        <f t="shared" ca="1" si="18"/>
        <v>2</v>
      </c>
      <c r="Q41" s="304">
        <f t="shared" ca="1" si="19"/>
        <v>826.5</v>
      </c>
      <c r="R41" s="306">
        <f t="shared" ca="1" si="20"/>
        <v>0.41478184194289652</v>
      </c>
      <c r="S41" s="307">
        <f t="shared" ca="1" si="21"/>
        <v>5.9668109704388526</v>
      </c>
      <c r="T41" s="304">
        <f t="shared" ca="1" si="1"/>
        <v>58.534415620005149</v>
      </c>
      <c r="U41" s="311">
        <f t="shared" ca="1" si="2"/>
        <v>0</v>
      </c>
      <c r="V41" s="306">
        <f t="shared" ca="1" si="3"/>
        <v>1.2196583145721975</v>
      </c>
      <c r="W41" s="304">
        <f t="shared" ca="1" si="4"/>
        <v>75.866503664356088</v>
      </c>
      <c r="Y41" s="314" t="str">
        <f t="shared" ca="1" si="22"/>
        <v/>
      </c>
      <c r="Z41" s="315" t="str">
        <f t="shared" ca="1" si="23"/>
        <v/>
      </c>
      <c r="AA41" s="316" t="str">
        <f t="shared" ca="1" si="24"/>
        <v/>
      </c>
      <c r="AC41" s="310" t="e">
        <f t="shared" ca="1" si="25"/>
        <v>#N/A</v>
      </c>
      <c r="AD41" s="323" t="e">
        <f t="shared" ca="1" si="26"/>
        <v>#N/A</v>
      </c>
      <c r="AE41" s="324">
        <f t="shared" ca="1" si="5"/>
        <v>43.700875463551519</v>
      </c>
      <c r="AG41" s="306">
        <f t="shared" ca="1" si="27"/>
        <v>116.35362773361348</v>
      </c>
      <c r="AH41" s="304">
        <f t="shared" ca="1" si="28"/>
        <v>126.00674022767862</v>
      </c>
    </row>
    <row r="42" spans="1:34" x14ac:dyDescent="0.2">
      <c r="A42" s="347">
        <f t="shared" ca="1" si="6"/>
        <v>0.01</v>
      </c>
      <c r="B42" s="304">
        <f t="shared" ca="1" si="7"/>
        <v>0.38000000000000017</v>
      </c>
      <c r="D42" s="306">
        <f t="shared" ca="1" si="8"/>
        <v>22.376363231584467</v>
      </c>
      <c r="E42" s="307">
        <f t="shared" ca="1" si="9"/>
        <v>113.71431390002894</v>
      </c>
      <c r="F42" s="304">
        <f t="shared" ca="1" si="10"/>
        <v>115.89498184661026</v>
      </c>
      <c r="G42" s="306">
        <f t="shared" ca="1" si="11"/>
        <v>25.594319512360546</v>
      </c>
      <c r="H42" s="307">
        <f t="shared" ca="1" si="12"/>
        <v>141.19030887959579</v>
      </c>
      <c r="I42" s="304">
        <f t="shared" ca="1" si="13"/>
        <v>143.49136738081657</v>
      </c>
      <c r="J42" s="306">
        <f t="shared" ca="1" si="14"/>
        <v>8.0664859462984495</v>
      </c>
      <c r="K42" s="307">
        <f t="shared" ca="1" si="15"/>
        <v>45.107092836652477</v>
      </c>
      <c r="L42" s="304">
        <f t="shared" ca="1" si="0"/>
        <v>45.8226801889219</v>
      </c>
      <c r="M42" s="306">
        <f t="shared" ca="1" si="16"/>
        <v>1.3914683599363544</v>
      </c>
      <c r="N42" s="304">
        <f t="shared" ca="1" si="17"/>
        <v>79.725264350343636</v>
      </c>
      <c r="P42" s="310">
        <f t="shared" ca="1" si="18"/>
        <v>2</v>
      </c>
      <c r="Q42" s="304">
        <f t="shared" ca="1" si="19"/>
        <v>824.38888888888891</v>
      </c>
      <c r="R42" s="306">
        <f t="shared" ca="1" si="20"/>
        <v>0.41372237363652897</v>
      </c>
      <c r="S42" s="307">
        <f t="shared" ca="1" si="21"/>
        <v>5.9626737467024871</v>
      </c>
      <c r="T42" s="304">
        <f t="shared" ca="1" si="1"/>
        <v>58.493829455151399</v>
      </c>
      <c r="U42" s="311">
        <f t="shared" ca="1" si="2"/>
        <v>0</v>
      </c>
      <c r="V42" s="306">
        <f t="shared" ca="1" si="3"/>
        <v>1.2194868153141825</v>
      </c>
      <c r="W42" s="304">
        <f t="shared" ca="1" si="4"/>
        <v>77.096044387090743</v>
      </c>
      <c r="Y42" s="314" t="str">
        <f t="shared" ca="1" si="22"/>
        <v/>
      </c>
      <c r="Z42" s="315" t="str">
        <f t="shared" ca="1" si="23"/>
        <v/>
      </c>
      <c r="AA42" s="316" t="str">
        <f t="shared" ca="1" si="24"/>
        <v/>
      </c>
      <c r="AC42" s="310" t="e">
        <f t="shared" ca="1" si="25"/>
        <v>#N/A</v>
      </c>
      <c r="AD42" s="323" t="e">
        <f t="shared" ca="1" si="26"/>
        <v>#N/A</v>
      </c>
      <c r="AE42" s="324">
        <f t="shared" ca="1" si="5"/>
        <v>45.107092836652477</v>
      </c>
      <c r="AG42" s="306">
        <f t="shared" ca="1" si="27"/>
        <v>115.88178957388533</v>
      </c>
      <c r="AH42" s="304">
        <f t="shared" ca="1" si="28"/>
        <v>125.53468746105472</v>
      </c>
    </row>
    <row r="43" spans="1:34" x14ac:dyDescent="0.2">
      <c r="A43" s="347">
        <f t="shared" ca="1" si="6"/>
        <v>0.01</v>
      </c>
      <c r="B43" s="304">
        <f t="shared" ca="1" si="7"/>
        <v>0.39000000000000018</v>
      </c>
      <c r="D43" s="306">
        <f t="shared" ca="1" si="8"/>
        <v>22.306921332507187</v>
      </c>
      <c r="E43" s="307">
        <f t="shared" ca="1" si="9"/>
        <v>113.24547375731166</v>
      </c>
      <c r="F43" s="304">
        <f t="shared" ca="1" si="10"/>
        <v>115.42155806370242</v>
      </c>
      <c r="G43" s="306">
        <f t="shared" ca="1" si="11"/>
        <v>25.817388725685618</v>
      </c>
      <c r="H43" s="307">
        <f t="shared" ca="1" si="12"/>
        <v>142.3227636171689</v>
      </c>
      <c r="I43" s="304">
        <f t="shared" ca="1" si="13"/>
        <v>144.64545137764165</v>
      </c>
      <c r="J43" s="306">
        <f t="shared" ca="1" si="14"/>
        <v>8.3235444874886806</v>
      </c>
      <c r="K43" s="307">
        <f t="shared" ca="1" si="15"/>
        <v>46.524658199136297</v>
      </c>
      <c r="L43" s="304">
        <f t="shared" ca="1" si="0"/>
        <v>47.263360157543431</v>
      </c>
      <c r="M43" s="306">
        <f t="shared" ca="1" si="16"/>
        <v>1.3913473887219481</v>
      </c>
      <c r="N43" s="304">
        <f t="shared" ca="1" si="17"/>
        <v>79.718333210315578</v>
      </c>
      <c r="P43" s="310">
        <f t="shared" ca="1" si="18"/>
        <v>2</v>
      </c>
      <c r="Q43" s="304">
        <f t="shared" ca="1" si="19"/>
        <v>822.27777777777771</v>
      </c>
      <c r="R43" s="306">
        <f t="shared" ca="1" si="20"/>
        <v>0.41266290533016137</v>
      </c>
      <c r="S43" s="307">
        <f t="shared" ca="1" si="21"/>
        <v>5.9585471176491858</v>
      </c>
      <c r="T43" s="304">
        <f t="shared" ca="1" si="1"/>
        <v>58.453347224138518</v>
      </c>
      <c r="U43" s="311">
        <f t="shared" ca="1" si="2"/>
        <v>0</v>
      </c>
      <c r="V43" s="306">
        <f t="shared" ca="1" si="3"/>
        <v>1.2193139564322804</v>
      </c>
      <c r="W43" s="304">
        <f t="shared" ca="1" si="4"/>
        <v>78.330075551425978</v>
      </c>
      <c r="Y43" s="314" t="str">
        <f t="shared" ca="1" si="22"/>
        <v/>
      </c>
      <c r="Z43" s="315" t="str">
        <f t="shared" ca="1" si="23"/>
        <v/>
      </c>
      <c r="AA43" s="316" t="str">
        <f t="shared" ca="1" si="24"/>
        <v/>
      </c>
      <c r="AC43" s="310" t="e">
        <f t="shared" ca="1" si="25"/>
        <v>#N/A</v>
      </c>
      <c r="AD43" s="323" t="e">
        <f t="shared" ca="1" si="26"/>
        <v>#N/A</v>
      </c>
      <c r="AE43" s="324">
        <f t="shared" ca="1" si="5"/>
        <v>46.524658199136297</v>
      </c>
      <c r="AG43" s="306">
        <f t="shared" ca="1" si="27"/>
        <v>115.40829384518223</v>
      </c>
      <c r="AH43" s="304">
        <f t="shared" ca="1" si="28"/>
        <v>125.06097857034017</v>
      </c>
    </row>
    <row r="44" spans="1:34" x14ac:dyDescent="0.2">
      <c r="A44" s="347">
        <f t="shared" ca="1" si="6"/>
        <v>0.01</v>
      </c>
      <c r="B44" s="304">
        <f t="shared" ca="1" si="7"/>
        <v>0.40000000000000019</v>
      </c>
      <c r="D44" s="306">
        <f t="shared" ca="1" si="8"/>
        <v>22.236964913235123</v>
      </c>
      <c r="E44" s="307">
        <f t="shared" ca="1" si="9"/>
        <v>112.77506600092245</v>
      </c>
      <c r="F44" s="304">
        <f t="shared" ca="1" si="10"/>
        <v>114.94650112145591</v>
      </c>
      <c r="G44" s="306">
        <f t="shared" ca="1" si="11"/>
        <v>26.039758374817968</v>
      </c>
      <c r="H44" s="307">
        <f t="shared" ca="1" si="12"/>
        <v>143.45051427717812</v>
      </c>
      <c r="I44" s="304">
        <f t="shared" ca="1" si="13"/>
        <v>145.79478407201606</v>
      </c>
      <c r="J44" s="306">
        <f t="shared" ca="1" si="14"/>
        <v>8.5828302229911984</v>
      </c>
      <c r="K44" s="307">
        <f t="shared" ca="1" si="15"/>
        <v>47.953524588608033</v>
      </c>
      <c r="L44" s="304">
        <f t="shared" ca="1" si="0"/>
        <v>48.715557013206023</v>
      </c>
      <c r="M44" s="306">
        <f t="shared" ca="1" si="16"/>
        <v>1.3912272910595778</v>
      </c>
      <c r="N44" s="304">
        <f t="shared" ca="1" si="17"/>
        <v>79.711452121132368</v>
      </c>
      <c r="P44" s="310">
        <f t="shared" ca="1" si="18"/>
        <v>2</v>
      </c>
      <c r="Q44" s="304">
        <f t="shared" ca="1" si="19"/>
        <v>820.16666666666663</v>
      </c>
      <c r="R44" s="306">
        <f t="shared" ca="1" si="20"/>
        <v>0.41160343702379387</v>
      </c>
      <c r="S44" s="307">
        <f t="shared" ca="1" si="21"/>
        <v>5.9544310832789478</v>
      </c>
      <c r="T44" s="304">
        <f t="shared" ca="1" si="1"/>
        <v>58.412968926966478</v>
      </c>
      <c r="U44" s="311">
        <f t="shared" ca="1" si="2"/>
        <v>0</v>
      </c>
      <c r="V44" s="306">
        <f t="shared" ca="1" si="3"/>
        <v>1.2191397442338445</v>
      </c>
      <c r="W44" s="304">
        <f t="shared" ca="1" si="4"/>
        <v>79.568450742556806</v>
      </c>
      <c r="Y44" s="314" t="str">
        <f t="shared" ca="1" si="22"/>
        <v/>
      </c>
      <c r="Z44" s="315" t="str">
        <f t="shared" ca="1" si="23"/>
        <v/>
      </c>
      <c r="AA44" s="316" t="str">
        <f t="shared" ca="1" si="24"/>
        <v/>
      </c>
      <c r="AC44" s="310" t="e">
        <f t="shared" ca="1" si="25"/>
        <v>#N/A</v>
      </c>
      <c r="AD44" s="323" t="e">
        <f t="shared" ca="1" si="26"/>
        <v>#N/A</v>
      </c>
      <c r="AE44" s="324">
        <f t="shared" ca="1" si="5"/>
        <v>47.953524588608033</v>
      </c>
      <c r="AG44" s="306">
        <f t="shared" ca="1" si="27"/>
        <v>114.93316429426308</v>
      </c>
      <c r="AH44" s="304">
        <f t="shared" ca="1" si="28"/>
        <v>124.58563727413751</v>
      </c>
    </row>
    <row r="45" spans="1:34" x14ac:dyDescent="0.2">
      <c r="A45" s="347">
        <f t="shared" ca="1" si="6"/>
        <v>0.01</v>
      </c>
      <c r="B45" s="304">
        <f t="shared" ca="1" si="7"/>
        <v>0.4100000000000002</v>
      </c>
      <c r="D45" s="306">
        <f t="shared" ca="1" si="8"/>
        <v>22.16650102308277</v>
      </c>
      <c r="E45" s="307">
        <f t="shared" ca="1" si="9"/>
        <v>112.30311355952797</v>
      </c>
      <c r="F45" s="304">
        <f t="shared" ca="1" si="10"/>
        <v>114.46983481586128</v>
      </c>
      <c r="G45" s="306">
        <f t="shared" ca="1" si="11"/>
        <v>26.261423385048797</v>
      </c>
      <c r="H45" s="307">
        <f t="shared" ca="1" si="12"/>
        <v>144.5735454127734</v>
      </c>
      <c r="I45" s="304">
        <f t="shared" ca="1" si="13"/>
        <v>146.93934936370189</v>
      </c>
      <c r="J45" s="306">
        <f t="shared" ca="1" si="14"/>
        <v>8.8443361317905325</v>
      </c>
      <c r="K45" s="307">
        <f t="shared" ca="1" si="15"/>
        <v>49.393644887057789</v>
      </c>
      <c r="L45" s="304">
        <f t="shared" ca="1" si="0"/>
        <v>50.179223159001431</v>
      </c>
      <c r="M45" s="306">
        <f t="shared" ca="1" si="16"/>
        <v>1.3911080499910946</v>
      </c>
      <c r="N45" s="304">
        <f t="shared" ca="1" si="17"/>
        <v>79.704620111163663</v>
      </c>
      <c r="P45" s="310">
        <f t="shared" ca="1" si="18"/>
        <v>2</v>
      </c>
      <c r="Q45" s="304">
        <f t="shared" ca="1" si="19"/>
        <v>818.05555555555554</v>
      </c>
      <c r="R45" s="306">
        <f t="shared" ca="1" si="20"/>
        <v>0.41054396871742632</v>
      </c>
      <c r="S45" s="307">
        <f t="shared" ca="1" si="21"/>
        <v>5.9503256435917731</v>
      </c>
      <c r="T45" s="304">
        <f t="shared" ca="1" si="1"/>
        <v>58.372694563635299</v>
      </c>
      <c r="U45" s="311">
        <f t="shared" ca="1" si="2"/>
        <v>0</v>
      </c>
      <c r="V45" s="306">
        <f t="shared" ca="1" si="3"/>
        <v>1.2189641850463566</v>
      </c>
      <c r="W45" s="304">
        <f t="shared" ca="1" si="4"/>
        <v>80.811023826141323</v>
      </c>
      <c r="Y45" s="314" t="str">
        <f t="shared" ca="1" si="22"/>
        <v/>
      </c>
      <c r="Z45" s="315" t="str">
        <f t="shared" ca="1" si="23"/>
        <v/>
      </c>
      <c r="AA45" s="316" t="str">
        <f t="shared" ca="1" si="24"/>
        <v/>
      </c>
      <c r="AC45" s="310" t="e">
        <f t="shared" ca="1" si="25"/>
        <v>#N/A</v>
      </c>
      <c r="AD45" s="323" t="e">
        <f t="shared" ca="1" si="26"/>
        <v>#N/A</v>
      </c>
      <c r="AE45" s="324">
        <f t="shared" ca="1" si="5"/>
        <v>49.393644887057789</v>
      </c>
      <c r="AG45" s="306">
        <f t="shared" ca="1" si="27"/>
        <v>114.45642470622374</v>
      </c>
      <c r="AH45" s="304">
        <f t="shared" ca="1" si="28"/>
        <v>124.10868733013216</v>
      </c>
    </row>
    <row r="46" spans="1:34" x14ac:dyDescent="0.2">
      <c r="A46" s="347">
        <f t="shared" ca="1" si="6"/>
        <v>0.01</v>
      </c>
      <c r="B46" s="304">
        <f t="shared" ca="1" si="7"/>
        <v>0.42000000000000021</v>
      </c>
      <c r="D46" s="306">
        <f t="shared" ca="1" si="8"/>
        <v>22.095536647286441</v>
      </c>
      <c r="E46" s="307">
        <f t="shared" ca="1" si="9"/>
        <v>111.82963940792037</v>
      </c>
      <c r="F46" s="304">
        <f t="shared" ca="1" si="10"/>
        <v>113.99158297802988</v>
      </c>
      <c r="G46" s="306">
        <f t="shared" ca="1" si="11"/>
        <v>26.482378751521662</v>
      </c>
      <c r="H46" s="307">
        <f t="shared" ca="1" si="12"/>
        <v>145.69184180685261</v>
      </c>
      <c r="I46" s="304">
        <f t="shared" ca="1" si="13"/>
        <v>148.07913139065886</v>
      </c>
      <c r="J46" s="306">
        <f t="shared" ca="1" si="14"/>
        <v>9.1080551424733844</v>
      </c>
      <c r="K46" s="307">
        <f t="shared" ca="1" si="15"/>
        <v>50.844971823155916</v>
      </c>
      <c r="L46" s="304">
        <f t="shared" ca="1" si="0"/>
        <v>51.654310838262617</v>
      </c>
      <c r="M46" s="306">
        <f t="shared" ca="1" si="16"/>
        <v>1.3909896490105405</v>
      </c>
      <c r="N46" s="304">
        <f t="shared" ca="1" si="17"/>
        <v>79.697836234687699</v>
      </c>
      <c r="P46" s="310">
        <f t="shared" ca="1" si="18"/>
        <v>2</v>
      </c>
      <c r="Q46" s="304">
        <f t="shared" ca="1" si="19"/>
        <v>815.94444444444434</v>
      </c>
      <c r="R46" s="306">
        <f t="shared" ca="1" si="20"/>
        <v>0.40948450041105872</v>
      </c>
      <c r="S46" s="307">
        <f t="shared" ca="1" si="21"/>
        <v>5.9462307985876626</v>
      </c>
      <c r="T46" s="304">
        <f t="shared" ca="1" si="1"/>
        <v>58.332524134144975</v>
      </c>
      <c r="U46" s="311">
        <f t="shared" ca="1" si="2"/>
        <v>0</v>
      </c>
      <c r="V46" s="306">
        <f t="shared" ca="1" si="3"/>
        <v>1.2187872852170676</v>
      </c>
      <c r="W46" s="304">
        <f t="shared" ca="1" si="4"/>
        <v>82.057648966385358</v>
      </c>
      <c r="Y46" s="314" t="str">
        <f t="shared" ca="1" si="22"/>
        <v/>
      </c>
      <c r="Z46" s="315" t="str">
        <f t="shared" ca="1" si="23"/>
        <v/>
      </c>
      <c r="AA46" s="316" t="str">
        <f t="shared" ca="1" si="24"/>
        <v/>
      </c>
      <c r="AC46" s="310" t="e">
        <f t="shared" ca="1" si="25"/>
        <v>#N/A</v>
      </c>
      <c r="AD46" s="323" t="e">
        <f t="shared" ca="1" si="26"/>
        <v>#N/A</v>
      </c>
      <c r="AE46" s="324">
        <f t="shared" ca="1" si="5"/>
        <v>50.844971823155916</v>
      </c>
      <c r="AG46" s="306">
        <f t="shared" ca="1" si="27"/>
        <v>113.97809890116807</v>
      </c>
      <c r="AH46" s="304">
        <f t="shared" ca="1" si="28"/>
        <v>123.63015253173667</v>
      </c>
    </row>
    <row r="47" spans="1:34" x14ac:dyDescent="0.2">
      <c r="A47" s="347">
        <f t="shared" ca="1" si="6"/>
        <v>0.01</v>
      </c>
      <c r="B47" s="304">
        <f t="shared" ca="1" si="7"/>
        <v>0.43000000000000022</v>
      </c>
      <c r="D47" s="306">
        <f t="shared" ca="1" si="8"/>
        <v>22.024078709123202</v>
      </c>
      <c r="E47" s="307">
        <f t="shared" ca="1" si="9"/>
        <v>111.35466656330404</v>
      </c>
      <c r="F47" s="304">
        <f t="shared" ca="1" si="10"/>
        <v>113.51176947088031</v>
      </c>
      <c r="G47" s="306">
        <f t="shared" ca="1" si="11"/>
        <v>26.702619538612893</v>
      </c>
      <c r="H47" s="307">
        <f t="shared" ca="1" si="12"/>
        <v>146.80538847248565</v>
      </c>
      <c r="I47" s="304">
        <f t="shared" ca="1" si="13"/>
        <v>149.21411452936124</v>
      </c>
      <c r="J47" s="306">
        <f t="shared" ca="1" si="14"/>
        <v>9.3739801339240572</v>
      </c>
      <c r="K47" s="307">
        <f t="shared" ca="1" si="15"/>
        <v>52.307457974552605</v>
      </c>
      <c r="L47" s="304">
        <f t="shared" ca="1" si="0"/>
        <v>53.140772136945749</v>
      </c>
      <c r="M47" s="306">
        <f t="shared" ca="1" si="16"/>
        <v>1.3908720720479701</v>
      </c>
      <c r="N47" s="304">
        <f t="shared" ca="1" si="17"/>
        <v>79.691099570964454</v>
      </c>
      <c r="P47" s="310">
        <f t="shared" ca="1" si="18"/>
        <v>2</v>
      </c>
      <c r="Q47" s="304">
        <f t="shared" ca="1" si="19"/>
        <v>813.83333333333326</v>
      </c>
      <c r="R47" s="306">
        <f t="shared" ca="1" si="20"/>
        <v>0.40842503210469117</v>
      </c>
      <c r="S47" s="307">
        <f t="shared" ca="1" si="21"/>
        <v>5.9421465482666154</v>
      </c>
      <c r="T47" s="304">
        <f t="shared" ca="1" si="1"/>
        <v>58.292457638495499</v>
      </c>
      <c r="U47" s="311">
        <f t="shared" ca="1" si="2"/>
        <v>0</v>
      </c>
      <c r="V47" s="306">
        <f t="shared" ca="1" si="3"/>
        <v>1.2186090511126346</v>
      </c>
      <c r="W47" s="304">
        <f t="shared" ca="1" si="4"/>
        <v>83.308180643966125</v>
      </c>
      <c r="Y47" s="314" t="str">
        <f t="shared" ca="1" si="22"/>
        <v/>
      </c>
      <c r="Z47" s="315" t="str">
        <f t="shared" ca="1" si="23"/>
        <v/>
      </c>
      <c r="AA47" s="316" t="str">
        <f t="shared" ca="1" si="24"/>
        <v/>
      </c>
      <c r="AC47" s="310" t="e">
        <f t="shared" ca="1" si="25"/>
        <v>#N/A</v>
      </c>
      <c r="AD47" s="323" t="e">
        <f t="shared" ca="1" si="26"/>
        <v>#N/A</v>
      </c>
      <c r="AE47" s="324">
        <f t="shared" ca="1" si="5"/>
        <v>52.307457974552605</v>
      </c>
      <c r="AG47" s="306">
        <f t="shared" ca="1" si="27"/>
        <v>113.49821073088924</v>
      </c>
      <c r="AH47" s="304">
        <f t="shared" ca="1" si="28"/>
        <v>123.15005670474659</v>
      </c>
    </row>
    <row r="48" spans="1:34" x14ac:dyDescent="0.2">
      <c r="A48" s="347">
        <f t="shared" ca="1" si="6"/>
        <v>0.01</v>
      </c>
      <c r="B48" s="304">
        <f t="shared" ca="1" si="7"/>
        <v>0.44000000000000022</v>
      </c>
      <c r="D48" s="306">
        <f t="shared" ca="1" si="8"/>
        <v>21.952134071907508</v>
      </c>
      <c r="E48" s="307">
        <f t="shared" ca="1" si="9"/>
        <v>110.87821808161365</v>
      </c>
      <c r="F48" s="304">
        <f t="shared" ca="1" si="10"/>
        <v>113.03041818583561</v>
      </c>
      <c r="G48" s="306">
        <f t="shared" ca="1" si="11"/>
        <v>26.92214087933197</v>
      </c>
      <c r="H48" s="307">
        <f t="shared" ca="1" si="12"/>
        <v>147.9141706533018</v>
      </c>
      <c r="I48" s="304">
        <f t="shared" ca="1" si="13"/>
        <v>150.34428339508185</v>
      </c>
      <c r="J48" s="306">
        <f t="shared" ca="1" si="14"/>
        <v>9.6421039360137808</v>
      </c>
      <c r="K48" s="307">
        <f t="shared" ca="1" si="15"/>
        <v>53.781055770181545</v>
      </c>
      <c r="L48" s="304">
        <f t="shared" ca="1" si="0"/>
        <v>54.638558986015269</v>
      </c>
      <c r="M48" s="306">
        <f t="shared" ca="1" si="16"/>
        <v>1.3907553034539935</v>
      </c>
      <c r="N48" s="304">
        <f t="shared" ca="1" si="17"/>
        <v>79.684409223349903</v>
      </c>
      <c r="P48" s="310">
        <f t="shared" ca="1" si="18"/>
        <v>2</v>
      </c>
      <c r="Q48" s="304">
        <f t="shared" ca="1" si="19"/>
        <v>811.72222222222217</v>
      </c>
      <c r="R48" s="306">
        <f t="shared" ca="1" si="20"/>
        <v>0.40736556379832362</v>
      </c>
      <c r="S48" s="307">
        <f t="shared" ca="1" si="21"/>
        <v>5.9380728926286324</v>
      </c>
      <c r="T48" s="304">
        <f t="shared" ca="1" si="1"/>
        <v>58.252495076686884</v>
      </c>
      <c r="U48" s="311">
        <f t="shared" ca="1" si="2"/>
        <v>0</v>
      </c>
      <c r="V48" s="306">
        <f t="shared" ca="1" si="3"/>
        <v>1.2184294891187601</v>
      </c>
      <c r="W48" s="304">
        <f t="shared" ca="1" si="4"/>
        <v>84.562473673791629</v>
      </c>
      <c r="Y48" s="314" t="str">
        <f t="shared" ca="1" si="22"/>
        <v/>
      </c>
      <c r="Z48" s="315" t="str">
        <f t="shared" ca="1" si="23"/>
        <v/>
      </c>
      <c r="AA48" s="316" t="str">
        <f t="shared" ca="1" si="24"/>
        <v/>
      </c>
      <c r="AC48" s="310" t="e">
        <f t="shared" ca="1" si="25"/>
        <v>#N/A</v>
      </c>
      <c r="AD48" s="323" t="e">
        <f t="shared" ca="1" si="26"/>
        <v>#N/A</v>
      </c>
      <c r="AE48" s="324">
        <f t="shared" ca="1" si="5"/>
        <v>53.781055770181545</v>
      </c>
      <c r="AG48" s="306">
        <f t="shared" ca="1" si="27"/>
        <v>113.01678407556228</v>
      </c>
      <c r="AH48" s="304">
        <f t="shared" ca="1" si="28"/>
        <v>122.66842370400843</v>
      </c>
    </row>
    <row r="49" spans="1:34" x14ac:dyDescent="0.2">
      <c r="A49" s="347">
        <f t="shared" ca="1" si="6"/>
        <v>0.01</v>
      </c>
      <c r="B49" s="304">
        <f t="shared" ca="1" si="7"/>
        <v>0.45000000000000023</v>
      </c>
      <c r="D49" s="306">
        <f t="shared" ca="1" si="8"/>
        <v>21.879709540872415</v>
      </c>
      <c r="E49" s="307">
        <f t="shared" ca="1" si="9"/>
        <v>110.40031705386356</v>
      </c>
      <c r="F49" s="304">
        <f t="shared" ca="1" si="10"/>
        <v>112.54755303953321</v>
      </c>
      <c r="G49" s="306">
        <f t="shared" ca="1" si="11"/>
        <v>27.140937974740694</v>
      </c>
      <c r="H49" s="307">
        <f t="shared" ca="1" si="12"/>
        <v>149.01817382384044</v>
      </c>
      <c r="I49" s="304">
        <f t="shared" ca="1" si="13"/>
        <v>151.469622842143</v>
      </c>
      <c r="J49" s="306">
        <f t="shared" ca="1" si="14"/>
        <v>9.9124193302841448</v>
      </c>
      <c r="K49" s="307">
        <f t="shared" ca="1" si="15"/>
        <v>55.265717492567255</v>
      </c>
      <c r="L49" s="304">
        <f t="shared" ca="1" si="0"/>
        <v>56.147623163831653</v>
      </c>
      <c r="M49" s="306">
        <f t="shared" ca="1" si="16"/>
        <v>1.3906393279849951</v>
      </c>
      <c r="N49" s="304">
        <f t="shared" ca="1" si="17"/>
        <v>79.677764318449249</v>
      </c>
      <c r="P49" s="310">
        <f t="shared" ca="1" si="18"/>
        <v>2</v>
      </c>
      <c r="Q49" s="304">
        <f t="shared" ca="1" si="19"/>
        <v>809.61111111111109</v>
      </c>
      <c r="R49" s="306">
        <f t="shared" ca="1" si="20"/>
        <v>0.40630609549195612</v>
      </c>
      <c r="S49" s="307">
        <f t="shared" ca="1" si="21"/>
        <v>5.9340098316737127</v>
      </c>
      <c r="T49" s="304">
        <f t="shared" ca="1" si="1"/>
        <v>58.212636448719124</v>
      </c>
      <c r="U49" s="311">
        <f t="shared" ca="1" si="2"/>
        <v>0</v>
      </c>
      <c r="V49" s="306">
        <f t="shared" ca="1" si="3"/>
        <v>1.2182486056398303</v>
      </c>
      <c r="W49" s="304">
        <f t="shared" ca="1" si="4"/>
        <v>85.820383222592639</v>
      </c>
      <c r="Y49" s="314" t="str">
        <f t="shared" ca="1" si="22"/>
        <v/>
      </c>
      <c r="Z49" s="315" t="str">
        <f t="shared" ca="1" si="23"/>
        <v/>
      </c>
      <c r="AA49" s="316" t="str">
        <f t="shared" ca="1" si="24"/>
        <v/>
      </c>
      <c r="AC49" s="310" t="e">
        <f t="shared" ca="1" si="25"/>
        <v>#N/A</v>
      </c>
      <c r="AD49" s="323" t="e">
        <f t="shared" ca="1" si="26"/>
        <v>#N/A</v>
      </c>
      <c r="AE49" s="324">
        <f t="shared" ca="1" si="5"/>
        <v>55.265717492567255</v>
      </c>
      <c r="AG49" s="306">
        <f t="shared" ca="1" si="27"/>
        <v>112.53384284044876</v>
      </c>
      <c r="AH49" s="304">
        <f t="shared" ca="1" si="28"/>
        <v>122.18527741010102</v>
      </c>
    </row>
    <row r="50" spans="1:34" x14ac:dyDescent="0.2">
      <c r="A50" s="347">
        <f t="shared" ca="1" si="6"/>
        <v>0.01</v>
      </c>
      <c r="B50" s="304">
        <f t="shared" ca="1" si="7"/>
        <v>0.46000000000000024</v>
      </c>
      <c r="D50" s="306">
        <f t="shared" ca="1" si="8"/>
        <v>21.806811864941988</v>
      </c>
      <c r="E50" s="307">
        <f t="shared" ca="1" si="9"/>
        <v>109.92098660252769</v>
      </c>
      <c r="F50" s="304">
        <f t="shared" ca="1" si="10"/>
        <v>112.06319797054717</v>
      </c>
      <c r="G50" s="306">
        <f t="shared" ca="1" si="11"/>
        <v>27.359006093390114</v>
      </c>
      <c r="H50" s="307">
        <f t="shared" ca="1" si="12"/>
        <v>150.11738368986573</v>
      </c>
      <c r="I50" s="304">
        <f t="shared" ca="1" si="13"/>
        <v>152.59011796413463</v>
      </c>
      <c r="J50" s="306">
        <f t="shared" ca="1" si="14"/>
        <v>10.184919050624799</v>
      </c>
      <c r="K50" s="307">
        <f t="shared" ca="1" si="15"/>
        <v>56.761395280135787</v>
      </c>
      <c r="L50" s="304">
        <f t="shared" ca="1" si="0"/>
        <v>57.667916298541613</v>
      </c>
      <c r="M50" s="306">
        <f t="shared" ca="1" si="16"/>
        <v>1.3905241307890002</v>
      </c>
      <c r="N50" s="304">
        <f t="shared" ca="1" si="17"/>
        <v>79.671164005307006</v>
      </c>
      <c r="P50" s="310">
        <f t="shared" ca="1" si="18"/>
        <v>2</v>
      </c>
      <c r="Q50" s="304">
        <f t="shared" ca="1" si="19"/>
        <v>807.5</v>
      </c>
      <c r="R50" s="306">
        <f t="shared" ca="1" si="20"/>
        <v>0.40524662718558857</v>
      </c>
      <c r="S50" s="307">
        <f t="shared" ca="1" si="21"/>
        <v>5.9299573654018571</v>
      </c>
      <c r="T50" s="304">
        <f t="shared" ca="1" si="1"/>
        <v>58.172881754592218</v>
      </c>
      <c r="U50" s="311">
        <f t="shared" ca="1" si="2"/>
        <v>0</v>
      </c>
      <c r="V50" s="306">
        <f t="shared" ca="1" si="3"/>
        <v>1.218066407098553</v>
      </c>
      <c r="W50" s="304">
        <f t="shared" ca="1" si="4"/>
        <v>87.081764826343658</v>
      </c>
      <c r="Y50" s="314" t="str">
        <f t="shared" ca="1" si="22"/>
        <v/>
      </c>
      <c r="Z50" s="315" t="str">
        <f t="shared" ca="1" si="23"/>
        <v/>
      </c>
      <c r="AA50" s="316" t="str">
        <f t="shared" ca="1" si="24"/>
        <v/>
      </c>
      <c r="AC50" s="310" t="e">
        <f t="shared" ca="1" si="25"/>
        <v>#N/A</v>
      </c>
      <c r="AD50" s="323" t="e">
        <f t="shared" ca="1" si="26"/>
        <v>#N/A</v>
      </c>
      <c r="AE50" s="324">
        <f t="shared" ca="1" si="5"/>
        <v>56.761395280135787</v>
      </c>
      <c r="AG50" s="306">
        <f t="shared" ca="1" si="27"/>
        <v>112.04941095261407</v>
      </c>
      <c r="AH50" s="304">
        <f t="shared" ca="1" si="28"/>
        <v>121.70064172603053</v>
      </c>
    </row>
    <row r="51" spans="1:34" x14ac:dyDescent="0.2">
      <c r="A51" s="347">
        <f t="shared" ca="1" si="6"/>
        <v>0.01</v>
      </c>
      <c r="B51" s="304">
        <f t="shared" ca="1" si="7"/>
        <v>0.47000000000000025</v>
      </c>
      <c r="D51" s="306">
        <f t="shared" ca="1" si="8"/>
        <v>21.733447738400695</v>
      </c>
      <c r="E51" s="307">
        <f t="shared" ca="1" si="9"/>
        <v>109.44024987795045</v>
      </c>
      <c r="F51" s="304">
        <f t="shared" ca="1" si="10"/>
        <v>111.57737693612459</v>
      </c>
      <c r="G51" s="306">
        <f t="shared" ca="1" si="11"/>
        <v>27.576340570774121</v>
      </c>
      <c r="H51" s="307">
        <f t="shared" ca="1" si="12"/>
        <v>151.21178618864525</v>
      </c>
      <c r="I51" s="304">
        <f t="shared" ca="1" si="13"/>
        <v>153.70575409409983</v>
      </c>
      <c r="J51" s="306">
        <f t="shared" ca="1" si="14"/>
        <v>10.45959578394562</v>
      </c>
      <c r="K51" s="307">
        <f t="shared" ca="1" si="15"/>
        <v>58.268041129528342</v>
      </c>
      <c r="L51" s="304">
        <f t="shared" ca="1" si="0"/>
        <v>59.199389870470284</v>
      </c>
      <c r="M51" s="306">
        <f t="shared" ca="1" si="16"/>
        <v>1.3904096973921523</v>
      </c>
      <c r="N51" s="304">
        <f t="shared" ca="1" si="17"/>
        <v>79.664607454632275</v>
      </c>
      <c r="P51" s="310">
        <f t="shared" ca="1" si="18"/>
        <v>2</v>
      </c>
      <c r="Q51" s="304">
        <f t="shared" ca="1" si="19"/>
        <v>805.3888888888888</v>
      </c>
      <c r="R51" s="306">
        <f t="shared" ca="1" si="20"/>
        <v>0.40418715887922096</v>
      </c>
      <c r="S51" s="307">
        <f t="shared" ca="1" si="21"/>
        <v>5.9259154938130649</v>
      </c>
      <c r="T51" s="304">
        <f t="shared" ca="1" si="1"/>
        <v>58.133230994306167</v>
      </c>
      <c r="U51" s="311">
        <f t="shared" ca="1" si="2"/>
        <v>0</v>
      </c>
      <c r="V51" s="306">
        <f t="shared" ca="1" si="3"/>
        <v>1.2178828999355966</v>
      </c>
      <c r="W51" s="304">
        <f t="shared" ca="1" si="4"/>
        <v>88.346474407510257</v>
      </c>
      <c r="Y51" s="314" t="str">
        <f t="shared" ca="1" si="22"/>
        <v/>
      </c>
      <c r="Z51" s="315" t="str">
        <f t="shared" ca="1" si="23"/>
        <v/>
      </c>
      <c r="AA51" s="316" t="str">
        <f t="shared" ca="1" si="24"/>
        <v/>
      </c>
      <c r="AC51" s="310" t="e">
        <f t="shared" ca="1" si="25"/>
        <v>#N/A</v>
      </c>
      <c r="AD51" s="323" t="e">
        <f t="shared" ca="1" si="26"/>
        <v>#N/A</v>
      </c>
      <c r="AE51" s="324">
        <f t="shared" ca="1" si="5"/>
        <v>58.268041129528342</v>
      </c>
      <c r="AG51" s="306">
        <f t="shared" ca="1" si="27"/>
        <v>111.56351235765882</v>
      </c>
      <c r="AH51" s="304">
        <f t="shared" ca="1" si="28"/>
        <v>121.2145405739403</v>
      </c>
    </row>
    <row r="52" spans="1:34" x14ac:dyDescent="0.2">
      <c r="A52" s="347">
        <f t="shared" ca="1" si="6"/>
        <v>0.01</v>
      </c>
      <c r="B52" s="304">
        <f t="shared" ca="1" si="7"/>
        <v>0.48000000000000026</v>
      </c>
      <c r="D52" s="306">
        <f t="shared" ca="1" si="8"/>
        <v>21.659623802464978</v>
      </c>
      <c r="E52" s="307">
        <f t="shared" ca="1" si="9"/>
        <v>108.95813005478789</v>
      </c>
      <c r="F52" s="304">
        <f t="shared" ca="1" si="10"/>
        <v>111.09011390893602</v>
      </c>
      <c r="G52" s="306">
        <f t="shared" ca="1" si="11"/>
        <v>27.792936808798771</v>
      </c>
      <c r="H52" s="307">
        <f t="shared" ca="1" si="12"/>
        <v>152.30136748919313</v>
      </c>
      <c r="I52" s="304">
        <f t="shared" ca="1" si="13"/>
        <v>154.81651680468764</v>
      </c>
      <c r="J52" s="306">
        <f t="shared" ca="1" si="14"/>
        <v>10.736442170843484</v>
      </c>
      <c r="K52" s="307">
        <f t="shared" ca="1" si="15"/>
        <v>59.785606897917532</v>
      </c>
      <c r="L52" s="304">
        <f t="shared" ca="1" si="0"/>
        <v>60.741995214515228</v>
      </c>
      <c r="M52" s="306">
        <f t="shared" ca="1" si="16"/>
        <v>1.3902960136857683</v>
      </c>
      <c r="N52" s="304">
        <f t="shared" ca="1" si="17"/>
        <v>79.658093858057057</v>
      </c>
      <c r="P52" s="310">
        <f t="shared" ca="1" si="18"/>
        <v>2</v>
      </c>
      <c r="Q52" s="304">
        <f t="shared" ca="1" si="19"/>
        <v>803.27777777777771</v>
      </c>
      <c r="R52" s="306">
        <f t="shared" ca="1" si="20"/>
        <v>0.40312769057285341</v>
      </c>
      <c r="S52" s="307">
        <f t="shared" ca="1" si="21"/>
        <v>5.921884216907336</v>
      </c>
      <c r="T52" s="304">
        <f t="shared" ca="1" si="1"/>
        <v>58.093684167860971</v>
      </c>
      <c r="U52" s="311">
        <f t="shared" ca="1" si="2"/>
        <v>0</v>
      </c>
      <c r="V52" s="306">
        <f t="shared" ca="1" si="3"/>
        <v>1.2176980906092274</v>
      </c>
      <c r="W52" s="304">
        <f t="shared" ca="1" si="4"/>
        <v>89.614368292118996</v>
      </c>
      <c r="Y52" s="314" t="str">
        <f t="shared" ca="1" si="22"/>
        <v/>
      </c>
      <c r="Z52" s="315" t="str">
        <f t="shared" ca="1" si="23"/>
        <v/>
      </c>
      <c r="AA52" s="316" t="str">
        <f t="shared" ca="1" si="24"/>
        <v/>
      </c>
      <c r="AC52" s="310" t="e">
        <f t="shared" ca="1" si="25"/>
        <v>#N/A</v>
      </c>
      <c r="AD52" s="323" t="e">
        <f t="shared" ca="1" si="26"/>
        <v>#N/A</v>
      </c>
      <c r="AE52" s="324">
        <f t="shared" ca="1" si="5"/>
        <v>59.785606897917532</v>
      </c>
      <c r="AG52" s="306">
        <f t="shared" ca="1" si="27"/>
        <v>111.07617101646409</v>
      </c>
      <c r="AH52" s="304">
        <f t="shared" ca="1" si="28"/>
        <v>120.72699789183577</v>
      </c>
    </row>
    <row r="53" spans="1:34" x14ac:dyDescent="0.2">
      <c r="A53" s="347">
        <f t="shared" ca="1" si="6"/>
        <v>0.01</v>
      </c>
      <c r="B53" s="304">
        <f t="shared" ca="1" si="7"/>
        <v>0.49000000000000027</v>
      </c>
      <c r="D53" s="306">
        <f t="shared" ca="1" si="8"/>
        <v>21.585346646763124</v>
      </c>
      <c r="E53" s="307">
        <f t="shared" ca="1" si="9"/>
        <v>108.47465032847958</v>
      </c>
      <c r="F53" s="304">
        <f t="shared" ca="1" si="10"/>
        <v>110.60143287384139</v>
      </c>
      <c r="G53" s="306">
        <f t="shared" ca="1" si="11"/>
        <v>28.008790275266403</v>
      </c>
      <c r="H53" s="307">
        <f t="shared" ca="1" si="12"/>
        <v>153.38611399247793</v>
      </c>
      <c r="I53" s="304">
        <f t="shared" ca="1" si="13"/>
        <v>155.92239190827368</v>
      </c>
      <c r="J53" s="306">
        <f t="shared" ca="1" si="14"/>
        <v>11.015450806263809</v>
      </c>
      <c r="K53" s="307">
        <f t="shared" ca="1" si="15"/>
        <v>61.314044305325886</v>
      </c>
      <c r="L53" s="304">
        <f t="shared" ca="1" si="0"/>
        <v>62.295683522541786</v>
      </c>
      <c r="M53" s="306">
        <f t="shared" ca="1" si="16"/>
        <v>1.3901830659139458</v>
      </c>
      <c r="N53" s="304">
        <f t="shared" ca="1" si="17"/>
        <v>79.651622427426233</v>
      </c>
      <c r="P53" s="310">
        <f t="shared" ca="1" si="18"/>
        <v>2</v>
      </c>
      <c r="Q53" s="304">
        <f t="shared" ca="1" si="19"/>
        <v>801.16666666666663</v>
      </c>
      <c r="R53" s="306">
        <f t="shared" ca="1" si="20"/>
        <v>0.40206822226648586</v>
      </c>
      <c r="S53" s="307">
        <f t="shared" ca="1" si="21"/>
        <v>5.9178635346846713</v>
      </c>
      <c r="T53" s="304">
        <f t="shared" ca="1" si="1"/>
        <v>58.054241275256629</v>
      </c>
      <c r="U53" s="311">
        <f t="shared" ca="1" si="2"/>
        <v>0</v>
      </c>
      <c r="V53" s="306">
        <f t="shared" ca="1" si="3"/>
        <v>1.217511985594947</v>
      </c>
      <c r="W53" s="304">
        <f t="shared" ca="1" si="4"/>
        <v>90.885303226647522</v>
      </c>
      <c r="Y53" s="314" t="str">
        <f t="shared" ca="1" si="22"/>
        <v/>
      </c>
      <c r="Z53" s="315" t="str">
        <f t="shared" ca="1" si="23"/>
        <v/>
      </c>
      <c r="AA53" s="316" t="str">
        <f t="shared" ca="1" si="24"/>
        <v/>
      </c>
      <c r="AC53" s="310" t="e">
        <f t="shared" ca="1" si="25"/>
        <v>#N/A</v>
      </c>
      <c r="AD53" s="323" t="e">
        <f t="shared" ca="1" si="26"/>
        <v>#N/A</v>
      </c>
      <c r="AE53" s="324">
        <f t="shared" ca="1" si="5"/>
        <v>61.314044305325886</v>
      </c>
      <c r="AG53" s="306">
        <f t="shared" ca="1" si="27"/>
        <v>110.5874109019523</v>
      </c>
      <c r="AH53" s="304">
        <f t="shared" ca="1" si="28"/>
        <v>120.23803763032568</v>
      </c>
    </row>
    <row r="54" spans="1:34" x14ac:dyDescent="0.2">
      <c r="A54" s="347">
        <f t="shared" ca="1" si="6"/>
        <v>0.01</v>
      </c>
      <c r="B54" s="304">
        <f t="shared" ca="1" si="7"/>
        <v>0.50000000000000022</v>
      </c>
      <c r="D54" s="306">
        <f t="shared" ca="1" si="8"/>
        <v>21.510622810727522</v>
      </c>
      <c r="E54" s="307">
        <f t="shared" ca="1" si="9"/>
        <v>107.98983391175096</v>
      </c>
      <c r="F54" s="304">
        <f t="shared" ca="1" si="10"/>
        <v>110.11135782467197</v>
      </c>
      <c r="G54" s="306">
        <f t="shared" ca="1" si="11"/>
        <v>28.223896503373677</v>
      </c>
      <c r="H54" s="307">
        <f t="shared" ca="1" si="12"/>
        <v>154.46601233159544</v>
      </c>
      <c r="I54" s="304">
        <f t="shared" ca="1" si="13"/>
        <v>157.02336545704827</v>
      </c>
      <c r="J54" s="306">
        <f t="shared" ca="1" si="14"/>
        <v>11.296614240157009</v>
      </c>
      <c r="K54" s="307">
        <f t="shared" ca="1" si="15"/>
        <v>62.853304936946252</v>
      </c>
      <c r="L54" s="304">
        <f t="shared" ca="1" si="0"/>
        <v>63.860405845779511</v>
      </c>
      <c r="M54" s="306">
        <f t="shared" ca="1" si="16"/>
        <v>1.3900708406616908</v>
      </c>
      <c r="N54" s="304">
        <f t="shared" ca="1" si="17"/>
        <v>79.645192394117231</v>
      </c>
      <c r="P54" s="310">
        <f t="shared" ca="1" si="18"/>
        <v>2</v>
      </c>
      <c r="Q54" s="304">
        <f t="shared" ca="1" si="19"/>
        <v>799.05555555555554</v>
      </c>
      <c r="R54" s="306">
        <f t="shared" ca="1" si="20"/>
        <v>0.40100875396011837</v>
      </c>
      <c r="S54" s="307">
        <f t="shared" ca="1" si="21"/>
        <v>5.9138534471450699</v>
      </c>
      <c r="T54" s="304">
        <f t="shared" ca="1" si="1"/>
        <v>58.014902316493135</v>
      </c>
      <c r="U54" s="311">
        <f t="shared" ca="1" si="2"/>
        <v>0</v>
      </c>
      <c r="V54" s="306">
        <f t="shared" ca="1" si="3"/>
        <v>1.2173245913851334</v>
      </c>
      <c r="W54" s="304">
        <f t="shared" ca="1" si="4"/>
        <v>92.159136394731661</v>
      </c>
      <c r="Y54" s="314" t="str">
        <f t="shared" ca="1" si="22"/>
        <v/>
      </c>
      <c r="Z54" s="315" t="str">
        <f t="shared" ca="1" si="23"/>
        <v/>
      </c>
      <c r="AA54" s="316" t="str">
        <f t="shared" ca="1" si="24"/>
        <v/>
      </c>
      <c r="AC54" s="310" t="e">
        <f t="shared" ca="1" si="25"/>
        <v>#N/A</v>
      </c>
      <c r="AD54" s="323" t="e">
        <f t="shared" ca="1" si="26"/>
        <v>#N/A</v>
      </c>
      <c r="AE54" s="324">
        <f t="shared" ca="1" si="5"/>
        <v>62.853304936946252</v>
      </c>
      <c r="AG54" s="306">
        <f t="shared" ca="1" si="27"/>
        <v>110.09725599586386</v>
      </c>
      <c r="AH54" s="304">
        <f t="shared" ca="1" si="28"/>
        <v>119.7476837493799</v>
      </c>
    </row>
    <row r="55" spans="1:34" x14ac:dyDescent="0.2">
      <c r="A55" s="347">
        <f t="shared" ca="1" si="6"/>
        <v>0.01</v>
      </c>
      <c r="B55" s="304">
        <f t="shared" ca="1" si="7"/>
        <v>0.51000000000000023</v>
      </c>
      <c r="D55" s="306">
        <f t="shared" ca="1" si="8"/>
        <v>21.449626749711786</v>
      </c>
      <c r="E55" s="307">
        <f t="shared" ca="1" si="9"/>
        <v>107.58124360922521</v>
      </c>
      <c r="F55" s="304">
        <f t="shared" ca="1" si="10"/>
        <v>109.69872590057467</v>
      </c>
      <c r="G55" s="306">
        <f t="shared" ca="1" si="11"/>
        <v>28.438392770870795</v>
      </c>
      <c r="H55" s="307">
        <f t="shared" ca="1" si="12"/>
        <v>155.5418247676877</v>
      </c>
      <c r="I55" s="304">
        <f t="shared" ca="1" si="13"/>
        <v>158.12021197637063</v>
      </c>
      <c r="J55" s="306">
        <f t="shared" ca="1" si="14"/>
        <v>11.579925686528231</v>
      </c>
      <c r="K55" s="307">
        <f t="shared" ca="1" si="15"/>
        <v>64.403344122442661</v>
      </c>
      <c r="L55" s="304">
        <f t="shared" ca="1" si="0"/>
        <v>65.436117038370213</v>
      </c>
      <c r="M55" s="306">
        <f t="shared" ca="1" si="16"/>
        <v>1.3899593253994522</v>
      </c>
      <c r="N55" s="304">
        <f t="shared" ca="1" si="17"/>
        <v>79.638803040239665</v>
      </c>
      <c r="P55" s="310">
        <f t="shared" ca="1" si="18"/>
        <v>3</v>
      </c>
      <c r="Q55" s="304">
        <f t="shared" ca="1" si="19"/>
        <v>797.41</v>
      </c>
      <c r="R55" s="306">
        <f t="shared" ca="1" si="20"/>
        <v>0.40018292629604973</v>
      </c>
      <c r="S55" s="307">
        <f t="shared" ca="1" si="21"/>
        <v>5.9098516178821097</v>
      </c>
      <c r="T55" s="304">
        <f t="shared" ca="1" si="1"/>
        <v>57.975644371423499</v>
      </c>
      <c r="U55" s="311">
        <f t="shared" ca="1" si="2"/>
        <v>0</v>
      </c>
      <c r="V55" s="306">
        <f t="shared" ca="1" si="3"/>
        <v>1.2171359140167901</v>
      </c>
      <c r="W55" s="304">
        <f t="shared" ca="1" si="4"/>
        <v>93.436656963385332</v>
      </c>
      <c r="Y55" s="314" t="str">
        <f t="shared" ca="1" si="22"/>
        <v/>
      </c>
      <c r="Z55" s="315" t="str">
        <f t="shared" ca="1" si="23"/>
        <v/>
      </c>
      <c r="AA55" s="316" t="str">
        <f t="shared" ca="1" si="24"/>
        <v/>
      </c>
      <c r="AC55" s="310" t="e">
        <f t="shared" ca="1" si="25"/>
        <v>#N/A</v>
      </c>
      <c r="AD55" s="323" t="e">
        <f t="shared" ca="1" si="26"/>
        <v>#N/A</v>
      </c>
      <c r="AE55" s="324">
        <f t="shared" ca="1" si="5"/>
        <v>64.403344122442661</v>
      </c>
      <c r="AG55" s="306">
        <f t="shared" ca="1" si="27"/>
        <v>109.68455361582448</v>
      </c>
      <c r="AH55" s="304">
        <f t="shared" ca="1" si="28"/>
        <v>119.3347835453788</v>
      </c>
    </row>
    <row r="56" spans="1:34" x14ac:dyDescent="0.2">
      <c r="A56" s="347">
        <f t="shared" ca="1" si="6"/>
        <v>0.01</v>
      </c>
      <c r="B56" s="304">
        <f t="shared" ca="1" si="7"/>
        <v>0.52000000000000024</v>
      </c>
      <c r="D56" s="306">
        <f t="shared" ca="1" si="8"/>
        <v>21.40239953437306</v>
      </c>
      <c r="E56" s="307">
        <f t="shared" ca="1" si="9"/>
        <v>107.2489457992622</v>
      </c>
      <c r="F56" s="304">
        <f t="shared" ca="1" si="10"/>
        <v>109.36360949091801</v>
      </c>
      <c r="G56" s="306">
        <f t="shared" ca="1" si="11"/>
        <v>28.652416766214525</v>
      </c>
      <c r="H56" s="307">
        <f t="shared" ca="1" si="12"/>
        <v>156.61431422568032</v>
      </c>
      <c r="I56" s="304">
        <f t="shared" ca="1" si="13"/>
        <v>159.21370671812457</v>
      </c>
      <c r="J56" s="306">
        <f t="shared" ca="1" si="14"/>
        <v>11.865379734213658</v>
      </c>
      <c r="K56" s="307">
        <f t="shared" ca="1" si="15"/>
        <v>65.964124817409498</v>
      </c>
      <c r="L56" s="304">
        <f t="shared" ca="1" si="0"/>
        <v>67.022779703350622</v>
      </c>
      <c r="M56" s="306">
        <f t="shared" ca="1" si="16"/>
        <v>1.3898485084438232</v>
      </c>
      <c r="N56" s="304">
        <f t="shared" ca="1" si="17"/>
        <v>79.632453696383635</v>
      </c>
      <c r="P56" s="310">
        <f t="shared" ca="1" si="18"/>
        <v>3</v>
      </c>
      <c r="Q56" s="304">
        <f t="shared" ca="1" si="19"/>
        <v>796.23</v>
      </c>
      <c r="R56" s="306">
        <f t="shared" ca="1" si="20"/>
        <v>0.39959073927428013</v>
      </c>
      <c r="S56" s="307">
        <f t="shared" ca="1" si="21"/>
        <v>5.9058557104893667</v>
      </c>
      <c r="T56" s="304">
        <f t="shared" ca="1" si="1"/>
        <v>57.936444519900689</v>
      </c>
      <c r="U56" s="311">
        <f t="shared" ca="1" si="2"/>
        <v>0</v>
      </c>
      <c r="V56" s="306">
        <f t="shared" ca="1" si="3"/>
        <v>1.2169459585994791</v>
      </c>
      <c r="W56" s="304">
        <f t="shared" ca="1" si="4"/>
        <v>94.718680229133966</v>
      </c>
      <c r="Y56" s="314" t="str">
        <f t="shared" ca="1" si="22"/>
        <v/>
      </c>
      <c r="Z56" s="315" t="str">
        <f t="shared" ca="1" si="23"/>
        <v/>
      </c>
      <c r="AA56" s="316" t="str">
        <f t="shared" ca="1" si="24"/>
        <v/>
      </c>
      <c r="AC56" s="310" t="e">
        <f t="shared" ca="1" si="25"/>
        <v>#N/A</v>
      </c>
      <c r="AD56" s="323" t="e">
        <f t="shared" ca="1" si="26"/>
        <v>#N/A</v>
      </c>
      <c r="AE56" s="324">
        <f t="shared" ca="1" si="5"/>
        <v>65.964124817409498</v>
      </c>
      <c r="AG56" s="306">
        <f t="shared" ca="1" si="27"/>
        <v>109.34937641501226</v>
      </c>
      <c r="AH56" s="304">
        <f t="shared" ca="1" si="28"/>
        <v>118.99940965174382</v>
      </c>
    </row>
    <row r="57" spans="1:34" x14ac:dyDescent="0.2">
      <c r="A57" s="347">
        <f t="shared" ca="1" si="6"/>
        <v>0.01</v>
      </c>
      <c r="B57" s="304">
        <f t="shared" ca="1" si="7"/>
        <v>0.53000000000000025</v>
      </c>
      <c r="D57" s="306">
        <f t="shared" ca="1" si="8"/>
        <v>21.35477651045478</v>
      </c>
      <c r="E57" s="307">
        <f t="shared" ca="1" si="9"/>
        <v>106.91536058358479</v>
      </c>
      <c r="F57" s="304">
        <f t="shared" ca="1" si="10"/>
        <v>109.02715628929073</v>
      </c>
      <c r="G57" s="306">
        <f t="shared" ca="1" si="11"/>
        <v>28.865964531319072</v>
      </c>
      <c r="H57" s="307">
        <f t="shared" ca="1" si="12"/>
        <v>157.68346783151617</v>
      </c>
      <c r="I57" s="304">
        <f t="shared" ca="1" si="13"/>
        <v>160.30383630997781</v>
      </c>
      <c r="J57" s="306">
        <f t="shared" ca="1" si="14"/>
        <v>12.152971640701326</v>
      </c>
      <c r="K57" s="307">
        <f t="shared" ca="1" si="15"/>
        <v>67.535613727695477</v>
      </c>
      <c r="L57" s="304">
        <f t="shared" ca="1" si="0"/>
        <v>68.620360253179811</v>
      </c>
      <c r="M57" s="306">
        <f t="shared" ca="1" si="16"/>
        <v>1.3897383783780461</v>
      </c>
      <c r="N57" s="304">
        <f t="shared" ca="1" si="17"/>
        <v>79.626143708417104</v>
      </c>
      <c r="P57" s="310">
        <f t="shared" ca="1" si="18"/>
        <v>3</v>
      </c>
      <c r="Q57" s="304">
        <f t="shared" ca="1" si="19"/>
        <v>795.05</v>
      </c>
      <c r="R57" s="306">
        <f t="shared" ca="1" si="20"/>
        <v>0.39899855225251041</v>
      </c>
      <c r="S57" s="307">
        <f t="shared" ca="1" si="21"/>
        <v>5.901865724966842</v>
      </c>
      <c r="T57" s="304">
        <f t="shared" ca="1" si="1"/>
        <v>57.89730276192472</v>
      </c>
      <c r="U57" s="311">
        <f t="shared" ca="1" si="2"/>
        <v>0</v>
      </c>
      <c r="V57" s="306">
        <f t="shared" ca="1" si="3"/>
        <v>1.2167547297875649</v>
      </c>
      <c r="W57" s="304">
        <f t="shared" ca="1" si="4"/>
        <v>96.005101956273776</v>
      </c>
      <c r="Y57" s="314" t="str">
        <f t="shared" ca="1" si="22"/>
        <v/>
      </c>
      <c r="Z57" s="315" t="str">
        <f t="shared" ca="1" si="23"/>
        <v/>
      </c>
      <c r="AA57" s="316" t="str">
        <f t="shared" ca="1" si="24"/>
        <v/>
      </c>
      <c r="AC57" s="310" t="e">
        <f t="shared" ca="1" si="25"/>
        <v>#N/A</v>
      </c>
      <c r="AD57" s="323" t="e">
        <f t="shared" ca="1" si="26"/>
        <v>#N/A</v>
      </c>
      <c r="AE57" s="324">
        <f t="shared" ca="1" si="5"/>
        <v>67.535613727695477</v>
      </c>
      <c r="AG57" s="306">
        <f t="shared" ca="1" si="27"/>
        <v>109.01286197201871</v>
      </c>
      <c r="AH57" s="304">
        <f t="shared" ca="1" si="28"/>
        <v>118.66269962873488</v>
      </c>
    </row>
    <row r="58" spans="1:34" x14ac:dyDescent="0.2">
      <c r="A58" s="347">
        <f t="shared" ca="1" si="6"/>
        <v>0.01</v>
      </c>
      <c r="B58" s="304">
        <f t="shared" ca="1" si="7"/>
        <v>0.54000000000000026</v>
      </c>
      <c r="D58" s="306">
        <f t="shared" ca="1" si="8"/>
        <v>21.306762147507438</v>
      </c>
      <c r="E58" s="307">
        <f t="shared" ca="1" si="9"/>
        <v>106.58050342610289</v>
      </c>
      <c r="F58" s="304">
        <f t="shared" ca="1" si="10"/>
        <v>108.68938229547533</v>
      </c>
      <c r="G58" s="306">
        <f t="shared" ca="1" si="11"/>
        <v>29.079032152794145</v>
      </c>
      <c r="H58" s="307">
        <f t="shared" ca="1" si="12"/>
        <v>158.74927286577719</v>
      </c>
      <c r="I58" s="304">
        <f t="shared" ca="1" si="13"/>
        <v>161.39058753953472</v>
      </c>
      <c r="J58" s="306">
        <f t="shared" ca="1" si="14"/>
        <v>12.442696624121892</v>
      </c>
      <c r="K58" s="307">
        <f t="shared" ca="1" si="15"/>
        <v>69.117777431181949</v>
      </c>
      <c r="L58" s="304">
        <f t="shared" ca="1" si="0"/>
        <v>70.228824967432985</v>
      </c>
      <c r="M58" s="306">
        <f t="shared" ca="1" si="16"/>
        <v>1.3896289240438651</v>
      </c>
      <c r="N58" s="304">
        <f t="shared" ca="1" si="17"/>
        <v>79.619872437019112</v>
      </c>
      <c r="P58" s="310">
        <f t="shared" ca="1" si="18"/>
        <v>3</v>
      </c>
      <c r="Q58" s="304">
        <f t="shared" ca="1" si="19"/>
        <v>793.87</v>
      </c>
      <c r="R58" s="306">
        <f t="shared" ca="1" si="20"/>
        <v>0.3984063652307408</v>
      </c>
      <c r="S58" s="307">
        <f t="shared" ca="1" si="21"/>
        <v>5.8978816613145346</v>
      </c>
      <c r="T58" s="304">
        <f t="shared" ca="1" si="1"/>
        <v>57.858219097495585</v>
      </c>
      <c r="U58" s="311">
        <f t="shared" ca="1" si="2"/>
        <v>0</v>
      </c>
      <c r="V58" s="306">
        <f t="shared" ca="1" si="3"/>
        <v>1.2165622322523399</v>
      </c>
      <c r="W58" s="304">
        <f t="shared" ca="1" si="4"/>
        <v>97.2958179713942</v>
      </c>
      <c r="Y58" s="314" t="str">
        <f t="shared" ca="1" si="22"/>
        <v/>
      </c>
      <c r="Z58" s="315" t="str">
        <f t="shared" ca="1" si="23"/>
        <v/>
      </c>
      <c r="AA58" s="316" t="str">
        <f t="shared" ca="1" si="24"/>
        <v/>
      </c>
      <c r="AC58" s="310" t="e">
        <f t="shared" ca="1" si="25"/>
        <v>#N/A</v>
      </c>
      <c r="AD58" s="323" t="e">
        <f t="shared" ca="1" si="26"/>
        <v>#N/A</v>
      </c>
      <c r="AE58" s="324">
        <f t="shared" ca="1" si="5"/>
        <v>69.117777431181949</v>
      </c>
      <c r="AG58" s="306">
        <f t="shared" ca="1" si="27"/>
        <v>108.67502628070015</v>
      </c>
      <c r="AH58" s="304">
        <f t="shared" ca="1" si="28"/>
        <v>118.32466945228339</v>
      </c>
    </row>
    <row r="59" spans="1:34" x14ac:dyDescent="0.2">
      <c r="A59" s="347">
        <f t="shared" ca="1" si="6"/>
        <v>0.01</v>
      </c>
      <c r="B59" s="304">
        <f t="shared" ca="1" si="7"/>
        <v>0.55000000000000027</v>
      </c>
      <c r="D59" s="306">
        <f t="shared" ca="1" si="8"/>
        <v>21.258360889373098</v>
      </c>
      <c r="E59" s="307">
        <f t="shared" ca="1" si="9"/>
        <v>106.24438983573543</v>
      </c>
      <c r="F59" s="304">
        <f t="shared" ca="1" si="10"/>
        <v>108.35030354950811</v>
      </c>
      <c r="G59" s="306">
        <f t="shared" ca="1" si="11"/>
        <v>29.291615761687876</v>
      </c>
      <c r="H59" s="307">
        <f t="shared" ca="1" si="12"/>
        <v>159.81171676413453</v>
      </c>
      <c r="I59" s="304">
        <f t="shared" ca="1" si="13"/>
        <v>162.47394735473844</v>
      </c>
      <c r="J59" s="306">
        <f t="shared" ca="1" si="14"/>
        <v>12.734549863694301</v>
      </c>
      <c r="K59" s="307">
        <f t="shared" ca="1" si="15"/>
        <v>70.710582379331512</v>
      </c>
      <c r="L59" s="304">
        <f t="shared" ca="1" si="0"/>
        <v>71.848139994401706</v>
      </c>
      <c r="M59" s="306">
        <f t="shared" ca="1" si="16"/>
        <v>1.3895201345336916</v>
      </c>
      <c r="N59" s="304">
        <f t="shared" ca="1" si="17"/>
        <v>79.613639257230886</v>
      </c>
      <c r="P59" s="310">
        <f t="shared" ca="1" si="18"/>
        <v>3</v>
      </c>
      <c r="Q59" s="304">
        <f t="shared" ca="1" si="19"/>
        <v>792.68999999999994</v>
      </c>
      <c r="R59" s="306">
        <f t="shared" ca="1" si="20"/>
        <v>0.39781417820897108</v>
      </c>
      <c r="S59" s="307">
        <f t="shared" ca="1" si="21"/>
        <v>5.8939035195324445</v>
      </c>
      <c r="T59" s="304">
        <f t="shared" ca="1" si="1"/>
        <v>57.819193526613283</v>
      </c>
      <c r="U59" s="311">
        <f t="shared" ca="1" si="2"/>
        <v>0</v>
      </c>
      <c r="V59" s="306">
        <f t="shared" ca="1" si="3"/>
        <v>1.2163684706817779</v>
      </c>
      <c r="W59" s="304">
        <f t="shared" ca="1" si="4"/>
        <v>98.590724174979684</v>
      </c>
      <c r="Y59" s="314" t="str">
        <f t="shared" ca="1" si="22"/>
        <v/>
      </c>
      <c r="Z59" s="315" t="str">
        <f t="shared" ca="1" si="23"/>
        <v/>
      </c>
      <c r="AA59" s="316" t="str">
        <f t="shared" ca="1" si="24"/>
        <v/>
      </c>
      <c r="AC59" s="310" t="e">
        <f t="shared" ca="1" si="25"/>
        <v>#N/A</v>
      </c>
      <c r="AD59" s="323" t="e">
        <f t="shared" ca="1" si="26"/>
        <v>#N/A</v>
      </c>
      <c r="AE59" s="324">
        <f t="shared" ca="1" si="5"/>
        <v>70.710582379331512</v>
      </c>
      <c r="AG59" s="306">
        <f t="shared" ca="1" si="27"/>
        <v>108.33588537513641</v>
      </c>
      <c r="AH59" s="304">
        <f t="shared" ca="1" si="28"/>
        <v>117.98533513893869</v>
      </c>
    </row>
    <row r="60" spans="1:34" x14ac:dyDescent="0.2">
      <c r="A60" s="347">
        <f t="shared" ca="1" si="6"/>
        <v>0.01</v>
      </c>
      <c r="B60" s="304">
        <f t="shared" ca="1" si="7"/>
        <v>0.56000000000000028</v>
      </c>
      <c r="D60" s="306">
        <f t="shared" ca="1" si="8"/>
        <v>21.209577154938422</v>
      </c>
      <c r="E60" s="307">
        <f t="shared" ca="1" si="9"/>
        <v>105.907035364278</v>
      </c>
      <c r="F60" s="304">
        <f t="shared" ca="1" si="10"/>
        <v>108.00993612969928</v>
      </c>
      <c r="G60" s="306">
        <f t="shared" ca="1" si="11"/>
        <v>29.503711533237261</v>
      </c>
      <c r="H60" s="307">
        <f t="shared" ca="1" si="12"/>
        <v>160.8707871177773</v>
      </c>
      <c r="I60" s="304">
        <f t="shared" ca="1" si="13"/>
        <v>163.55390286425359</v>
      </c>
      <c r="J60" s="306">
        <f t="shared" ca="1" si="14"/>
        <v>13.028526500168926</v>
      </c>
      <c r="K60" s="307">
        <f t="shared" ca="1" si="15"/>
        <v>72.313994898741072</v>
      </c>
      <c r="L60" s="304">
        <f t="shared" ca="1" si="0"/>
        <v>73.478271352698229</v>
      </c>
      <c r="M60" s="306">
        <f t="shared" ca="1" si="16"/>
        <v>1.3894119991830636</v>
      </c>
      <c r="N60" s="304">
        <f t="shared" ca="1" si="17"/>
        <v>79.607443558023732</v>
      </c>
      <c r="P60" s="310">
        <f t="shared" ca="1" si="18"/>
        <v>3</v>
      </c>
      <c r="Q60" s="304">
        <f t="shared" ca="1" si="19"/>
        <v>791.51</v>
      </c>
      <c r="R60" s="306">
        <f t="shared" ca="1" si="20"/>
        <v>0.39722199118720147</v>
      </c>
      <c r="S60" s="307">
        <f t="shared" ca="1" si="21"/>
        <v>5.8899312996205726</v>
      </c>
      <c r="T60" s="304">
        <f t="shared" ca="1" si="1"/>
        <v>57.780226049277822</v>
      </c>
      <c r="U60" s="311">
        <f t="shared" ca="1" si="2"/>
        <v>0</v>
      </c>
      <c r="V60" s="306">
        <f t="shared" ca="1" si="3"/>
        <v>1.2161734497802823</v>
      </c>
      <c r="W60" s="304">
        <f t="shared" ca="1" si="4"/>
        <v>99.889716552940428</v>
      </c>
      <c r="Y60" s="314" t="str">
        <f t="shared" ca="1" si="22"/>
        <v/>
      </c>
      <c r="Z60" s="315" t="str">
        <f t="shared" ca="1" si="23"/>
        <v/>
      </c>
      <c r="AA60" s="316" t="str">
        <f t="shared" ca="1" si="24"/>
        <v/>
      </c>
      <c r="AC60" s="310" t="e">
        <f t="shared" ca="1" si="25"/>
        <v>#N/A</v>
      </c>
      <c r="AD60" s="323" t="e">
        <f t="shared" ca="1" si="26"/>
        <v>#N/A</v>
      </c>
      <c r="AE60" s="324">
        <f t="shared" ca="1" si="5"/>
        <v>72.313994898741072</v>
      </c>
      <c r="AG60" s="306">
        <f t="shared" ca="1" si="27"/>
        <v>107.99545532764934</v>
      </c>
      <c r="AH60" s="304">
        <f t="shared" ca="1" si="28"/>
        <v>117.64471274387495</v>
      </c>
    </row>
    <row r="61" spans="1:34" x14ac:dyDescent="0.2">
      <c r="A61" s="347">
        <f t="shared" ca="1" si="6"/>
        <v>0.01</v>
      </c>
      <c r="B61" s="304">
        <f t="shared" ca="1" si="7"/>
        <v>0.57000000000000028</v>
      </c>
      <c r="D61" s="306">
        <f t="shared" ca="1" si="8"/>
        <v>21.160415338845141</v>
      </c>
      <c r="E61" s="307">
        <f t="shared" ca="1" si="9"/>
        <v>105.5684556042802</v>
      </c>
      <c r="F61" s="304">
        <f t="shared" ca="1" si="10"/>
        <v>107.66829615065575</v>
      </c>
      <c r="G61" s="306">
        <f t="shared" ca="1" si="11"/>
        <v>29.715315686625711</v>
      </c>
      <c r="H61" s="307">
        <f t="shared" ca="1" si="12"/>
        <v>161.92647167382009</v>
      </c>
      <c r="I61" s="304">
        <f t="shared" ca="1" si="13"/>
        <v>164.63044133782878</v>
      </c>
      <c r="J61" s="306">
        <f t="shared" ca="1" si="14"/>
        <v>13.32462163626824</v>
      </c>
      <c r="K61" s="307">
        <f t="shared" ca="1" si="15"/>
        <v>73.927981192699065</v>
      </c>
      <c r="L61" s="304">
        <f t="shared" ca="1" si="0"/>
        <v>75.119184932863689</v>
      </c>
      <c r="M61" s="306">
        <f t="shared" ca="1" si="16"/>
        <v>1.3893045075633881</v>
      </c>
      <c r="N61" s="304">
        <f t="shared" ca="1" si="17"/>
        <v>79.601284741883291</v>
      </c>
      <c r="P61" s="310">
        <f t="shared" ca="1" si="18"/>
        <v>3</v>
      </c>
      <c r="Q61" s="304">
        <f t="shared" ca="1" si="19"/>
        <v>790.32999999999993</v>
      </c>
      <c r="R61" s="306">
        <f t="shared" ca="1" si="20"/>
        <v>0.39662980416543181</v>
      </c>
      <c r="S61" s="307">
        <f t="shared" ca="1" si="21"/>
        <v>5.885965001578918</v>
      </c>
      <c r="T61" s="304">
        <f t="shared" ca="1" si="1"/>
        <v>57.741316665489187</v>
      </c>
      <c r="U61" s="311">
        <f t="shared" ca="1" si="2"/>
        <v>0</v>
      </c>
      <c r="V61" s="306">
        <f t="shared" ca="1" si="3"/>
        <v>1.2159771742684435</v>
      </c>
      <c r="W61" s="304">
        <f t="shared" ca="1" si="4"/>
        <v>101.19269118807095</v>
      </c>
      <c r="Y61" s="314" t="str">
        <f t="shared" ca="1" si="22"/>
        <v/>
      </c>
      <c r="Z61" s="315" t="str">
        <f t="shared" ca="1" si="23"/>
        <v/>
      </c>
      <c r="AA61" s="316" t="str">
        <f t="shared" ca="1" si="24"/>
        <v/>
      </c>
      <c r="AC61" s="310" t="e">
        <f t="shared" ca="1" si="25"/>
        <v>#N/A</v>
      </c>
      <c r="AD61" s="323" t="e">
        <f t="shared" ca="1" si="26"/>
        <v>#N/A</v>
      </c>
      <c r="AE61" s="324">
        <f t="shared" ca="1" si="5"/>
        <v>73.927981192699065</v>
      </c>
      <c r="AG61" s="306">
        <f t="shared" ca="1" si="27"/>
        <v>107.65375224682393</v>
      </c>
      <c r="AH61" s="304">
        <f t="shared" ca="1" si="28"/>
        <v>117.30281835890088</v>
      </c>
    </row>
    <row r="62" spans="1:34" x14ac:dyDescent="0.2">
      <c r="A62" s="347">
        <f t="shared" ca="1" si="6"/>
        <v>0.01</v>
      </c>
      <c r="B62" s="304">
        <f t="shared" ca="1" si="7"/>
        <v>0.58000000000000029</v>
      </c>
      <c r="D62" s="306">
        <f t="shared" ca="1" si="8"/>
        <v>21.11087981215956</v>
      </c>
      <c r="E62" s="307">
        <f t="shared" ca="1" si="9"/>
        <v>105.22866618693325</v>
      </c>
      <c r="F62" s="304">
        <f t="shared" ca="1" si="10"/>
        <v>107.32539976130755</v>
      </c>
      <c r="G62" s="306">
        <f t="shared" ca="1" si="11"/>
        <v>29.926424484747308</v>
      </c>
      <c r="H62" s="307">
        <f t="shared" ca="1" si="12"/>
        <v>162.97875833568943</v>
      </c>
      <c r="I62" s="304">
        <f t="shared" ca="1" si="13"/>
        <v>165.70355020663962</v>
      </c>
      <c r="J62" s="306">
        <f t="shared" ca="1" si="14"/>
        <v>13.622830337125105</v>
      </c>
      <c r="K62" s="307">
        <f t="shared" ca="1" si="15"/>
        <v>75.552507342746608</v>
      </c>
      <c r="L62" s="304">
        <f t="shared" ca="1" si="0"/>
        <v>76.770846498979523</v>
      </c>
      <c r="M62" s="306">
        <f t="shared" ca="1" si="16"/>
        <v>1.3891976494749521</v>
      </c>
      <c r="N62" s="304">
        <f t="shared" ca="1" si="17"/>
        <v>79.59516222440908</v>
      </c>
      <c r="P62" s="310">
        <f t="shared" ca="1" si="18"/>
        <v>3</v>
      </c>
      <c r="Q62" s="304">
        <f t="shared" ca="1" si="19"/>
        <v>789.15</v>
      </c>
      <c r="R62" s="306">
        <f t="shared" ca="1" si="20"/>
        <v>0.39603761714366215</v>
      </c>
      <c r="S62" s="307">
        <f t="shared" ca="1" si="21"/>
        <v>5.8820046254074816</v>
      </c>
      <c r="T62" s="304">
        <f t="shared" ca="1" si="1"/>
        <v>57.702465375247399</v>
      </c>
      <c r="U62" s="311">
        <f t="shared" ca="1" si="2"/>
        <v>0</v>
      </c>
      <c r="V62" s="306">
        <f t="shared" ca="1" si="3"/>
        <v>1.2157796488827881</v>
      </c>
      <c r="W62" s="304">
        <f t="shared" ca="1" si="4"/>
        <v>102.49954427143348</v>
      </c>
      <c r="Y62" s="314" t="str">
        <f t="shared" ca="1" si="22"/>
        <v/>
      </c>
      <c r="Z62" s="315" t="str">
        <f t="shared" ca="1" si="23"/>
        <v/>
      </c>
      <c r="AA62" s="316" t="str">
        <f t="shared" ca="1" si="24"/>
        <v/>
      </c>
      <c r="AC62" s="310" t="e">
        <f t="shared" ca="1" si="25"/>
        <v>#N/A</v>
      </c>
      <c r="AD62" s="323" t="e">
        <f t="shared" ca="1" si="26"/>
        <v>#N/A</v>
      </c>
      <c r="AE62" s="324">
        <f t="shared" ca="1" si="5"/>
        <v>75.552507342746608</v>
      </c>
      <c r="AG62" s="306">
        <f t="shared" ca="1" si="27"/>
        <v>107.31079227553293</v>
      </c>
      <c r="AH62" s="304">
        <f t="shared" ca="1" si="28"/>
        <v>116.95966811047349</v>
      </c>
    </row>
    <row r="63" spans="1:34" x14ac:dyDescent="0.2">
      <c r="A63" s="347">
        <f t="shared" ca="1" si="6"/>
        <v>0.01</v>
      </c>
      <c r="B63" s="304">
        <f t="shared" ca="1" si="7"/>
        <v>0.5900000000000003</v>
      </c>
      <c r="D63" s="306">
        <f t="shared" ca="1" si="8"/>
        <v>21.060974923003496</v>
      </c>
      <c r="E63" s="307">
        <f t="shared" ca="1" si="9"/>
        <v>104.88768277996759</v>
      </c>
      <c r="F63" s="304">
        <f t="shared" ca="1" si="10"/>
        <v>106.98126314293776</v>
      </c>
      <c r="G63" s="306">
        <f t="shared" ca="1" si="11"/>
        <v>30.137034233977342</v>
      </c>
      <c r="H63" s="307">
        <f t="shared" ca="1" si="12"/>
        <v>164.02763516348912</v>
      </c>
      <c r="I63" s="304">
        <f t="shared" ca="1" si="13"/>
        <v>166.77321706361192</v>
      </c>
      <c r="J63" s="306">
        <f t="shared" ca="1" si="14"/>
        <v>13.923147630718729</v>
      </c>
      <c r="K63" s="307">
        <f t="shared" ca="1" si="15"/>
        <v>77.187539310242499</v>
      </c>
      <c r="L63" s="304">
        <f t="shared" ca="1" si="0"/>
        <v>78.433221690282622</v>
      </c>
      <c r="M63" s="306">
        <f t="shared" ca="1" si="16"/>
        <v>1.3890914149401936</v>
      </c>
      <c r="N63" s="304">
        <f t="shared" ca="1" si="17"/>
        <v>79.589075433928883</v>
      </c>
      <c r="P63" s="310">
        <f t="shared" ca="1" si="18"/>
        <v>3</v>
      </c>
      <c r="Q63" s="304">
        <f t="shared" ca="1" si="19"/>
        <v>787.96999999999991</v>
      </c>
      <c r="R63" s="306">
        <f t="shared" ca="1" si="20"/>
        <v>0.39544543012189248</v>
      </c>
      <c r="S63" s="307">
        <f t="shared" ca="1" si="21"/>
        <v>5.8780501711062625</v>
      </c>
      <c r="T63" s="304">
        <f t="shared" ca="1" si="1"/>
        <v>57.663672178552439</v>
      </c>
      <c r="U63" s="311">
        <f t="shared" ca="1" si="2"/>
        <v>0</v>
      </c>
      <c r="V63" s="306">
        <f t="shared" ca="1" si="3"/>
        <v>1.2155808783755282</v>
      </c>
      <c r="W63" s="304">
        <f t="shared" ca="1" si="4"/>
        <v>103.81017211366444</v>
      </c>
      <c r="Y63" s="314" t="str">
        <f t="shared" ca="1" si="22"/>
        <v/>
      </c>
      <c r="Z63" s="315" t="str">
        <f t="shared" ca="1" si="23"/>
        <v/>
      </c>
      <c r="AA63" s="316" t="str">
        <f t="shared" ca="1" si="24"/>
        <v/>
      </c>
      <c r="AC63" s="310" t="e">
        <f t="shared" ca="1" si="25"/>
        <v>#N/A</v>
      </c>
      <c r="AD63" s="323" t="e">
        <f t="shared" ca="1" si="26"/>
        <v>#N/A</v>
      </c>
      <c r="AE63" s="324">
        <f t="shared" ca="1" si="5"/>
        <v>77.187539310242499</v>
      </c>
      <c r="AG63" s="306">
        <f t="shared" ca="1" si="27"/>
        <v>106.9665915889652</v>
      </c>
      <c r="AH63" s="304">
        <f t="shared" ca="1" si="28"/>
        <v>116.61527815771592</v>
      </c>
    </row>
    <row r="64" spans="1:34" x14ac:dyDescent="0.2">
      <c r="A64" s="347">
        <f t="shared" ca="1" si="6"/>
        <v>0.01</v>
      </c>
      <c r="B64" s="304">
        <f t="shared" ca="1" si="7"/>
        <v>0.60000000000000031</v>
      </c>
      <c r="D64" s="306">
        <f t="shared" ca="1" si="8"/>
        <v>21.010704997147837</v>
      </c>
      <c r="E64" s="307">
        <f t="shared" ca="1" si="9"/>
        <v>104.54552108556074</v>
      </c>
      <c r="F64" s="304">
        <f t="shared" ca="1" si="10"/>
        <v>106.63590250721657</v>
      </c>
      <c r="G64" s="306">
        <f t="shared" ca="1" si="11"/>
        <v>30.347141283948822</v>
      </c>
      <c r="H64" s="307">
        <f t="shared" ca="1" si="12"/>
        <v>165.07309037434473</v>
      </c>
      <c r="I64" s="304">
        <f t="shared" ca="1" si="13"/>
        <v>167.83942966372513</v>
      </c>
      <c r="J64" s="306">
        <f t="shared" ca="1" si="14"/>
        <v>14.22556850830836</v>
      </c>
      <c r="K64" s="307">
        <f t="shared" ca="1" si="15"/>
        <v>78.833042937931666</v>
      </c>
      <c r="L64" s="304">
        <f t="shared" ca="1" si="0"/>
        <v>80.106276022783334</v>
      </c>
      <c r="M64" s="306">
        <f t="shared" ca="1" si="16"/>
        <v>1.3889857941972172</v>
      </c>
      <c r="N64" s="304">
        <f t="shared" ca="1" si="17"/>
        <v>79.583023811127305</v>
      </c>
      <c r="P64" s="310">
        <f t="shared" ca="1" si="18"/>
        <v>3</v>
      </c>
      <c r="Q64" s="304">
        <f t="shared" ca="1" si="19"/>
        <v>786.79</v>
      </c>
      <c r="R64" s="306">
        <f t="shared" ca="1" si="20"/>
        <v>0.39485324310012287</v>
      </c>
      <c r="S64" s="307">
        <f t="shared" ca="1" si="21"/>
        <v>5.8741016386752616</v>
      </c>
      <c r="T64" s="304">
        <f t="shared" ca="1" si="1"/>
        <v>57.624937075404318</v>
      </c>
      <c r="U64" s="311">
        <f t="shared" ca="1" si="2"/>
        <v>0</v>
      </c>
      <c r="V64" s="306">
        <f t="shared" ca="1" si="3"/>
        <v>1.215380867514317</v>
      </c>
      <c r="W64" s="304">
        <f t="shared" ca="1" si="4"/>
        <v>105.12447115620259</v>
      </c>
      <c r="Y64" s="314" t="str">
        <f t="shared" ca="1" si="22"/>
        <v/>
      </c>
      <c r="Z64" s="315" t="str">
        <f t="shared" ca="1" si="23"/>
        <v/>
      </c>
      <c r="AA64" s="316" t="str">
        <f t="shared" ca="1" si="24"/>
        <v/>
      </c>
      <c r="AC64" s="310" t="e">
        <f t="shared" ca="1" si="25"/>
        <v>#N/A</v>
      </c>
      <c r="AD64" s="323" t="e">
        <f t="shared" ca="1" si="26"/>
        <v>#N/A</v>
      </c>
      <c r="AE64" s="324">
        <f t="shared" ca="1" si="5"/>
        <v>78.833042937931666</v>
      </c>
      <c r="AG64" s="306">
        <f t="shared" ca="1" si="27"/>
        <v>106.62116639265814</v>
      </c>
      <c r="AH64" s="304">
        <f t="shared" ca="1" si="28"/>
        <v>116.26966469043978</v>
      </c>
    </row>
    <row r="65" spans="1:34" x14ac:dyDescent="0.2">
      <c r="A65" s="347">
        <f t="shared" ca="1" si="6"/>
        <v>0.01</v>
      </c>
      <c r="B65" s="304">
        <f t="shared" ca="1" si="7"/>
        <v>0.61000000000000032</v>
      </c>
      <c r="D65" s="306">
        <f t="shared" ca="1" si="8"/>
        <v>20.960074338571086</v>
      </c>
      <c r="E65" s="307">
        <f t="shared" ca="1" si="9"/>
        <v>104.20219683825574</v>
      </c>
      <c r="F65" s="304">
        <f t="shared" ca="1" si="10"/>
        <v>106.28933409424025</v>
      </c>
      <c r="G65" s="306">
        <f t="shared" ca="1" si="11"/>
        <v>30.556742027334533</v>
      </c>
      <c r="H65" s="307">
        <f t="shared" ca="1" si="12"/>
        <v>166.11511234272729</v>
      </c>
      <c r="I65" s="304">
        <f t="shared" ca="1" si="13"/>
        <v>168.90217592429642</v>
      </c>
      <c r="J65" s="306">
        <f t="shared" ca="1" si="14"/>
        <v>14.530087924864777</v>
      </c>
      <c r="K65" s="307">
        <f t="shared" ca="1" si="15"/>
        <v>80.488983951517028</v>
      </c>
      <c r="L65" s="304">
        <f t="shared" ca="1" si="0"/>
        <v>81.78997489088664</v>
      </c>
      <c r="M65" s="306">
        <f t="shared" ca="1" si="16"/>
        <v>1.388880777693545</v>
      </c>
      <c r="N65" s="304">
        <f t="shared" ca="1" si="17"/>
        <v>79.577006808687656</v>
      </c>
      <c r="P65" s="310">
        <f t="shared" ca="1" si="18"/>
        <v>3</v>
      </c>
      <c r="Q65" s="304">
        <f t="shared" ca="1" si="19"/>
        <v>785.61</v>
      </c>
      <c r="R65" s="306">
        <f t="shared" ca="1" si="20"/>
        <v>0.39426105607835321</v>
      </c>
      <c r="S65" s="307">
        <f t="shared" ca="1" si="21"/>
        <v>5.870159028114478</v>
      </c>
      <c r="T65" s="304">
        <f t="shared" ca="1" si="1"/>
        <v>57.586260065803032</v>
      </c>
      <c r="U65" s="311">
        <f t="shared" ca="1" si="2"/>
        <v>0</v>
      </c>
      <c r="V65" s="306">
        <f t="shared" ca="1" si="3"/>
        <v>1.2151796210819958</v>
      </c>
      <c r="W65" s="304">
        <f t="shared" ca="1" si="4"/>
        <v>106.44233798243643</v>
      </c>
      <c r="Y65" s="314" t="str">
        <f t="shared" ca="1" si="22"/>
        <v/>
      </c>
      <c r="Z65" s="315" t="str">
        <f t="shared" ca="1" si="23"/>
        <v/>
      </c>
      <c r="AA65" s="316" t="str">
        <f t="shared" ca="1" si="24"/>
        <v/>
      </c>
      <c r="AC65" s="310" t="e">
        <f t="shared" ca="1" si="25"/>
        <v>#N/A</v>
      </c>
      <c r="AD65" s="323" t="e">
        <f t="shared" ca="1" si="26"/>
        <v>#N/A</v>
      </c>
      <c r="AE65" s="324">
        <f t="shared" ca="1" si="5"/>
        <v>80.488983951517028</v>
      </c>
      <c r="AG65" s="306">
        <f t="shared" ca="1" si="27"/>
        <v>106.27453292053477</v>
      </c>
      <c r="AH65" s="304">
        <f t="shared" ca="1" si="28"/>
        <v>115.92284392717252</v>
      </c>
    </row>
    <row r="66" spans="1:34" x14ac:dyDescent="0.2">
      <c r="A66" s="347">
        <f t="shared" ca="1" si="6"/>
        <v>0.01</v>
      </c>
      <c r="B66" s="304">
        <f t="shared" ca="1" si="7"/>
        <v>0.62000000000000033</v>
      </c>
      <c r="D66" s="306">
        <f t="shared" ca="1" si="8"/>
        <v>20.909087229984181</v>
      </c>
      <c r="E66" s="307">
        <f t="shared" ca="1" si="9"/>
        <v>103.85772580288993</v>
      </c>
      <c r="F66" s="304">
        <f t="shared" ca="1" si="10"/>
        <v>105.94157417057458</v>
      </c>
      <c r="G66" s="306">
        <f t="shared" ca="1" si="11"/>
        <v>30.765832899634376</v>
      </c>
      <c r="H66" s="307">
        <f t="shared" ca="1" si="12"/>
        <v>167.15368960075619</v>
      </c>
      <c r="I66" s="304">
        <f t="shared" ca="1" si="13"/>
        <v>169.96144392524494</v>
      </c>
      <c r="J66" s="306">
        <f t="shared" ca="1" si="14"/>
        <v>14.836700799499621</v>
      </c>
      <c r="K66" s="307">
        <f t="shared" ca="1" si="15"/>
        <v>82.155327961234448</v>
      </c>
      <c r="L66" s="304">
        <f t="shared" ca="1" si="0"/>
        <v>83.484283569015929</v>
      </c>
      <c r="M66" s="306">
        <f t="shared" ca="1" si="16"/>
        <v>1.3887763560800956</v>
      </c>
      <c r="N66" s="304">
        <f t="shared" ca="1" si="17"/>
        <v>79.57102389094706</v>
      </c>
      <c r="P66" s="310">
        <f t="shared" ca="1" si="18"/>
        <v>3</v>
      </c>
      <c r="Q66" s="304">
        <f t="shared" ca="1" si="19"/>
        <v>784.43</v>
      </c>
      <c r="R66" s="306">
        <f t="shared" ca="1" si="20"/>
        <v>0.39366886905658355</v>
      </c>
      <c r="S66" s="307">
        <f t="shared" ca="1" si="21"/>
        <v>5.8662223394239126</v>
      </c>
      <c r="T66" s="304">
        <f t="shared" ca="1" si="1"/>
        <v>57.547641149748586</v>
      </c>
      <c r="U66" s="311">
        <f t="shared" ca="1" si="2"/>
        <v>0</v>
      </c>
      <c r="V66" s="306">
        <f t="shared" ca="1" si="3"/>
        <v>1.2149771438763461</v>
      </c>
      <c r="W66" s="304">
        <f t="shared" ca="1" si="4"/>
        <v>107.76366932876863</v>
      </c>
      <c r="Y66" s="314" t="str">
        <f t="shared" ca="1" si="22"/>
        <v/>
      </c>
      <c r="Z66" s="315" t="str">
        <f t="shared" ca="1" si="23"/>
        <v/>
      </c>
      <c r="AA66" s="316" t="str">
        <f t="shared" ca="1" si="24"/>
        <v/>
      </c>
      <c r="AC66" s="310" t="e">
        <f t="shared" ca="1" si="25"/>
        <v>#N/A</v>
      </c>
      <c r="AD66" s="323" t="e">
        <f t="shared" ca="1" si="26"/>
        <v>#N/A</v>
      </c>
      <c r="AE66" s="324">
        <f t="shared" ca="1" si="5"/>
        <v>82.155327961234448</v>
      </c>
      <c r="AG66" s="306">
        <f t="shared" ca="1" si="27"/>
        <v>105.92670743294579</v>
      </c>
      <c r="AH66" s="304">
        <f t="shared" ca="1" si="28"/>
        <v>115.57483211319001</v>
      </c>
    </row>
    <row r="67" spans="1:34" x14ac:dyDescent="0.2">
      <c r="A67" s="347">
        <f t="shared" ca="1" si="6"/>
        <v>0.01</v>
      </c>
      <c r="B67" s="304">
        <f t="shared" ca="1" si="7"/>
        <v>0.63000000000000034</v>
      </c>
      <c r="D67" s="306">
        <f t="shared" ca="1" si="8"/>
        <v>20.857747933323008</v>
      </c>
      <c r="E67" s="307">
        <f t="shared" ca="1" si="9"/>
        <v>103.51212377253474</v>
      </c>
      <c r="F67" s="304">
        <f t="shared" ca="1" si="10"/>
        <v>105.59263902730432</v>
      </c>
      <c r="G67" s="306">
        <f t="shared" ca="1" si="11"/>
        <v>30.974410378967605</v>
      </c>
      <c r="H67" s="307">
        <f t="shared" ca="1" si="12"/>
        <v>168.18881083848154</v>
      </c>
      <c r="I67" s="304">
        <f t="shared" ca="1" si="13"/>
        <v>171.01722190933643</v>
      </c>
      <c r="J67" s="306">
        <f t="shared" ca="1" si="14"/>
        <v>15.14540201589263</v>
      </c>
      <c r="K67" s="307">
        <f t="shared" ca="1" si="15"/>
        <v>83.83204046343063</v>
      </c>
      <c r="L67" s="304">
        <f t="shared" ca="1" si="0"/>
        <v>85.189167213239472</v>
      </c>
      <c r="M67" s="306">
        <f t="shared" ca="1" si="16"/>
        <v>1.3886725202053751</v>
      </c>
      <c r="N67" s="304">
        <f t="shared" ca="1" si="17"/>
        <v>79.565074533563532</v>
      </c>
      <c r="P67" s="310">
        <f t="shared" ca="1" si="18"/>
        <v>3</v>
      </c>
      <c r="Q67" s="304">
        <f t="shared" ca="1" si="19"/>
        <v>783.25</v>
      </c>
      <c r="R67" s="306">
        <f t="shared" ca="1" si="20"/>
        <v>0.39307668203481394</v>
      </c>
      <c r="S67" s="307">
        <f t="shared" ca="1" si="21"/>
        <v>5.8622915726035645</v>
      </c>
      <c r="T67" s="304">
        <f t="shared" ca="1" si="1"/>
        <v>57.509080327240973</v>
      </c>
      <c r="U67" s="311">
        <f t="shared" ca="1" si="2"/>
        <v>0</v>
      </c>
      <c r="V67" s="306">
        <f t="shared" ca="1" si="3"/>
        <v>1.2147734407098403</v>
      </c>
      <c r="W67" s="304">
        <f t="shared" ca="1" si="4"/>
        <v>109.08836209559615</v>
      </c>
      <c r="Y67" s="314" t="str">
        <f t="shared" ca="1" si="22"/>
        <v/>
      </c>
      <c r="Z67" s="315" t="str">
        <f t="shared" ca="1" si="23"/>
        <v/>
      </c>
      <c r="AA67" s="316" t="str">
        <f t="shared" ca="1" si="24"/>
        <v/>
      </c>
      <c r="AC67" s="310" t="e">
        <f t="shared" ca="1" si="25"/>
        <v>#N/A</v>
      </c>
      <c r="AD67" s="323" t="e">
        <f t="shared" ca="1" si="26"/>
        <v>#N/A</v>
      </c>
      <c r="AE67" s="324">
        <f t="shared" ca="1" si="5"/>
        <v>83.83204046343063</v>
      </c>
      <c r="AG67" s="306">
        <f t="shared" ca="1" si="27"/>
        <v>105.57770621471718</v>
      </c>
      <c r="AH67" s="304">
        <f t="shared" ca="1" si="28"/>
        <v>115.22564551855513</v>
      </c>
    </row>
    <row r="68" spans="1:34" x14ac:dyDescent="0.2">
      <c r="A68" s="347">
        <f t="shared" ca="1" si="6"/>
        <v>0.01</v>
      </c>
      <c r="B68" s="304">
        <f t="shared" ca="1" si="7"/>
        <v>0.64000000000000035</v>
      </c>
      <c r="D68" s="306">
        <f t="shared" ca="1" si="8"/>
        <v>20.806060690210682</v>
      </c>
      <c r="E68" s="307">
        <f t="shared" ca="1" si="9"/>
        <v>103.16540656644598</v>
      </c>
      <c r="F68" s="304">
        <f t="shared" ca="1" si="10"/>
        <v>105.24254497808776</v>
      </c>
      <c r="G68" s="306">
        <f t="shared" ca="1" si="11"/>
        <v>31.18247098586971</v>
      </c>
      <c r="H68" s="307">
        <f t="shared" ca="1" si="12"/>
        <v>169.22046490414601</v>
      </c>
      <c r="I68" s="304">
        <f t="shared" ca="1" si="13"/>
        <v>172.06949828240889</v>
      </c>
      <c r="J68" s="306">
        <f t="shared" ca="1" si="14"/>
        <v>15.456186422716817</v>
      </c>
      <c r="K68" s="307">
        <f t="shared" ca="1" si="15"/>
        <v>85.519086842143764</v>
      </c>
      <c r="L68" s="304">
        <f t="shared" ref="L68:L131" ca="1" si="29">SQRT(pos_x^2+pos_z^2)</f>
        <v>86.904590862899198</v>
      </c>
      <c r="M68" s="306">
        <f t="shared" ca="1" si="16"/>
        <v>1.3885692611098781</v>
      </c>
      <c r="N68" s="304">
        <f t="shared" ca="1" si="17"/>
        <v>79.559158223195212</v>
      </c>
      <c r="P68" s="310">
        <f t="shared" ca="1" si="18"/>
        <v>3</v>
      </c>
      <c r="Q68" s="304">
        <f t="shared" ca="1" si="19"/>
        <v>782.06999999999994</v>
      </c>
      <c r="R68" s="306">
        <f t="shared" ca="1" si="20"/>
        <v>0.39248449501304422</v>
      </c>
      <c r="S68" s="307">
        <f t="shared" ca="1" si="21"/>
        <v>5.8583667276534337</v>
      </c>
      <c r="T68" s="304">
        <f t="shared" ref="T68:T131" ca="1" si="30">m*g</f>
        <v>57.470577598280187</v>
      </c>
      <c r="U68" s="311">
        <f t="shared" ref="U68:U131" ca="1" si="31">IF(pos_xz&lt;L_rampe,Poids*COS(Beta),0)</f>
        <v>0</v>
      </c>
      <c r="V68" s="306">
        <f t="shared" ref="V68:V131" ca="1" si="32">Rho_moyen*(20000-Alt_rampe-pos_z)/(20000+Alt_rampe+pos_z)</f>
        <v>1.2145685164093911</v>
      </c>
      <c r="W68" s="304">
        <f t="shared" ref="W68:W131" ca="1" si="33">1/2*Rho*Sref*Cx*vit_xz^2</f>
        <v>110.41631335820463</v>
      </c>
      <c r="Y68" s="314" t="str">
        <f t="shared" ca="1" si="22"/>
        <v/>
      </c>
      <c r="Z68" s="315" t="str">
        <f t="shared" ca="1" si="23"/>
        <v/>
      </c>
      <c r="AA68" s="316" t="str">
        <f t="shared" ca="1" si="24"/>
        <v/>
      </c>
      <c r="AC68" s="310" t="e">
        <f t="shared" ca="1" si="25"/>
        <v>#N/A</v>
      </c>
      <c r="AD68" s="323" t="e">
        <f t="shared" ca="1" si="26"/>
        <v>#N/A</v>
      </c>
      <c r="AE68" s="324">
        <f t="shared" ref="AE68:AE131" ca="1" si="34">IF(t&lt;T_para, pos_z, NA())</f>
        <v>85.519086842143764</v>
      </c>
      <c r="AG68" s="306">
        <f t="shared" ca="1" si="27"/>
        <v>105.22754557320327</v>
      </c>
      <c r="AH68" s="304">
        <f t="shared" ca="1" si="28"/>
        <v>114.87530043616206</v>
      </c>
    </row>
    <row r="69" spans="1:34" x14ac:dyDescent="0.2">
      <c r="A69" s="347">
        <f t="shared" ref="A69:A132" ca="1" si="35">IF(B68+0.01&lt;=T_ini+ROUNDUP(Temps_fin_propu,0), 0.01, IF(K68&gt;0, 0.1, 0.0001))</f>
        <v>0.01</v>
      </c>
      <c r="B69" s="304">
        <f t="shared" ref="B69:B132" ca="1" si="36">B68+pas</f>
        <v>0.65000000000000036</v>
      </c>
      <c r="D69" s="306">
        <f t="shared" ref="D69:D132" ca="1" si="37">IF(AND(L68&lt;L_rampe,Poussee&lt;Poids*SIN(M68)),0,(-W68+Poussee)/m*COS(M68)-U68/m*SIN(M68))</f>
        <v>20.754029722390218</v>
      </c>
      <c r="E69" s="307">
        <f t="shared" ref="E69:E132" ca="1" si="38">IF(AND(L68&lt;L_rampe,Poussee&lt;Poids*SIN(M68)),0,(-W68+Poussee)/m*SIN(M68)+U68/m*COS(M68)-Poids/m)</f>
        <v>102.81759002802566</v>
      </c>
      <c r="F69" s="304">
        <f t="shared" ref="F69:F132" ca="1" si="39">SQRT(acc_x^2+acc_z^2)</f>
        <v>104.89130835721814</v>
      </c>
      <c r="G69" s="306">
        <f t="shared" ref="G69:G132" ca="1" si="40">G68+acc_x*pas</f>
        <v>31.39001128309361</v>
      </c>
      <c r="H69" s="307">
        <f t="shared" ref="H69:H132" ca="1" si="41">H68+acc_z*pas</f>
        <v>170.24864080442626</v>
      </c>
      <c r="I69" s="304">
        <f t="shared" ref="I69:I132" ca="1" si="42">SQRT(vit_x^2+vit_z^2)</f>
        <v>173.1182616135782</v>
      </c>
      <c r="J69" s="306">
        <f t="shared" ref="J69:J132" ca="1" si="43">J68+0.5*(vit_x+G68)*pas*(K68&gt;=0)</f>
        <v>15.769048834061634</v>
      </c>
      <c r="K69" s="307">
        <f t="shared" ref="K69:K132" ca="1" si="44">K68+0.5*(vit_z+H68)*pas</f>
        <v>87.216432370686618</v>
      </c>
      <c r="L69" s="304">
        <f t="shared" ca="1" si="29"/>
        <v>88.630519442241635</v>
      </c>
      <c r="M69" s="306">
        <f t="shared" ref="M69:M132" ca="1" si="45">IF(AND(L68&gt;L_rampe,G69&gt;0),ATAN2(G69,H69),$M$4)</f>
        <v>1.3884665700206831</v>
      </c>
      <c r="N69" s="304">
        <f t="shared" ref="N69:N132" ca="1" si="46">DEGREES(Beta)</f>
        <v>79.553274457190739</v>
      </c>
      <c r="P69" s="310">
        <f t="shared" ref="P69:P132" ca="1" si="47">MATCH(t-pas/2-T_ini,CdP_t)</f>
        <v>3</v>
      </c>
      <c r="Q69" s="304">
        <f t="shared" ref="Q69:Q132" ca="1" si="48">(INDEX(CdP,2,i_P+1)-INDEX(CdP,2,i_P+0))/(INDEX(CdP,1,i_P+1)-INDEX(CdP,1,i_P+0))*(t-pas/2-T_ini-INDEX(CdP,1,i_P+0))+INDEX(CdP,2,i_P+0)</f>
        <v>780.89</v>
      </c>
      <c r="R69" s="306">
        <f t="shared" ref="R69:R132" ca="1" si="49">Poussee/(g*ISP)</f>
        <v>0.39189230799127461</v>
      </c>
      <c r="S69" s="307">
        <f t="shared" ref="S69:S132" ca="1" si="50">S68-Débit*pas</f>
        <v>5.8544478045735211</v>
      </c>
      <c r="T69" s="304">
        <f t="shared" ca="1" si="30"/>
        <v>57.432132962866248</v>
      </c>
      <c r="U69" s="311">
        <f t="shared" ca="1" si="31"/>
        <v>0</v>
      </c>
      <c r="V69" s="306">
        <f t="shared" ca="1" si="32"/>
        <v>1.2143623758161022</v>
      </c>
      <c r="W69" s="304">
        <f t="shared" ca="1" si="33"/>
        <v>111.74742037757383</v>
      </c>
      <c r="Y69" s="314" t="str">
        <f t="shared" ref="Y69:Y132" ca="1" si="51">IF(AND(pos_z&lt;=0,K68&gt;0),"Impact balistique","") &amp; IF(AND(H70&lt;0,vit_z&gt;=0),"Apogée","") &amp; IF(AND(Poussee=0,Q68&gt;0),"Fin de propulsion","") &amp; IF(AND(L70&gt;L_rampe,pos_xz&lt;=L_rampe),"Sortie de rampe","")</f>
        <v/>
      </c>
      <c r="Z69" s="315" t="str">
        <f t="shared" ref="Z69:Z132" ca="1" si="52">IF(ABS(t-T_para)&lt;pas/2,"Para","")</f>
        <v/>
      </c>
      <c r="AA69" s="316" t="str">
        <f t="shared" ref="AA69:AA132" ca="1" si="53">IF(ABS(t-T_satellite)&lt;pas/2,"Satellite","")</f>
        <v/>
      </c>
      <c r="AC69" s="310" t="e">
        <f t="shared" ref="AC69:AC132" ca="1" si="54">IF(ABS(t-ROUND(t,0))&lt;0.001,t,NA())</f>
        <v>#N/A</v>
      </c>
      <c r="AD69" s="323" t="e">
        <f t="shared" ref="AD69:AD132" ca="1" si="55">IF(ABS(t-ROUND(t,0))&lt;0.001,pos_x,NA())</f>
        <v>#N/A</v>
      </c>
      <c r="AE69" s="324">
        <f t="shared" ca="1" si="34"/>
        <v>87.216432370686618</v>
      </c>
      <c r="AG69" s="306">
        <f t="shared" ref="AG69:AG132" ca="1" si="56">IF(AND(L68&lt;L_rampe,Poussee&lt;Poids*SIN(M68)),0,(-W68+Poussee)/m-Poids*SIN(M68)/m)</f>
        <v>104.87624183634635</v>
      </c>
      <c r="AH69" s="304">
        <f t="shared" ref="AH69:AH132" ca="1" si="57">IF(AND(L68&lt;L_rampe,Poussee&lt;Poids*SIN(M68)), g*SIN(M68), (-W68+Poussee)/m)</f>
        <v>114.52381317978755</v>
      </c>
    </row>
    <row r="70" spans="1:34" x14ac:dyDescent="0.2">
      <c r="A70" s="347">
        <f t="shared" ca="1" si="35"/>
        <v>0.01</v>
      </c>
      <c r="B70" s="304">
        <f t="shared" ca="1" si="36"/>
        <v>0.66000000000000036</v>
      </c>
      <c r="D70" s="306">
        <f t="shared" ca="1" si="37"/>
        <v>20.701659232129767</v>
      </c>
      <c r="E70" s="307">
        <f t="shared" ca="1" si="38"/>
        <v>102.4686900227947</v>
      </c>
      <c r="F70" s="304">
        <f t="shared" ca="1" si="39"/>
        <v>104.5389455176912</v>
      </c>
      <c r="G70" s="306">
        <f t="shared" ca="1" si="40"/>
        <v>31.597027875414909</v>
      </c>
      <c r="H70" s="307">
        <f t="shared" ca="1" si="41"/>
        <v>171.27332770465421</v>
      </c>
      <c r="I70" s="304">
        <f t="shared" ca="1" si="42"/>
        <v>174.16350063542481</v>
      </c>
      <c r="J70" s="306">
        <f t="shared" ca="1" si="43"/>
        <v>16.083984029854175</v>
      </c>
      <c r="K70" s="307">
        <f t="shared" ca="1" si="44"/>
        <v>88.924042213232028</v>
      </c>
      <c r="L70" s="304">
        <f t="shared" ca="1" si="29"/>
        <v>90.366917762050932</v>
      </c>
      <c r="M70" s="306">
        <f t="shared" ca="1" si="45"/>
        <v>1.3883644383462406</v>
      </c>
      <c r="N70" s="304">
        <f t="shared" ca="1" si="46"/>
        <v>79.547422743290582</v>
      </c>
      <c r="P70" s="310">
        <f t="shared" ca="1" si="47"/>
        <v>3</v>
      </c>
      <c r="Q70" s="304">
        <f t="shared" ca="1" si="48"/>
        <v>779.70999999999992</v>
      </c>
      <c r="R70" s="306">
        <f t="shared" ca="1" si="49"/>
        <v>0.39130012096950489</v>
      </c>
      <c r="S70" s="307">
        <f t="shared" ca="1" si="50"/>
        <v>5.8505348033638258</v>
      </c>
      <c r="T70" s="304">
        <f t="shared" ca="1" si="30"/>
        <v>57.393746420999136</v>
      </c>
      <c r="U70" s="311">
        <f t="shared" ca="1" si="31"/>
        <v>0</v>
      </c>
      <c r="V70" s="306">
        <f t="shared" ca="1" si="32"/>
        <v>1.2141550237850165</v>
      </c>
      <c r="W70" s="304">
        <f t="shared" ca="1" si="33"/>
        <v>113.08158061109364</v>
      </c>
      <c r="Y70" s="314" t="str">
        <f t="shared" ca="1" si="51"/>
        <v/>
      </c>
      <c r="Z70" s="315" t="str">
        <f t="shared" ca="1" si="52"/>
        <v/>
      </c>
      <c r="AA70" s="316" t="str">
        <f t="shared" ca="1" si="53"/>
        <v/>
      </c>
      <c r="AC70" s="310" t="e">
        <f t="shared" ca="1" si="54"/>
        <v>#N/A</v>
      </c>
      <c r="AD70" s="323" t="e">
        <f t="shared" ca="1" si="55"/>
        <v>#N/A</v>
      </c>
      <c r="AE70" s="324">
        <f t="shared" ca="1" si="34"/>
        <v>88.924042213232028</v>
      </c>
      <c r="AG70" s="306">
        <f t="shared" ca="1" si="56"/>
        <v>104.52381135074279</v>
      </c>
      <c r="AH70" s="304">
        <f t="shared" ca="1" si="57"/>
        <v>114.17120008214874</v>
      </c>
    </row>
    <row r="71" spans="1:34" x14ac:dyDescent="0.2">
      <c r="A71" s="347">
        <f t="shared" ca="1" si="35"/>
        <v>0.01</v>
      </c>
      <c r="B71" s="304">
        <f t="shared" ca="1" si="36"/>
        <v>0.67000000000000037</v>
      </c>
      <c r="D71" s="306">
        <f t="shared" ca="1" si="37"/>
        <v>20.648953402600863</v>
      </c>
      <c r="E71" s="307">
        <f t="shared" ca="1" si="38"/>
        <v>102.11872243637727</v>
      </c>
      <c r="F71" s="304">
        <f t="shared" ca="1" si="39"/>
        <v>104.18547282928002</v>
      </c>
      <c r="G71" s="306">
        <f t="shared" ca="1" si="40"/>
        <v>31.803517409440918</v>
      </c>
      <c r="H71" s="307">
        <f t="shared" ca="1" si="41"/>
        <v>172.29451492901799</v>
      </c>
      <c r="I71" s="304">
        <f t="shared" ca="1" si="42"/>
        <v>175.20520424416114</v>
      </c>
      <c r="J71" s="306">
        <f t="shared" ca="1" si="43"/>
        <v>16.400986756278453</v>
      </c>
      <c r="K71" s="307">
        <f t="shared" ca="1" si="44"/>
        <v>90.641881426400388</v>
      </c>
      <c r="L71" s="304">
        <f t="shared" ca="1" si="29"/>
        <v>92.113750521283464</v>
      </c>
      <c r="M71" s="306">
        <f t="shared" ca="1" si="45"/>
        <v>1.3882628576713401</v>
      </c>
      <c r="N71" s="304">
        <f t="shared" ca="1" si="46"/>
        <v>79.541602599338688</v>
      </c>
      <c r="P71" s="310">
        <f t="shared" ca="1" si="47"/>
        <v>3</v>
      </c>
      <c r="Q71" s="304">
        <f t="shared" ca="1" si="48"/>
        <v>778.53</v>
      </c>
      <c r="R71" s="306">
        <f t="shared" ca="1" si="49"/>
        <v>0.39070793394773529</v>
      </c>
      <c r="S71" s="307">
        <f t="shared" ca="1" si="50"/>
        <v>5.8466277240243487</v>
      </c>
      <c r="T71" s="304">
        <f t="shared" ca="1" si="30"/>
        <v>57.355417972678865</v>
      </c>
      <c r="U71" s="311">
        <f t="shared" ca="1" si="31"/>
        <v>0</v>
      </c>
      <c r="V71" s="306">
        <f t="shared" ca="1" si="32"/>
        <v>1.213946465184869</v>
      </c>
      <c r="W71" s="304">
        <f t="shared" ca="1" si="33"/>
        <v>114.41869172318906</v>
      </c>
      <c r="Y71" s="314" t="str">
        <f t="shared" ca="1" si="51"/>
        <v/>
      </c>
      <c r="Z71" s="315" t="str">
        <f t="shared" ca="1" si="52"/>
        <v/>
      </c>
      <c r="AA71" s="316" t="str">
        <f t="shared" ca="1" si="53"/>
        <v/>
      </c>
      <c r="AC71" s="310" t="e">
        <f t="shared" ca="1" si="54"/>
        <v>#N/A</v>
      </c>
      <c r="AD71" s="323" t="e">
        <f t="shared" ca="1" si="55"/>
        <v>#N/A</v>
      </c>
      <c r="AE71" s="324">
        <f t="shared" ca="1" si="34"/>
        <v>90.641881426400388</v>
      </c>
      <c r="AG71" s="306">
        <f t="shared" ca="1" si="56"/>
        <v>104.170270479716</v>
      </c>
      <c r="AH71" s="304">
        <f t="shared" ca="1" si="57"/>
        <v>113.81747749296839</v>
      </c>
    </row>
    <row r="72" spans="1:34" x14ac:dyDescent="0.2">
      <c r="A72" s="347">
        <f t="shared" ca="1" si="35"/>
        <v>0.01</v>
      </c>
      <c r="B72" s="304">
        <f t="shared" ca="1" si="36"/>
        <v>0.68000000000000038</v>
      </c>
      <c r="D72" s="306">
        <f t="shared" ca="1" si="37"/>
        <v>20.595916398231644</v>
      </c>
      <c r="E72" s="307">
        <f t="shared" ca="1" si="38"/>
        <v>101.7677031724966</v>
      </c>
      <c r="F72" s="304">
        <f t="shared" ca="1" si="39"/>
        <v>103.83090667661688</v>
      </c>
      <c r="G72" s="306">
        <f t="shared" ca="1" si="40"/>
        <v>32.009476573423235</v>
      </c>
      <c r="H72" s="307">
        <f t="shared" ca="1" si="41"/>
        <v>173.31219196074295</v>
      </c>
      <c r="I72" s="304">
        <f t="shared" ca="1" si="42"/>
        <v>176.24336149977947</v>
      </c>
      <c r="J72" s="306">
        <f t="shared" ca="1" si="43"/>
        <v>16.720051726192775</v>
      </c>
      <c r="K72" s="307">
        <f t="shared" ca="1" si="44"/>
        <v>92.369914960849187</v>
      </c>
      <c r="L72" s="304">
        <f t="shared" ca="1" si="29"/>
        <v>93.870982308704285</v>
      </c>
      <c r="M72" s="306">
        <f t="shared" ca="1" si="45"/>
        <v>1.3881618197522521</v>
      </c>
      <c r="N72" s="304">
        <f t="shared" ca="1" si="46"/>
        <v>79.535813553004161</v>
      </c>
      <c r="P72" s="310">
        <f t="shared" ca="1" si="47"/>
        <v>3</v>
      </c>
      <c r="Q72" s="304">
        <f t="shared" ca="1" si="48"/>
        <v>777.34999999999991</v>
      </c>
      <c r="R72" s="306">
        <f t="shared" ca="1" si="49"/>
        <v>0.39011574692596562</v>
      </c>
      <c r="S72" s="307">
        <f t="shared" ca="1" si="50"/>
        <v>5.8427265665550889</v>
      </c>
      <c r="T72" s="304">
        <f t="shared" ca="1" si="30"/>
        <v>57.317147617905427</v>
      </c>
      <c r="U72" s="311">
        <f t="shared" ca="1" si="31"/>
        <v>0</v>
      </c>
      <c r="V72" s="306">
        <f t="shared" ca="1" si="32"/>
        <v>1.2137367048978345</v>
      </c>
      <c r="W72" s="304">
        <f t="shared" ca="1" si="33"/>
        <v>115.75865159585088</v>
      </c>
      <c r="Y72" s="314" t="str">
        <f t="shared" ca="1" si="51"/>
        <v/>
      </c>
      <c r="Z72" s="315" t="str">
        <f t="shared" ca="1" si="52"/>
        <v/>
      </c>
      <c r="AA72" s="316" t="str">
        <f t="shared" ca="1" si="53"/>
        <v/>
      </c>
      <c r="AC72" s="310" t="e">
        <f t="shared" ca="1" si="54"/>
        <v>#N/A</v>
      </c>
      <c r="AD72" s="323" t="e">
        <f t="shared" ca="1" si="55"/>
        <v>#N/A</v>
      </c>
      <c r="AE72" s="324">
        <f t="shared" ca="1" si="34"/>
        <v>92.369914960849187</v>
      </c>
      <c r="AG72" s="306">
        <f t="shared" ca="1" si="56"/>
        <v>103.81563560139683</v>
      </c>
      <c r="AH72" s="304">
        <f t="shared" ca="1" si="57"/>
        <v>113.46266177704763</v>
      </c>
    </row>
    <row r="73" spans="1:34" x14ac:dyDescent="0.2">
      <c r="A73" s="347">
        <f t="shared" ca="1" si="35"/>
        <v>0.01</v>
      </c>
      <c r="B73" s="304">
        <f t="shared" ca="1" si="36"/>
        <v>0.69000000000000039</v>
      </c>
      <c r="D73" s="306">
        <f t="shared" ca="1" si="37"/>
        <v>20.542552365035789</v>
      </c>
      <c r="E73" s="307">
        <f t="shared" ca="1" si="38"/>
        <v>101.41564815098278</v>
      </c>
      <c r="F73" s="304">
        <f t="shared" ca="1" si="39"/>
        <v>103.47526345728322</v>
      </c>
      <c r="G73" s="306">
        <f t="shared" ca="1" si="40"/>
        <v>32.21490209707359</v>
      </c>
      <c r="H73" s="307">
        <f t="shared" ca="1" si="41"/>
        <v>174.32634844225277</v>
      </c>
      <c r="I73" s="304">
        <f t="shared" ca="1" si="42"/>
        <v>177.27796162618117</v>
      </c>
      <c r="J73" s="306">
        <f t="shared" ca="1" si="43"/>
        <v>17.041173619545258</v>
      </c>
      <c r="K73" s="307">
        <f t="shared" ca="1" si="44"/>
        <v>94.108107662864171</v>
      </c>
      <c r="L73" s="304">
        <f t="shared" ca="1" si="29"/>
        <v>95.638577604524841</v>
      </c>
      <c r="M73" s="306">
        <f t="shared" ca="1" si="45"/>
        <v>1.3880613165120359</v>
      </c>
      <c r="N73" s="304">
        <f t="shared" ca="1" si="46"/>
        <v>79.530055141512378</v>
      </c>
      <c r="P73" s="310">
        <f t="shared" ca="1" si="47"/>
        <v>3</v>
      </c>
      <c r="Q73" s="304">
        <f t="shared" ca="1" si="48"/>
        <v>776.17</v>
      </c>
      <c r="R73" s="306">
        <f t="shared" ca="1" si="49"/>
        <v>0.38952355990419596</v>
      </c>
      <c r="S73" s="307">
        <f t="shared" ca="1" si="50"/>
        <v>5.8388313309560473</v>
      </c>
      <c r="T73" s="304">
        <f t="shared" ca="1" si="30"/>
        <v>57.278935356678829</v>
      </c>
      <c r="U73" s="311">
        <f t="shared" ca="1" si="31"/>
        <v>0</v>
      </c>
      <c r="V73" s="306">
        <f t="shared" ca="1" si="32"/>
        <v>1.2135257478192778</v>
      </c>
      <c r="W73" s="304">
        <f t="shared" ca="1" si="33"/>
        <v>117.10135833907253</v>
      </c>
      <c r="Y73" s="314" t="str">
        <f t="shared" ca="1" si="51"/>
        <v/>
      </c>
      <c r="Z73" s="315" t="str">
        <f t="shared" ca="1" si="52"/>
        <v/>
      </c>
      <c r="AA73" s="316" t="str">
        <f t="shared" ca="1" si="53"/>
        <v/>
      </c>
      <c r="AC73" s="310" t="e">
        <f t="shared" ca="1" si="54"/>
        <v>#N/A</v>
      </c>
      <c r="AD73" s="323" t="e">
        <f t="shared" ca="1" si="55"/>
        <v>#N/A</v>
      </c>
      <c r="AE73" s="324">
        <f t="shared" ca="1" si="34"/>
        <v>94.108107662864171</v>
      </c>
      <c r="AG73" s="306">
        <f t="shared" ca="1" si="56"/>
        <v>103.45992310681186</v>
      </c>
      <c r="AH73" s="304">
        <f t="shared" ca="1" si="57"/>
        <v>113.1067693123469</v>
      </c>
    </row>
    <row r="74" spans="1:34" x14ac:dyDescent="0.2">
      <c r="A74" s="347">
        <f t="shared" ca="1" si="35"/>
        <v>0.01</v>
      </c>
      <c r="B74" s="304">
        <f t="shared" ca="1" si="36"/>
        <v>0.7000000000000004</v>
      </c>
      <c r="D74" s="306">
        <f t="shared" ca="1" si="37"/>
        <v>20.488865430918441</v>
      </c>
      <c r="E74" s="307">
        <f t="shared" ca="1" si="38"/>
        <v>101.06257330579237</v>
      </c>
      <c r="F74" s="304">
        <f t="shared" ca="1" si="39"/>
        <v>103.11855957990754</v>
      </c>
      <c r="G74" s="306">
        <f t="shared" ca="1" si="40"/>
        <v>32.419790751382777</v>
      </c>
      <c r="H74" s="307">
        <f t="shared" ca="1" si="41"/>
        <v>175.3369741753107</v>
      </c>
      <c r="I74" s="304">
        <f t="shared" ca="1" si="42"/>
        <v>178.30899401128653</v>
      </c>
      <c r="J74" s="306">
        <f t="shared" ca="1" si="43"/>
        <v>17.364347083787539</v>
      </c>
      <c r="K74" s="307">
        <f t="shared" ca="1" si="44"/>
        <v>95.856424275951994</v>
      </c>
      <c r="L74" s="304">
        <f t="shared" ca="1" si="29"/>
        <v>97.416500782041851</v>
      </c>
      <c r="M74" s="306">
        <f t="shared" ca="1" si="45"/>
        <v>1.3879613400360096</v>
      </c>
      <c r="N74" s="304">
        <f t="shared" ca="1" si="46"/>
        <v>79.524326911385486</v>
      </c>
      <c r="P74" s="310">
        <f t="shared" ca="1" si="47"/>
        <v>3</v>
      </c>
      <c r="Q74" s="304">
        <f t="shared" ca="1" si="48"/>
        <v>774.99</v>
      </c>
      <c r="R74" s="306">
        <f t="shared" ca="1" si="49"/>
        <v>0.38893137288242635</v>
      </c>
      <c r="S74" s="307">
        <f t="shared" ca="1" si="50"/>
        <v>5.8349420172272231</v>
      </c>
      <c r="T74" s="304">
        <f t="shared" ca="1" si="30"/>
        <v>57.240781188999058</v>
      </c>
      <c r="U74" s="311">
        <f t="shared" ca="1" si="31"/>
        <v>0</v>
      </c>
      <c r="V74" s="306">
        <f t="shared" ca="1" si="32"/>
        <v>1.2133135988575046</v>
      </c>
      <c r="W74" s="304">
        <f t="shared" ca="1" si="33"/>
        <v>118.44671030118991</v>
      </c>
      <c r="Y74" s="314" t="str">
        <f t="shared" ca="1" si="51"/>
        <v/>
      </c>
      <c r="Z74" s="315" t="str">
        <f t="shared" ca="1" si="52"/>
        <v/>
      </c>
      <c r="AA74" s="316" t="str">
        <f t="shared" ca="1" si="53"/>
        <v/>
      </c>
      <c r="AC74" s="310" t="e">
        <f t="shared" ca="1" si="54"/>
        <v>#N/A</v>
      </c>
      <c r="AD74" s="323" t="e">
        <f t="shared" ca="1" si="55"/>
        <v>#N/A</v>
      </c>
      <c r="AE74" s="324">
        <f t="shared" ca="1" si="34"/>
        <v>95.856424275951994</v>
      </c>
      <c r="AG74" s="306">
        <f t="shared" ca="1" si="56"/>
        <v>103.10314939797946</v>
      </c>
      <c r="AH74" s="304">
        <f t="shared" ca="1" si="57"/>
        <v>112.749816488075</v>
      </c>
    </row>
    <row r="75" spans="1:34" x14ac:dyDescent="0.2">
      <c r="A75" s="347">
        <f t="shared" ca="1" si="35"/>
        <v>0.01</v>
      </c>
      <c r="B75" s="304">
        <f t="shared" ca="1" si="36"/>
        <v>0.71000000000000041</v>
      </c>
      <c r="D75" s="306">
        <f t="shared" ca="1" si="37"/>
        <v>20.434859705959941</v>
      </c>
      <c r="E75" s="307">
        <f t="shared" ca="1" si="38"/>
        <v>100.70849458304025</v>
      </c>
      <c r="F75" s="304">
        <f t="shared" ca="1" si="39"/>
        <v>102.76081146227152</v>
      </c>
      <c r="G75" s="306">
        <f t="shared" ca="1" si="40"/>
        <v>32.624139348442377</v>
      </c>
      <c r="H75" s="307">
        <f t="shared" ca="1" si="41"/>
        <v>176.3440591211411</v>
      </c>
      <c r="I75" s="304">
        <f t="shared" ca="1" si="42"/>
        <v>179.33644820712573</v>
      </c>
      <c r="J75" s="306">
        <f t="shared" ca="1" si="43"/>
        <v>17.689566734286664</v>
      </c>
      <c r="K75" s="307">
        <f t="shared" ca="1" si="44"/>
        <v>97.614829442434257</v>
      </c>
      <c r="L75" s="304">
        <f t="shared" ca="1" si="29"/>
        <v>99.204716109277342</v>
      </c>
      <c r="M75" s="306">
        <f t="shared" ca="1" si="45"/>
        <v>1.3878618825673701</v>
      </c>
      <c r="N75" s="304">
        <f t="shared" ca="1" si="46"/>
        <v>79.518628418191383</v>
      </c>
      <c r="P75" s="310">
        <f t="shared" ca="1" si="47"/>
        <v>3</v>
      </c>
      <c r="Q75" s="304">
        <f t="shared" ca="1" si="48"/>
        <v>773.81</v>
      </c>
      <c r="R75" s="306">
        <f t="shared" ca="1" si="49"/>
        <v>0.38833918586065669</v>
      </c>
      <c r="S75" s="307">
        <f t="shared" ca="1" si="50"/>
        <v>5.8310586253686161</v>
      </c>
      <c r="T75" s="304">
        <f t="shared" ca="1" si="30"/>
        <v>57.202685114866128</v>
      </c>
      <c r="U75" s="311">
        <f t="shared" ca="1" si="31"/>
        <v>0</v>
      </c>
      <c r="V75" s="306">
        <f t="shared" ca="1" si="32"/>
        <v>1.2131002629335095</v>
      </c>
      <c r="W75" s="304">
        <f t="shared" ca="1" si="33"/>
        <v>119.79460607912301</v>
      </c>
      <c r="Y75" s="314" t="str">
        <f t="shared" ca="1" si="51"/>
        <v/>
      </c>
      <c r="Z75" s="315" t="str">
        <f t="shared" ca="1" si="52"/>
        <v/>
      </c>
      <c r="AA75" s="316" t="str">
        <f t="shared" ca="1" si="53"/>
        <v/>
      </c>
      <c r="AC75" s="310" t="e">
        <f t="shared" ca="1" si="54"/>
        <v>#N/A</v>
      </c>
      <c r="AD75" s="323" t="e">
        <f t="shared" ca="1" si="55"/>
        <v>#N/A</v>
      </c>
      <c r="AE75" s="324">
        <f t="shared" ca="1" si="34"/>
        <v>97.614829442434257</v>
      </c>
      <c r="AG75" s="306">
        <f t="shared" ca="1" si="56"/>
        <v>102.7453308860146</v>
      </c>
      <c r="AH75" s="304">
        <f t="shared" ca="1" si="57"/>
        <v>112.39181970278692</v>
      </c>
    </row>
    <row r="76" spans="1:34" x14ac:dyDescent="0.2">
      <c r="A76" s="347">
        <f t="shared" ca="1" si="35"/>
        <v>0.01</v>
      </c>
      <c r="B76" s="304">
        <f t="shared" ca="1" si="36"/>
        <v>0.72000000000000042</v>
      </c>
      <c r="D76" s="306">
        <f t="shared" ca="1" si="37"/>
        <v>20.380539282678903</v>
      </c>
      <c r="E76" s="307">
        <f t="shared" ca="1" si="38"/>
        <v>100.35342793904414</v>
      </c>
      <c r="F76" s="304">
        <f t="shared" ca="1" si="39"/>
        <v>102.40203552942559</v>
      </c>
      <c r="G76" s="306">
        <f t="shared" ca="1" si="40"/>
        <v>32.827944741269164</v>
      </c>
      <c r="H76" s="307">
        <f t="shared" ca="1" si="41"/>
        <v>177.34759340053154</v>
      </c>
      <c r="I76" s="304">
        <f t="shared" ca="1" si="42"/>
        <v>180.36031392991109</v>
      </c>
      <c r="J76" s="306">
        <f t="shared" ca="1" si="43"/>
        <v>18.016827154735221</v>
      </c>
      <c r="K76" s="307">
        <f t="shared" ca="1" si="44"/>
        <v>99.383287705042619</v>
      </c>
      <c r="L76" s="304">
        <f t="shared" ca="1" si="29"/>
        <v>101.00318775061943</v>
      </c>
      <c r="M76" s="306">
        <f t="shared" ca="1" si="45"/>
        <v>1.3877629365029633</v>
      </c>
      <c r="N76" s="304">
        <f t="shared" ca="1" si="46"/>
        <v>79.512959226301447</v>
      </c>
      <c r="P76" s="310">
        <f t="shared" ca="1" si="47"/>
        <v>3</v>
      </c>
      <c r="Q76" s="304">
        <f t="shared" ca="1" si="48"/>
        <v>772.63</v>
      </c>
      <c r="R76" s="306">
        <f t="shared" ca="1" si="49"/>
        <v>0.38774699883888702</v>
      </c>
      <c r="S76" s="307">
        <f t="shared" ca="1" si="50"/>
        <v>5.8271811553802273</v>
      </c>
      <c r="T76" s="304">
        <f t="shared" ca="1" si="30"/>
        <v>57.164647134280031</v>
      </c>
      <c r="U76" s="311">
        <f t="shared" ca="1" si="31"/>
        <v>0</v>
      </c>
      <c r="V76" s="306">
        <f t="shared" ca="1" si="32"/>
        <v>1.2128857449807282</v>
      </c>
      <c r="W76" s="304">
        <f t="shared" ca="1" si="33"/>
        <v>121.14494452851878</v>
      </c>
      <c r="Y76" s="314" t="str">
        <f t="shared" ca="1" si="51"/>
        <v/>
      </c>
      <c r="Z76" s="315" t="str">
        <f t="shared" ca="1" si="52"/>
        <v/>
      </c>
      <c r="AA76" s="316" t="str">
        <f t="shared" ca="1" si="53"/>
        <v/>
      </c>
      <c r="AC76" s="310" t="e">
        <f t="shared" ca="1" si="54"/>
        <v>#N/A</v>
      </c>
      <c r="AD76" s="323" t="e">
        <f t="shared" ca="1" si="55"/>
        <v>#N/A</v>
      </c>
      <c r="AE76" s="324">
        <f t="shared" ca="1" si="34"/>
        <v>99.383287705042619</v>
      </c>
      <c r="AG76" s="306">
        <f t="shared" ca="1" si="56"/>
        <v>102.38648398924248</v>
      </c>
      <c r="AH76" s="304">
        <f t="shared" ca="1" si="57"/>
        <v>112.03279536249102</v>
      </c>
    </row>
    <row r="77" spans="1:34" x14ac:dyDescent="0.2">
      <c r="A77" s="347">
        <f t="shared" ca="1" si="35"/>
        <v>0.01</v>
      </c>
      <c r="B77" s="304">
        <f t="shared" ca="1" si="36"/>
        <v>0.73000000000000043</v>
      </c>
      <c r="D77" s="306">
        <f t="shared" ca="1" si="37"/>
        <v>20.325908236274977</v>
      </c>
      <c r="E77" s="307">
        <f t="shared" ca="1" si="38"/>
        <v>99.997389338381254</v>
      </c>
      <c r="F77" s="304">
        <f t="shared" ca="1" si="39"/>
        <v>102.0422482118131</v>
      </c>
      <c r="G77" s="306">
        <f t="shared" ca="1" si="40"/>
        <v>33.031203823631913</v>
      </c>
      <c r="H77" s="307">
        <f t="shared" ca="1" si="41"/>
        <v>178.34756729391535</v>
      </c>
      <c r="I77" s="304">
        <f t="shared" ca="1" si="42"/>
        <v>181.38058106009026</v>
      </c>
      <c r="J77" s="306">
        <f t="shared" ca="1" si="43"/>
        <v>18.346122897559727</v>
      </c>
      <c r="K77" s="307">
        <f t="shared" ca="1" si="44"/>
        <v>101.16176350851485</v>
      </c>
      <c r="L77" s="304">
        <f t="shared" ca="1" si="29"/>
        <v>102.81187976846378</v>
      </c>
      <c r="M77" s="306">
        <f t="shared" ca="1" si="45"/>
        <v>1.3876644943891936</v>
      </c>
      <c r="N77" s="304">
        <f t="shared" ca="1" si="46"/>
        <v>79.507318908656103</v>
      </c>
      <c r="P77" s="310">
        <f t="shared" ca="1" si="47"/>
        <v>3</v>
      </c>
      <c r="Q77" s="304">
        <f t="shared" ca="1" si="48"/>
        <v>771.44999999999993</v>
      </c>
      <c r="R77" s="306">
        <f t="shared" ca="1" si="49"/>
        <v>0.38715481181711736</v>
      </c>
      <c r="S77" s="307">
        <f t="shared" ca="1" si="50"/>
        <v>5.8233096072620558</v>
      </c>
      <c r="T77" s="304">
        <f t="shared" ca="1" si="30"/>
        <v>57.126667247240768</v>
      </c>
      <c r="U77" s="311">
        <f t="shared" ca="1" si="31"/>
        <v>0</v>
      </c>
      <c r="V77" s="306">
        <f t="shared" ca="1" si="32"/>
        <v>1.2126700499447851</v>
      </c>
      <c r="W77" s="304">
        <f t="shared" ca="1" si="33"/>
        <v>122.49762477379167</v>
      </c>
      <c r="Y77" s="314" t="str">
        <f t="shared" ca="1" si="51"/>
        <v/>
      </c>
      <c r="Z77" s="315" t="str">
        <f t="shared" ca="1" si="52"/>
        <v/>
      </c>
      <c r="AA77" s="316" t="str">
        <f t="shared" ca="1" si="53"/>
        <v/>
      </c>
      <c r="AC77" s="310" t="e">
        <f t="shared" ca="1" si="54"/>
        <v>#N/A</v>
      </c>
      <c r="AD77" s="323" t="e">
        <f t="shared" ca="1" si="55"/>
        <v>#N/A</v>
      </c>
      <c r="AE77" s="324">
        <f t="shared" ca="1" si="34"/>
        <v>101.16176350851485</v>
      </c>
      <c r="AG77" s="306">
        <f t="shared" ca="1" si="56"/>
        <v>102.0266251313211</v>
      </c>
      <c r="AH77" s="304">
        <f t="shared" ca="1" si="57"/>
        <v>111.67275987876505</v>
      </c>
    </row>
    <row r="78" spans="1:34" x14ac:dyDescent="0.2">
      <c r="A78" s="347">
        <f t="shared" ca="1" si="35"/>
        <v>0.01</v>
      </c>
      <c r="B78" s="304">
        <f t="shared" ca="1" si="36"/>
        <v>0.74000000000000044</v>
      </c>
      <c r="D78" s="306">
        <f t="shared" ca="1" si="37"/>
        <v>20.270970624852744</v>
      </c>
      <c r="E78" s="307">
        <f t="shared" ca="1" si="38"/>
        <v>99.640394751958226</v>
      </c>
      <c r="F78" s="304">
        <f t="shared" ca="1" si="39"/>
        <v>101.68146594340439</v>
      </c>
      <c r="G78" s="306">
        <f t="shared" ca="1" si="40"/>
        <v>33.233913529880439</v>
      </c>
      <c r="H78" s="307">
        <f t="shared" ca="1" si="41"/>
        <v>179.34397124143493</v>
      </c>
      <c r="I78" s="304">
        <f t="shared" ca="1" si="42"/>
        <v>182.39723964238112</v>
      </c>
      <c r="J78" s="306">
        <f t="shared" ca="1" si="43"/>
        <v>18.677448484327289</v>
      </c>
      <c r="K78" s="307">
        <f t="shared" ca="1" si="44"/>
        <v>102.95022120119161</v>
      </c>
      <c r="L78" s="304">
        <f t="shared" ca="1" si="29"/>
        <v>104.63075612485548</v>
      </c>
      <c r="M78" s="306">
        <f t="shared" ca="1" si="45"/>
        <v>1.3875665489180697</v>
      </c>
      <c r="N78" s="304">
        <f t="shared" ca="1" si="46"/>
        <v>79.501707046538286</v>
      </c>
      <c r="P78" s="310">
        <f t="shared" ca="1" si="47"/>
        <v>3</v>
      </c>
      <c r="Q78" s="304">
        <f t="shared" ca="1" si="48"/>
        <v>770.27</v>
      </c>
      <c r="R78" s="306">
        <f t="shared" ca="1" si="49"/>
        <v>0.38656262479534775</v>
      </c>
      <c r="S78" s="307">
        <f t="shared" ca="1" si="50"/>
        <v>5.8194439810141025</v>
      </c>
      <c r="T78" s="304">
        <f t="shared" ca="1" si="30"/>
        <v>57.088745453748352</v>
      </c>
      <c r="U78" s="311">
        <f t="shared" ca="1" si="31"/>
        <v>0</v>
      </c>
      <c r="V78" s="306">
        <f t="shared" ca="1" si="32"/>
        <v>1.2124531827832461</v>
      </c>
      <c r="W78" s="304">
        <f t="shared" ca="1" si="33"/>
        <v>123.85254621806322</v>
      </c>
      <c r="Y78" s="314" t="str">
        <f t="shared" ca="1" si="51"/>
        <v/>
      </c>
      <c r="Z78" s="315" t="str">
        <f t="shared" ca="1" si="52"/>
        <v/>
      </c>
      <c r="AA78" s="316" t="str">
        <f t="shared" ca="1" si="53"/>
        <v/>
      </c>
      <c r="AC78" s="310" t="e">
        <f t="shared" ca="1" si="54"/>
        <v>#N/A</v>
      </c>
      <c r="AD78" s="323" t="e">
        <f t="shared" ca="1" si="55"/>
        <v>#N/A</v>
      </c>
      <c r="AE78" s="324">
        <f t="shared" ca="1" si="34"/>
        <v>102.95022120119161</v>
      </c>
      <c r="AG78" s="306">
        <f t="shared" ca="1" si="56"/>
        <v>101.66577073937371</v>
      </c>
      <c r="AH78" s="304">
        <f t="shared" ca="1" si="57"/>
        <v>111.3117296668825</v>
      </c>
    </row>
    <row r="79" spans="1:34" x14ac:dyDescent="0.2">
      <c r="A79" s="347">
        <f t="shared" ca="1" si="35"/>
        <v>0.01</v>
      </c>
      <c r="B79" s="304">
        <f t="shared" ca="1" si="36"/>
        <v>0.75000000000000044</v>
      </c>
      <c r="D79" s="306">
        <f t="shared" ca="1" si="37"/>
        <v>20.215730489627255</v>
      </c>
      <c r="E79" s="307">
        <f t="shared" ca="1" si="38"/>
        <v>99.282460155093673</v>
      </c>
      <c r="F79" s="304">
        <f t="shared" ca="1" si="39"/>
        <v>101.3197051598405</v>
      </c>
      <c r="G79" s="306">
        <f t="shared" ca="1" si="40"/>
        <v>33.436070834776714</v>
      </c>
      <c r="H79" s="307">
        <f t="shared" ca="1" si="41"/>
        <v>180.33679584298588</v>
      </c>
      <c r="I79" s="304">
        <f t="shared" ca="1" si="42"/>
        <v>183.41027988578767</v>
      </c>
      <c r="J79" s="306">
        <f t="shared" ca="1" si="43"/>
        <v>19.010798406150574</v>
      </c>
      <c r="K79" s="307">
        <f t="shared" ca="1" si="44"/>
        <v>104.74862503661372</v>
      </c>
      <c r="L79" s="304">
        <f t="shared" ca="1" si="29"/>
        <v>106.4597806831312</v>
      </c>
      <c r="M79" s="306">
        <f t="shared" ca="1" si="45"/>
        <v>1.3874690929233808</v>
      </c>
      <c r="N79" s="304">
        <f t="shared" ca="1" si="46"/>
        <v>79.496123229354353</v>
      </c>
      <c r="P79" s="310">
        <f t="shared" ca="1" si="47"/>
        <v>3</v>
      </c>
      <c r="Q79" s="304">
        <f t="shared" ca="1" si="48"/>
        <v>769.08999999999992</v>
      </c>
      <c r="R79" s="306">
        <f t="shared" ca="1" si="49"/>
        <v>0.38597043777357803</v>
      </c>
      <c r="S79" s="307">
        <f t="shared" ca="1" si="50"/>
        <v>5.8155842766363666</v>
      </c>
      <c r="T79" s="304">
        <f t="shared" ca="1" si="30"/>
        <v>57.050881753802756</v>
      </c>
      <c r="U79" s="311">
        <f t="shared" ca="1" si="31"/>
        <v>0</v>
      </c>
      <c r="V79" s="306">
        <f t="shared" ca="1" si="32"/>
        <v>1.2122351484653675</v>
      </c>
      <c r="W79" s="304">
        <f t="shared" ca="1" si="33"/>
        <v>125.2096085529963</v>
      </c>
      <c r="Y79" s="314" t="str">
        <f t="shared" ca="1" si="51"/>
        <v/>
      </c>
      <c r="Z79" s="315" t="str">
        <f t="shared" ca="1" si="52"/>
        <v/>
      </c>
      <c r="AA79" s="316" t="str">
        <f t="shared" ca="1" si="53"/>
        <v/>
      </c>
      <c r="AC79" s="310" t="e">
        <f t="shared" ca="1" si="54"/>
        <v>#N/A</v>
      </c>
      <c r="AD79" s="323" t="e">
        <f t="shared" ca="1" si="55"/>
        <v>#N/A</v>
      </c>
      <c r="AE79" s="324">
        <f t="shared" ca="1" si="34"/>
        <v>104.74862503661372</v>
      </c>
      <c r="AG79" s="306">
        <f t="shared" ca="1" si="56"/>
        <v>101.3039372421308</v>
      </c>
      <c r="AH79" s="304">
        <f t="shared" ca="1" si="57"/>
        <v>110.94972114394857</v>
      </c>
    </row>
    <row r="80" spans="1:34" x14ac:dyDescent="0.2">
      <c r="A80" s="347">
        <f t="shared" ca="1" si="35"/>
        <v>0.01</v>
      </c>
      <c r="B80" s="304">
        <f t="shared" ca="1" si="36"/>
        <v>0.76000000000000045</v>
      </c>
      <c r="D80" s="306">
        <f t="shared" ca="1" si="37"/>
        <v>20.160191855112355</v>
      </c>
      <c r="E80" s="307">
        <f t="shared" ca="1" si="38"/>
        <v>98.923601525614203</v>
      </c>
      <c r="F80" s="304">
        <f t="shared" ca="1" si="39"/>
        <v>100.95698229658728</v>
      </c>
      <c r="G80" s="306">
        <f t="shared" ca="1" si="40"/>
        <v>33.637672753327841</v>
      </c>
      <c r="H80" s="307">
        <f t="shared" ca="1" si="41"/>
        <v>181.32603185824203</v>
      </c>
      <c r="I80" s="304">
        <f t="shared" ca="1" si="42"/>
        <v>184.41969216359783</v>
      </c>
      <c r="J80" s="306">
        <f t="shared" ca="1" si="43"/>
        <v>19.346167124091096</v>
      </c>
      <c r="K80" s="307">
        <f t="shared" ca="1" si="44"/>
        <v>106.55693917511985</v>
      </c>
      <c r="L80" s="304">
        <f t="shared" ca="1" si="29"/>
        <v>108.29891720956149</v>
      </c>
      <c r="M80" s="306">
        <f t="shared" ca="1" si="45"/>
        <v>1.3873721193769983</v>
      </c>
      <c r="N80" s="304">
        <f t="shared" ca="1" si="46"/>
        <v>79.490567054422229</v>
      </c>
      <c r="P80" s="310">
        <f t="shared" ca="1" si="47"/>
        <v>3</v>
      </c>
      <c r="Q80" s="304">
        <f t="shared" ca="1" si="48"/>
        <v>767.91</v>
      </c>
      <c r="R80" s="306">
        <f t="shared" ca="1" si="49"/>
        <v>0.38537825075180843</v>
      </c>
      <c r="S80" s="307">
        <f t="shared" ca="1" si="50"/>
        <v>5.8117304941288488</v>
      </c>
      <c r="T80" s="304">
        <f t="shared" ca="1" si="30"/>
        <v>57.013076147404007</v>
      </c>
      <c r="U80" s="311">
        <f t="shared" ca="1" si="31"/>
        <v>0</v>
      </c>
      <c r="V80" s="306">
        <f t="shared" ca="1" si="32"/>
        <v>1.2120159519718472</v>
      </c>
      <c r="W80" s="304">
        <f t="shared" ca="1" si="33"/>
        <v>126.56871176852503</v>
      </c>
      <c r="Y80" s="314" t="str">
        <f t="shared" ca="1" si="51"/>
        <v/>
      </c>
      <c r="Z80" s="315" t="str">
        <f t="shared" ca="1" si="52"/>
        <v/>
      </c>
      <c r="AA80" s="316" t="str">
        <f t="shared" ca="1" si="53"/>
        <v/>
      </c>
      <c r="AC80" s="310" t="e">
        <f t="shared" ca="1" si="54"/>
        <v>#N/A</v>
      </c>
      <c r="AD80" s="323" t="e">
        <f t="shared" ca="1" si="55"/>
        <v>#N/A</v>
      </c>
      <c r="AE80" s="324">
        <f t="shared" ca="1" si="34"/>
        <v>106.55693917511985</v>
      </c>
      <c r="AG80" s="306">
        <f t="shared" ca="1" si="56"/>
        <v>100.94114106808256</v>
      </c>
      <c r="AH80" s="304">
        <f t="shared" ca="1" si="57"/>
        <v>110.58675072704682</v>
      </c>
    </row>
    <row r="81" spans="1:34" x14ac:dyDescent="0.2">
      <c r="A81" s="347">
        <f t="shared" ca="1" si="35"/>
        <v>0.01</v>
      </c>
      <c r="B81" s="304">
        <f t="shared" ca="1" si="36"/>
        <v>0.77000000000000046</v>
      </c>
      <c r="D81" s="306">
        <f t="shared" ca="1" si="37"/>
        <v>20.104358729292258</v>
      </c>
      <c r="E81" s="307">
        <f t="shared" ca="1" si="38"/>
        <v>98.56383484196374</v>
      </c>
      <c r="F81" s="304">
        <f t="shared" ca="1" si="39"/>
        <v>100.59331378710006</v>
      </c>
      <c r="G81" s="306">
        <f t="shared" ca="1" si="40"/>
        <v>33.838716340620763</v>
      </c>
      <c r="H81" s="307">
        <f t="shared" ca="1" si="41"/>
        <v>182.31167020666166</v>
      </c>
      <c r="I81" s="304">
        <f t="shared" ca="1" si="42"/>
        <v>185.42546701336244</v>
      </c>
      <c r="J81" s="306">
        <f t="shared" ca="1" si="43"/>
        <v>19.68354906956084</v>
      </c>
      <c r="K81" s="307">
        <f t="shared" ca="1" si="44"/>
        <v>108.37512768544437</v>
      </c>
      <c r="L81" s="304">
        <f t="shared" ca="1" si="29"/>
        <v>110.14812937499293</v>
      </c>
      <c r="M81" s="306">
        <f t="shared" ca="1" si="45"/>
        <v>1.3872756213852957</v>
      </c>
      <c r="N81" s="304">
        <f t="shared" ca="1" si="46"/>
        <v>79.48503812676617</v>
      </c>
      <c r="P81" s="310">
        <f t="shared" ca="1" si="47"/>
        <v>3</v>
      </c>
      <c r="Q81" s="304">
        <f t="shared" ca="1" si="48"/>
        <v>766.7299999999999</v>
      </c>
      <c r="R81" s="306">
        <f t="shared" ca="1" si="49"/>
        <v>0.38478606373003871</v>
      </c>
      <c r="S81" s="307">
        <f t="shared" ca="1" si="50"/>
        <v>5.8078826334915483</v>
      </c>
      <c r="T81" s="304">
        <f t="shared" ca="1" si="30"/>
        <v>56.975328634552092</v>
      </c>
      <c r="U81" s="311">
        <f t="shared" ca="1" si="31"/>
        <v>0</v>
      </c>
      <c r="V81" s="306">
        <f t="shared" ca="1" si="32"/>
        <v>1.2117955982945749</v>
      </c>
      <c r="W81" s="304">
        <f t="shared" ca="1" si="33"/>
        <v>127.92975616247737</v>
      </c>
      <c r="Y81" s="314" t="str">
        <f t="shared" ca="1" si="51"/>
        <v/>
      </c>
      <c r="Z81" s="315" t="str">
        <f t="shared" ca="1" si="52"/>
        <v/>
      </c>
      <c r="AA81" s="316" t="str">
        <f t="shared" ca="1" si="53"/>
        <v/>
      </c>
      <c r="AC81" s="310" t="e">
        <f t="shared" ca="1" si="54"/>
        <v>#N/A</v>
      </c>
      <c r="AD81" s="323" t="e">
        <f t="shared" ca="1" si="55"/>
        <v>#N/A</v>
      </c>
      <c r="AE81" s="324">
        <f t="shared" ca="1" si="34"/>
        <v>108.37512768544437</v>
      </c>
      <c r="AG81" s="306">
        <f t="shared" ca="1" si="56"/>
        <v>100.57739864364171</v>
      </c>
      <c r="AH81" s="304">
        <f t="shared" ca="1" si="57"/>
        <v>110.22283483139645</v>
      </c>
    </row>
    <row r="82" spans="1:34" x14ac:dyDescent="0.2">
      <c r="A82" s="347">
        <f t="shared" ca="1" si="35"/>
        <v>0.01</v>
      </c>
      <c r="B82" s="304">
        <f t="shared" ca="1" si="36"/>
        <v>0.78000000000000047</v>
      </c>
      <c r="D82" s="306">
        <f t="shared" ca="1" si="37"/>
        <v>20.048235103777689</v>
      </c>
      <c r="E82" s="307">
        <f t="shared" ca="1" si="38"/>
        <v>98.203176081326603</v>
      </c>
      <c r="F82" s="304">
        <f t="shared" ca="1" si="39"/>
        <v>100.22871606099912</v>
      </c>
      <c r="G82" s="306">
        <f t="shared" ca="1" si="40"/>
        <v>34.039198691658541</v>
      </c>
      <c r="H82" s="307">
        <f t="shared" ca="1" si="41"/>
        <v>183.29370196747493</v>
      </c>
      <c r="I82" s="304">
        <f t="shared" ca="1" si="42"/>
        <v>186.42759513685664</v>
      </c>
      <c r="J82" s="306">
        <f t="shared" ca="1" si="43"/>
        <v>20.022938644722238</v>
      </c>
      <c r="K82" s="307">
        <f t="shared" ca="1" si="44"/>
        <v>110.20315454631505</v>
      </c>
      <c r="L82" s="304">
        <f t="shared" ca="1" si="29"/>
        <v>112.00738075648994</v>
      </c>
      <c r="M82" s="306">
        <f t="shared" ca="1" si="45"/>
        <v>1.3871795921856873</v>
      </c>
      <c r="N82" s="304">
        <f t="shared" ca="1" si="46"/>
        <v>79.479536058918598</v>
      </c>
      <c r="P82" s="310">
        <f t="shared" ca="1" si="47"/>
        <v>3</v>
      </c>
      <c r="Q82" s="304">
        <f t="shared" ca="1" si="48"/>
        <v>765.55</v>
      </c>
      <c r="R82" s="306">
        <f t="shared" ca="1" si="49"/>
        <v>0.3841938767082691</v>
      </c>
      <c r="S82" s="307">
        <f t="shared" ca="1" si="50"/>
        <v>5.804040694724466</v>
      </c>
      <c r="T82" s="304">
        <f t="shared" ca="1" si="30"/>
        <v>56.937639215247017</v>
      </c>
      <c r="U82" s="311">
        <f t="shared" ca="1" si="31"/>
        <v>0</v>
      </c>
      <c r="V82" s="306">
        <f t="shared" ca="1" si="32"/>
        <v>1.2115740924363845</v>
      </c>
      <c r="W82" s="304">
        <f t="shared" ca="1" si="33"/>
        <v>129.29264235009066</v>
      </c>
      <c r="Y82" s="314" t="str">
        <f t="shared" ca="1" si="51"/>
        <v/>
      </c>
      <c r="Z82" s="315" t="str">
        <f t="shared" ca="1" si="52"/>
        <v/>
      </c>
      <c r="AA82" s="316" t="str">
        <f t="shared" ca="1" si="53"/>
        <v/>
      </c>
      <c r="AC82" s="310" t="e">
        <f t="shared" ca="1" si="54"/>
        <v>#N/A</v>
      </c>
      <c r="AD82" s="323" t="e">
        <f t="shared" ca="1" si="55"/>
        <v>#N/A</v>
      </c>
      <c r="AE82" s="324">
        <f t="shared" ca="1" si="34"/>
        <v>110.20315454631505</v>
      </c>
      <c r="AG82" s="306">
        <f t="shared" ca="1" si="56"/>
        <v>100.21272639131746</v>
      </c>
      <c r="AH82" s="304">
        <f t="shared" ca="1" si="57"/>
        <v>109.85798986852076</v>
      </c>
    </row>
    <row r="83" spans="1:34" x14ac:dyDescent="0.2">
      <c r="A83" s="347">
        <f t="shared" ca="1" si="35"/>
        <v>0.01</v>
      </c>
      <c r="B83" s="304">
        <f t="shared" ca="1" si="36"/>
        <v>0.79000000000000048</v>
      </c>
      <c r="D83" s="306">
        <f t="shared" ca="1" si="37"/>
        <v>19.991824953946562</v>
      </c>
      <c r="E83" s="307">
        <f t="shared" ca="1" si="38"/>
        <v>97.841641217764106</v>
      </c>
      <c r="F83" s="304">
        <f t="shared" ca="1" si="39"/>
        <v>99.863205542256225</v>
      </c>
      <c r="G83" s="306">
        <f t="shared" ca="1" si="40"/>
        <v>34.239116941198006</v>
      </c>
      <c r="H83" s="307">
        <f t="shared" ca="1" si="41"/>
        <v>184.27211837965257</v>
      </c>
      <c r="I83" s="304">
        <f t="shared" ca="1" si="42"/>
        <v>187.42606740002236</v>
      </c>
      <c r="J83" s="306">
        <f t="shared" ca="1" si="43"/>
        <v>20.364330222886522</v>
      </c>
      <c r="K83" s="307">
        <f t="shared" ca="1" si="44"/>
        <v>112.04098364805068</v>
      </c>
      <c r="L83" s="304">
        <f t="shared" ca="1" si="29"/>
        <v>113.8766348389762</v>
      </c>
      <c r="M83" s="306">
        <f t="shared" ca="1" si="45"/>
        <v>1.3870840251432748</v>
      </c>
      <c r="N83" s="304">
        <f t="shared" ca="1" si="46"/>
        <v>79.474060470727807</v>
      </c>
      <c r="P83" s="310">
        <f t="shared" ca="1" si="47"/>
        <v>3</v>
      </c>
      <c r="Q83" s="304">
        <f t="shared" ca="1" si="48"/>
        <v>764.36999999999989</v>
      </c>
      <c r="R83" s="306">
        <f t="shared" ca="1" si="49"/>
        <v>0.38360168968649944</v>
      </c>
      <c r="S83" s="307">
        <f t="shared" ca="1" si="50"/>
        <v>5.8002046778276011</v>
      </c>
      <c r="T83" s="304">
        <f t="shared" ca="1" si="30"/>
        <v>56.900007889488769</v>
      </c>
      <c r="U83" s="311">
        <f t="shared" ca="1" si="31"/>
        <v>0</v>
      </c>
      <c r="V83" s="306">
        <f t="shared" ca="1" si="32"/>
        <v>1.2113514394108036</v>
      </c>
      <c r="W83" s="304">
        <f t="shared" ca="1" si="33"/>
        <v>130.65727127341702</v>
      </c>
      <c r="Y83" s="314" t="str">
        <f t="shared" ca="1" si="51"/>
        <v/>
      </c>
      <c r="Z83" s="315" t="str">
        <f t="shared" ca="1" si="52"/>
        <v/>
      </c>
      <c r="AA83" s="316" t="str">
        <f t="shared" ca="1" si="53"/>
        <v/>
      </c>
      <c r="AC83" s="310" t="e">
        <f t="shared" ca="1" si="54"/>
        <v>#N/A</v>
      </c>
      <c r="AD83" s="323" t="e">
        <f t="shared" ca="1" si="55"/>
        <v>#N/A</v>
      </c>
      <c r="AE83" s="324">
        <f t="shared" ca="1" si="34"/>
        <v>112.04098364805068</v>
      </c>
      <c r="AG83" s="306">
        <f t="shared" ca="1" si="56"/>
        <v>99.847140727900111</v>
      </c>
      <c r="AH83" s="304">
        <f t="shared" ca="1" si="57"/>
        <v>109.49223224442659</v>
      </c>
    </row>
    <row r="84" spans="1:34" x14ac:dyDescent="0.2">
      <c r="A84" s="347">
        <f t="shared" ca="1" si="35"/>
        <v>0.01</v>
      </c>
      <c r="B84" s="304">
        <f t="shared" ca="1" si="36"/>
        <v>0.80000000000000049</v>
      </c>
      <c r="D84" s="306">
        <f t="shared" ca="1" si="37"/>
        <v>19.935132239070811</v>
      </c>
      <c r="E84" s="307">
        <f t="shared" ca="1" si="38"/>
        <v>97.479246220365681</v>
      </c>
      <c r="F84" s="304">
        <f t="shared" ca="1" si="39"/>
        <v>99.496798647393263</v>
      </c>
      <c r="G84" s="306">
        <f t="shared" ca="1" si="40"/>
        <v>34.438468263588717</v>
      </c>
      <c r="H84" s="307">
        <f t="shared" ca="1" si="41"/>
        <v>185.24691084185622</v>
      </c>
      <c r="I84" s="304">
        <f t="shared" ca="1" si="42"/>
        <v>188.42087483289328</v>
      </c>
      <c r="J84" s="306">
        <f t="shared" ca="1" si="43"/>
        <v>20.707718148910455</v>
      </c>
      <c r="K84" s="307">
        <f t="shared" ca="1" si="44"/>
        <v>113.88857879415824</v>
      </c>
      <c r="L84" s="304">
        <f t="shared" ca="1" si="29"/>
        <v>115.75585501687551</v>
      </c>
      <c r="M84" s="306">
        <f t="shared" ca="1" si="45"/>
        <v>1.3869889137476028</v>
      </c>
      <c r="N84" s="304">
        <f t="shared" ca="1" si="46"/>
        <v>79.468610989172205</v>
      </c>
      <c r="P84" s="310">
        <f t="shared" ca="1" si="47"/>
        <v>3</v>
      </c>
      <c r="Q84" s="304">
        <f t="shared" ca="1" si="48"/>
        <v>763.18999999999994</v>
      </c>
      <c r="R84" s="306">
        <f t="shared" ca="1" si="49"/>
        <v>0.38300950266472977</v>
      </c>
      <c r="S84" s="307">
        <f t="shared" ca="1" si="50"/>
        <v>5.7963745828009534</v>
      </c>
      <c r="T84" s="304">
        <f t="shared" ca="1" si="30"/>
        <v>56.862434657277355</v>
      </c>
      <c r="U84" s="311">
        <f t="shared" ca="1" si="31"/>
        <v>0</v>
      </c>
      <c r="V84" s="306">
        <f t="shared" ca="1" si="32"/>
        <v>1.2111276442418071</v>
      </c>
      <c r="W84" s="304">
        <f t="shared" ca="1" si="33"/>
        <v>132.02354421061898</v>
      </c>
      <c r="Y84" s="314" t="str">
        <f t="shared" ca="1" si="51"/>
        <v/>
      </c>
      <c r="Z84" s="315" t="str">
        <f t="shared" ca="1" si="52"/>
        <v/>
      </c>
      <c r="AA84" s="316" t="str">
        <f t="shared" ca="1" si="53"/>
        <v/>
      </c>
      <c r="AC84" s="310" t="e">
        <f t="shared" ca="1" si="54"/>
        <v>#N/A</v>
      </c>
      <c r="AD84" s="323" t="e">
        <f t="shared" ca="1" si="55"/>
        <v>#N/A</v>
      </c>
      <c r="AE84" s="324">
        <f t="shared" ca="1" si="34"/>
        <v>113.88857879415824</v>
      </c>
      <c r="AG84" s="306">
        <f t="shared" ca="1" si="56"/>
        <v>99.480658062657994</v>
      </c>
      <c r="AH84" s="304">
        <f t="shared" ca="1" si="57"/>
        <v>109.12557835779607</v>
      </c>
    </row>
    <row r="85" spans="1:34" x14ac:dyDescent="0.2">
      <c r="A85" s="347">
        <f t="shared" ca="1" si="35"/>
        <v>0.01</v>
      </c>
      <c r="B85" s="304">
        <f t="shared" ca="1" si="36"/>
        <v>0.8100000000000005</v>
      </c>
      <c r="D85" s="306">
        <f t="shared" ca="1" si="37"/>
        <v>19.878160902429176</v>
      </c>
      <c r="E85" s="307">
        <f t="shared" ca="1" si="38"/>
        <v>97.11600705141359</v>
      </c>
      <c r="F85" s="304">
        <f t="shared" ca="1" si="39"/>
        <v>99.12951178369174</v>
      </c>
      <c r="G85" s="306">
        <f t="shared" ca="1" si="40"/>
        <v>34.637249872613012</v>
      </c>
      <c r="H85" s="307">
        <f t="shared" ca="1" si="41"/>
        <v>186.21807091237037</v>
      </c>
      <c r="I85" s="304">
        <f t="shared" ca="1" si="42"/>
        <v>189.41200862950171</v>
      </c>
      <c r="J85" s="306">
        <f t="shared" ca="1" si="43"/>
        <v>21.053096739591464</v>
      </c>
      <c r="K85" s="307">
        <f t="shared" ca="1" si="44"/>
        <v>115.74590370292937</v>
      </c>
      <c r="L85" s="304">
        <f t="shared" ca="1" si="29"/>
        <v>117.64500459575152</v>
      </c>
      <c r="M85" s="306">
        <f t="shared" ca="1" si="45"/>
        <v>1.3868942516095166</v>
      </c>
      <c r="N85" s="304">
        <f t="shared" ca="1" si="46"/>
        <v>79.463187248180176</v>
      </c>
      <c r="P85" s="310">
        <f t="shared" ca="1" si="47"/>
        <v>3</v>
      </c>
      <c r="Q85" s="304">
        <f t="shared" ca="1" si="48"/>
        <v>762.01</v>
      </c>
      <c r="R85" s="306">
        <f t="shared" ca="1" si="49"/>
        <v>0.38241731564296016</v>
      </c>
      <c r="S85" s="307">
        <f t="shared" ca="1" si="50"/>
        <v>5.7925504096445239</v>
      </c>
      <c r="T85" s="304">
        <f t="shared" ca="1" si="30"/>
        <v>56.824919518612781</v>
      </c>
      <c r="U85" s="311">
        <f t="shared" ca="1" si="31"/>
        <v>0</v>
      </c>
      <c r="V85" s="306">
        <f t="shared" ca="1" si="32"/>
        <v>1.2109027119635682</v>
      </c>
      <c r="W85" s="304">
        <f t="shared" ca="1" si="33"/>
        <v>133.39136278515355</v>
      </c>
      <c r="Y85" s="314" t="str">
        <f t="shared" ca="1" si="51"/>
        <v/>
      </c>
      <c r="Z85" s="315" t="str">
        <f t="shared" ca="1" si="52"/>
        <v/>
      </c>
      <c r="AA85" s="316" t="str">
        <f t="shared" ca="1" si="53"/>
        <v/>
      </c>
      <c r="AC85" s="310" t="e">
        <f t="shared" ca="1" si="54"/>
        <v>#N/A</v>
      </c>
      <c r="AD85" s="323" t="e">
        <f t="shared" ca="1" si="55"/>
        <v>#N/A</v>
      </c>
      <c r="AE85" s="324">
        <f t="shared" ca="1" si="34"/>
        <v>115.74590370292937</v>
      </c>
      <c r="AG85" s="306">
        <f t="shared" ca="1" si="56"/>
        <v>99.113294795545386</v>
      </c>
      <c r="AH85" s="304">
        <f t="shared" ca="1" si="57"/>
        <v>108.75804459818967</v>
      </c>
    </row>
    <row r="86" spans="1:34" x14ac:dyDescent="0.2">
      <c r="A86" s="347">
        <f t="shared" ca="1" si="35"/>
        <v>0.01</v>
      </c>
      <c r="B86" s="304">
        <f t="shared" ca="1" si="36"/>
        <v>0.82000000000000051</v>
      </c>
      <c r="D86" s="306">
        <f t="shared" ca="1" si="37"/>
        <v>19.820914871407251</v>
      </c>
      <c r="E86" s="307">
        <f t="shared" ca="1" si="38"/>
        <v>96.751939664562798</v>
      </c>
      <c r="F86" s="304">
        <f t="shared" ca="1" si="39"/>
        <v>98.761361347415487</v>
      </c>
      <c r="G86" s="306">
        <f t="shared" ca="1" si="40"/>
        <v>34.835459021327082</v>
      </c>
      <c r="H86" s="307">
        <f t="shared" ca="1" si="41"/>
        <v>187.18559030901599</v>
      </c>
      <c r="I86" s="304">
        <f t="shared" ca="1" si="42"/>
        <v>190.3994601477676</v>
      </c>
      <c r="J86" s="306">
        <f t="shared" ca="1" si="43"/>
        <v>21.400460284061165</v>
      </c>
      <c r="K86" s="307">
        <f t="shared" ca="1" si="44"/>
        <v>117.6129220090363</v>
      </c>
      <c r="L86" s="304">
        <f t="shared" ca="1" si="29"/>
        <v>119.54404679394676</v>
      </c>
      <c r="M86" s="306">
        <f t="shared" ca="1" si="45"/>
        <v>1.386800032458118</v>
      </c>
      <c r="N86" s="304">
        <f t="shared" ca="1" si="46"/>
        <v>79.457788888455738</v>
      </c>
      <c r="P86" s="310">
        <f t="shared" ca="1" si="47"/>
        <v>3</v>
      </c>
      <c r="Q86" s="304">
        <f t="shared" ca="1" si="48"/>
        <v>760.82999999999993</v>
      </c>
      <c r="R86" s="306">
        <f t="shared" ca="1" si="49"/>
        <v>0.3818251286211905</v>
      </c>
      <c r="S86" s="307">
        <f t="shared" ca="1" si="50"/>
        <v>5.7887321583583118</v>
      </c>
      <c r="T86" s="304">
        <f t="shared" ca="1" si="30"/>
        <v>56.78746247349504</v>
      </c>
      <c r="U86" s="311">
        <f t="shared" ca="1" si="31"/>
        <v>0</v>
      </c>
      <c r="V86" s="306">
        <f t="shared" ca="1" si="32"/>
        <v>1.2106766476202107</v>
      </c>
      <c r="W86" s="304">
        <f t="shared" ca="1" si="33"/>
        <v>134.76062897484297</v>
      </c>
      <c r="Y86" s="314" t="str">
        <f t="shared" ca="1" si="51"/>
        <v/>
      </c>
      <c r="Z86" s="315" t="str">
        <f t="shared" ca="1" si="52"/>
        <v/>
      </c>
      <c r="AA86" s="316" t="str">
        <f t="shared" ca="1" si="53"/>
        <v/>
      </c>
      <c r="AC86" s="310" t="e">
        <f t="shared" ca="1" si="54"/>
        <v>#N/A</v>
      </c>
      <c r="AD86" s="323" t="e">
        <f t="shared" ca="1" si="55"/>
        <v>#N/A</v>
      </c>
      <c r="AE86" s="324">
        <f t="shared" ca="1" si="34"/>
        <v>117.6129220090363</v>
      </c>
      <c r="AG86" s="306">
        <f t="shared" ca="1" si="56"/>
        <v>98.745067315423157</v>
      </c>
      <c r="AH86" s="304">
        <f t="shared" ca="1" si="57"/>
        <v>108.38964734426206</v>
      </c>
    </row>
    <row r="87" spans="1:34" x14ac:dyDescent="0.2">
      <c r="A87" s="347">
        <f t="shared" ca="1" si="35"/>
        <v>0.01</v>
      </c>
      <c r="B87" s="304">
        <f t="shared" ca="1" si="36"/>
        <v>0.83000000000000052</v>
      </c>
      <c r="D87" s="306">
        <f t="shared" ca="1" si="37"/>
        <v>19.76339805758515</v>
      </c>
      <c r="E87" s="307">
        <f t="shared" ca="1" si="38"/>
        <v>96.387060003034918</v>
      </c>
      <c r="F87" s="304">
        <f t="shared" ca="1" si="39"/>
        <v>98.39236372204509</v>
      </c>
      <c r="G87" s="306">
        <f t="shared" ca="1" si="40"/>
        <v>35.033093001902934</v>
      </c>
      <c r="H87" s="307">
        <f t="shared" ca="1" si="41"/>
        <v>188.14946090904635</v>
      </c>
      <c r="I87" s="304">
        <f t="shared" ca="1" si="42"/>
        <v>191.38322090937007</v>
      </c>
      <c r="J87" s="306">
        <f t="shared" ca="1" si="43"/>
        <v>21.749803044177316</v>
      </c>
      <c r="K87" s="307">
        <f t="shared" ca="1" si="44"/>
        <v>119.4895972651266</v>
      </c>
      <c r="L87" s="304">
        <f t="shared" ca="1" si="29"/>
        <v>121.45294474422042</v>
      </c>
      <c r="M87" s="306">
        <f t="shared" ca="1" si="45"/>
        <v>1.3867062501378176</v>
      </c>
      <c r="N87" s="304">
        <f t="shared" ca="1" si="46"/>
        <v>79.452415557309578</v>
      </c>
      <c r="P87" s="310">
        <f t="shared" ca="1" si="47"/>
        <v>3</v>
      </c>
      <c r="Q87" s="304">
        <f t="shared" ca="1" si="48"/>
        <v>759.65</v>
      </c>
      <c r="R87" s="306">
        <f t="shared" ca="1" si="49"/>
        <v>0.38123294159942084</v>
      </c>
      <c r="S87" s="307">
        <f t="shared" ca="1" si="50"/>
        <v>5.7849198289423178</v>
      </c>
      <c r="T87" s="304">
        <f t="shared" ca="1" si="30"/>
        <v>56.75006352192414</v>
      </c>
      <c r="U87" s="311">
        <f t="shared" ca="1" si="31"/>
        <v>0</v>
      </c>
      <c r="V87" s="306">
        <f t="shared" ca="1" si="32"/>
        <v>1.2104494562655628</v>
      </c>
      <c r="W87" s="304">
        <f t="shared" ca="1" si="33"/>
        <v>136.1312451208328</v>
      </c>
      <c r="Y87" s="314" t="str">
        <f t="shared" ca="1" si="51"/>
        <v/>
      </c>
      <c r="Z87" s="315" t="str">
        <f t="shared" ca="1" si="52"/>
        <v/>
      </c>
      <c r="AA87" s="316" t="str">
        <f t="shared" ca="1" si="53"/>
        <v/>
      </c>
      <c r="AC87" s="310" t="e">
        <f t="shared" ca="1" si="54"/>
        <v>#N/A</v>
      </c>
      <c r="AD87" s="323" t="e">
        <f t="shared" ca="1" si="55"/>
        <v>#N/A</v>
      </c>
      <c r="AE87" s="324">
        <f t="shared" ca="1" si="34"/>
        <v>119.4895972651266</v>
      </c>
      <c r="AG87" s="306">
        <f t="shared" ca="1" si="56"/>
        <v>98.375991998291568</v>
      </c>
      <c r="AH87" s="304">
        <f t="shared" ca="1" si="57"/>
        <v>108.02040296199029</v>
      </c>
    </row>
    <row r="88" spans="1:34" x14ac:dyDescent="0.2">
      <c r="A88" s="347">
        <f t="shared" ca="1" si="35"/>
        <v>0.01</v>
      </c>
      <c r="B88" s="304">
        <f t="shared" ca="1" si="36"/>
        <v>0.84000000000000052</v>
      </c>
      <c r="D88" s="306">
        <f t="shared" ca="1" si="37"/>
        <v>19.705614356813264</v>
      </c>
      <c r="E88" s="307">
        <f t="shared" ca="1" si="38"/>
        <v>96.021383997827101</v>
      </c>
      <c r="F88" s="304">
        <f t="shared" ca="1" si="39"/>
        <v>98.022535276525119</v>
      </c>
      <c r="G88" s="306">
        <f t="shared" ca="1" si="40"/>
        <v>35.230149145471067</v>
      </c>
      <c r="H88" s="307">
        <f t="shared" ca="1" si="41"/>
        <v>189.10967474902463</v>
      </c>
      <c r="I88" s="304">
        <f t="shared" ca="1" si="42"/>
        <v>192.36328259960118</v>
      </c>
      <c r="J88" s="306">
        <f t="shared" ca="1" si="43"/>
        <v>22.101119254914185</v>
      </c>
      <c r="K88" s="307">
        <f t="shared" ca="1" si="44"/>
        <v>121.37589294341696</v>
      </c>
      <c r="L88" s="304">
        <f t="shared" ca="1" si="29"/>
        <v>123.37166149538456</v>
      </c>
      <c r="M88" s="306">
        <f t="shared" ca="1" si="45"/>
        <v>1.3866128986054773</v>
      </c>
      <c r="N88" s="304">
        <f t="shared" ca="1" si="46"/>
        <v>79.447066908495401</v>
      </c>
      <c r="P88" s="310">
        <f t="shared" ca="1" si="47"/>
        <v>3</v>
      </c>
      <c r="Q88" s="304">
        <f t="shared" ca="1" si="48"/>
        <v>758.46999999999991</v>
      </c>
      <c r="R88" s="306">
        <f t="shared" ca="1" si="49"/>
        <v>0.38064075457765117</v>
      </c>
      <c r="S88" s="307">
        <f t="shared" ca="1" si="50"/>
        <v>5.7811134213965412</v>
      </c>
      <c r="T88" s="304">
        <f t="shared" ca="1" si="30"/>
        <v>56.712722663900074</v>
      </c>
      <c r="U88" s="311">
        <f t="shared" ca="1" si="31"/>
        <v>0</v>
      </c>
      <c r="V88" s="306">
        <f t="shared" ca="1" si="32"/>
        <v>1.2102211429629097</v>
      </c>
      <c r="W88" s="304">
        <f t="shared" ca="1" si="33"/>
        <v>137.50311393643398</v>
      </c>
      <c r="Y88" s="314" t="str">
        <f t="shared" ca="1" si="51"/>
        <v/>
      </c>
      <c r="Z88" s="315" t="str">
        <f t="shared" ca="1" si="52"/>
        <v/>
      </c>
      <c r="AA88" s="316" t="str">
        <f t="shared" ca="1" si="53"/>
        <v/>
      </c>
      <c r="AC88" s="310" t="e">
        <f t="shared" ca="1" si="54"/>
        <v>#N/A</v>
      </c>
      <c r="AD88" s="323" t="e">
        <f t="shared" ca="1" si="55"/>
        <v>#N/A</v>
      </c>
      <c r="AE88" s="324">
        <f t="shared" ca="1" si="34"/>
        <v>121.37589294341696</v>
      </c>
      <c r="AG88" s="306">
        <f t="shared" ca="1" si="56"/>
        <v>98.006085205535641</v>
      </c>
      <c r="AH88" s="304">
        <f t="shared" ca="1" si="57"/>
        <v>107.65032780291466</v>
      </c>
    </row>
    <row r="89" spans="1:34" x14ac:dyDescent="0.2">
      <c r="A89" s="347">
        <f t="shared" ca="1" si="35"/>
        <v>0.01</v>
      </c>
      <c r="B89" s="304">
        <f t="shared" ca="1" si="36"/>
        <v>0.85000000000000053</v>
      </c>
      <c r="D89" s="306">
        <f t="shared" ca="1" si="37"/>
        <v>19.647567649277043</v>
      </c>
      <c r="E89" s="307">
        <f t="shared" ca="1" si="38"/>
        <v>95.654927565936276</v>
      </c>
      <c r="F89" s="304">
        <f t="shared" ca="1" si="39"/>
        <v>97.651892363524809</v>
      </c>
      <c r="G89" s="306">
        <f t="shared" ca="1" si="40"/>
        <v>35.426624821963834</v>
      </c>
      <c r="H89" s="307">
        <f t="shared" ca="1" si="41"/>
        <v>190.066224024684</v>
      </c>
      <c r="I89" s="304">
        <f t="shared" ca="1" si="42"/>
        <v>193.33963706720243</v>
      </c>
      <c r="J89" s="306">
        <f t="shared" ca="1" si="43"/>
        <v>22.454403124751359</v>
      </c>
      <c r="K89" s="307">
        <f t="shared" ca="1" si="44"/>
        <v>123.27177243728551</v>
      </c>
      <c r="L89" s="304">
        <f t="shared" ca="1" si="29"/>
        <v>125.30016001393912</v>
      </c>
      <c r="M89" s="306">
        <f t="shared" ca="1" si="45"/>
        <v>1.3865199719276426</v>
      </c>
      <c r="N89" s="304">
        <f t="shared" ca="1" si="46"/>
        <v>79.441742602051306</v>
      </c>
      <c r="P89" s="310">
        <f t="shared" ca="1" si="47"/>
        <v>3</v>
      </c>
      <c r="Q89" s="304">
        <f t="shared" ca="1" si="48"/>
        <v>757.29</v>
      </c>
      <c r="R89" s="306">
        <f t="shared" ca="1" si="49"/>
        <v>0.38004856755588157</v>
      </c>
      <c r="S89" s="307">
        <f t="shared" ca="1" si="50"/>
        <v>5.7773129357209827</v>
      </c>
      <c r="T89" s="304">
        <f t="shared" ca="1" si="30"/>
        <v>56.675439899422841</v>
      </c>
      <c r="U89" s="311">
        <f t="shared" ca="1" si="31"/>
        <v>0</v>
      </c>
      <c r="V89" s="306">
        <f t="shared" ca="1" si="32"/>
        <v>1.2099917127847464</v>
      </c>
      <c r="W89" s="304">
        <f t="shared" ca="1" si="33"/>
        <v>138.87613851584953</v>
      </c>
      <c r="Y89" s="314" t="str">
        <f t="shared" ca="1" si="51"/>
        <v/>
      </c>
      <c r="Z89" s="315" t="str">
        <f t="shared" ca="1" si="52"/>
        <v/>
      </c>
      <c r="AA89" s="316" t="str">
        <f t="shared" ca="1" si="53"/>
        <v/>
      </c>
      <c r="AC89" s="310" t="e">
        <f t="shared" ca="1" si="54"/>
        <v>#N/A</v>
      </c>
      <c r="AD89" s="323" t="e">
        <f t="shared" ca="1" si="55"/>
        <v>#N/A</v>
      </c>
      <c r="AE89" s="324">
        <f t="shared" ca="1" si="34"/>
        <v>123.27177243728551</v>
      </c>
      <c r="AG89" s="306">
        <f t="shared" ca="1" si="56"/>
        <v>97.635363282183988</v>
      </c>
      <c r="AH89" s="304">
        <f t="shared" ca="1" si="57"/>
        <v>107.27943820239321</v>
      </c>
    </row>
    <row r="90" spans="1:34" x14ac:dyDescent="0.2">
      <c r="A90" s="347">
        <f t="shared" ca="1" si="35"/>
        <v>0.01</v>
      </c>
      <c r="B90" s="304">
        <f t="shared" ca="1" si="36"/>
        <v>0.86000000000000054</v>
      </c>
      <c r="D90" s="306">
        <f t="shared" ca="1" si="37"/>
        <v>19.589261799550954</v>
      </c>
      <c r="E90" s="307">
        <f t="shared" ca="1" si="38"/>
        <v>95.287706608598143</v>
      </c>
      <c r="F90" s="304">
        <f t="shared" ca="1" si="39"/>
        <v>97.280451317711439</v>
      </c>
      <c r="G90" s="306">
        <f t="shared" ca="1" si="40"/>
        <v>35.622517439959346</v>
      </c>
      <c r="H90" s="307">
        <f t="shared" ca="1" si="41"/>
        <v>191.01910109076999</v>
      </c>
      <c r="I90" s="304">
        <f t="shared" ca="1" si="42"/>
        <v>194.31227632418393</v>
      </c>
      <c r="J90" s="306">
        <f t="shared" ca="1" si="43"/>
        <v>22.809648836060976</v>
      </c>
      <c r="K90" s="307">
        <f t="shared" ca="1" si="44"/>
        <v>125.17719906286277</v>
      </c>
      <c r="L90" s="304">
        <f t="shared" ca="1" si="29"/>
        <v>127.23840318570487</v>
      </c>
      <c r="M90" s="306">
        <f t="shared" ca="1" si="45"/>
        <v>1.386427464277858</v>
      </c>
      <c r="N90" s="304">
        <f t="shared" ca="1" si="46"/>
        <v>79.43644230414597</v>
      </c>
      <c r="P90" s="310">
        <f t="shared" ca="1" si="47"/>
        <v>3</v>
      </c>
      <c r="Q90" s="304">
        <f t="shared" ca="1" si="48"/>
        <v>756.1099999999999</v>
      </c>
      <c r="R90" s="306">
        <f t="shared" ca="1" si="49"/>
        <v>0.37945638053411185</v>
      </c>
      <c r="S90" s="307">
        <f t="shared" ca="1" si="50"/>
        <v>5.7735183719156415</v>
      </c>
      <c r="T90" s="304">
        <f t="shared" ca="1" si="30"/>
        <v>56.638215228492449</v>
      </c>
      <c r="U90" s="311">
        <f t="shared" ca="1" si="31"/>
        <v>0</v>
      </c>
      <c r="V90" s="306">
        <f t="shared" ca="1" si="32"/>
        <v>1.2097611708125335</v>
      </c>
      <c r="W90" s="304">
        <f t="shared" ca="1" si="33"/>
        <v>140.25022234278487</v>
      </c>
      <c r="Y90" s="314" t="str">
        <f t="shared" ca="1" si="51"/>
        <v/>
      </c>
      <c r="Z90" s="315" t="str">
        <f t="shared" ca="1" si="52"/>
        <v/>
      </c>
      <c r="AA90" s="316" t="str">
        <f t="shared" ca="1" si="53"/>
        <v/>
      </c>
      <c r="AC90" s="310" t="e">
        <f t="shared" ca="1" si="54"/>
        <v>#N/A</v>
      </c>
      <c r="AD90" s="323" t="e">
        <f t="shared" ca="1" si="55"/>
        <v>#N/A</v>
      </c>
      <c r="AE90" s="324">
        <f t="shared" ca="1" si="34"/>
        <v>125.17719906286277</v>
      </c>
      <c r="AG90" s="306">
        <f t="shared" ca="1" si="56"/>
        <v>97.263842555180389</v>
      </c>
      <c r="AH90" s="304">
        <f t="shared" ca="1" si="57"/>
        <v>106.90775047786909</v>
      </c>
    </row>
    <row r="91" spans="1:34" x14ac:dyDescent="0.2">
      <c r="A91" s="347">
        <f t="shared" ca="1" si="35"/>
        <v>0.01</v>
      </c>
      <c r="B91" s="304">
        <f t="shared" ca="1" si="36"/>
        <v>0.87000000000000055</v>
      </c>
      <c r="D91" s="306">
        <f t="shared" ca="1" si="37"/>
        <v>19.530700656642505</v>
      </c>
      <c r="E91" s="307">
        <f t="shared" ca="1" si="38"/>
        <v>94.91973700954189</v>
      </c>
      <c r="F91" s="304">
        <f t="shared" ca="1" si="39"/>
        <v>96.908228454037754</v>
      </c>
      <c r="G91" s="306">
        <f t="shared" ca="1" si="40"/>
        <v>35.817824446525769</v>
      </c>
      <c r="H91" s="307">
        <f t="shared" ca="1" si="41"/>
        <v>191.96829846086541</v>
      </c>
      <c r="I91" s="304">
        <f t="shared" ca="1" si="42"/>
        <v>195.28119254562648</v>
      </c>
      <c r="J91" s="306">
        <f t="shared" ca="1" si="43"/>
        <v>23.166850545493404</v>
      </c>
      <c r="K91" s="307">
        <f t="shared" ca="1" si="44"/>
        <v>127.09213606062094</v>
      </c>
      <c r="L91" s="304">
        <f t="shared" ca="1" si="29"/>
        <v>129.18635381745477</v>
      </c>
      <c r="M91" s="306">
        <f t="shared" ca="1" si="45"/>
        <v>1.3863353699340657</v>
      </c>
      <c r="N91" s="304">
        <f t="shared" ca="1" si="46"/>
        <v>79.431165686929646</v>
      </c>
      <c r="P91" s="310">
        <f t="shared" ca="1" si="47"/>
        <v>3</v>
      </c>
      <c r="Q91" s="304">
        <f t="shared" ca="1" si="48"/>
        <v>754.93</v>
      </c>
      <c r="R91" s="306">
        <f t="shared" ca="1" si="49"/>
        <v>0.37886419351234224</v>
      </c>
      <c r="S91" s="307">
        <f t="shared" ca="1" si="50"/>
        <v>5.7697297299805177</v>
      </c>
      <c r="T91" s="304">
        <f t="shared" ca="1" si="30"/>
        <v>56.601048651108883</v>
      </c>
      <c r="U91" s="311">
        <f t="shared" ca="1" si="31"/>
        <v>0</v>
      </c>
      <c r="V91" s="306">
        <f t="shared" ca="1" si="32"/>
        <v>1.2095295221364517</v>
      </c>
      <c r="W91" s="304">
        <f t="shared" ca="1" si="33"/>
        <v>141.6252692989396</v>
      </c>
      <c r="Y91" s="314" t="str">
        <f t="shared" ca="1" si="51"/>
        <v/>
      </c>
      <c r="Z91" s="315" t="str">
        <f t="shared" ca="1" si="52"/>
        <v/>
      </c>
      <c r="AA91" s="316" t="str">
        <f t="shared" ca="1" si="53"/>
        <v/>
      </c>
      <c r="AC91" s="310" t="e">
        <f t="shared" ca="1" si="54"/>
        <v>#N/A</v>
      </c>
      <c r="AD91" s="323" t="e">
        <f t="shared" ca="1" si="55"/>
        <v>#N/A</v>
      </c>
      <c r="AE91" s="324">
        <f t="shared" ca="1" si="34"/>
        <v>127.09213606062094</v>
      </c>
      <c r="AG91" s="306">
        <f t="shared" ca="1" si="56"/>
        <v>96.891539331669279</v>
      </c>
      <c r="AH91" s="304">
        <f t="shared" ca="1" si="57"/>
        <v>106.53528092715194</v>
      </c>
    </row>
    <row r="92" spans="1:34" x14ac:dyDescent="0.2">
      <c r="A92" s="347">
        <f t="shared" ca="1" si="35"/>
        <v>0.01</v>
      </c>
      <c r="B92" s="304">
        <f t="shared" ca="1" si="36"/>
        <v>0.88000000000000056</v>
      </c>
      <c r="D92" s="306">
        <f t="shared" ca="1" si="37"/>
        <v>19.471888054026497</v>
      </c>
      <c r="E92" s="307">
        <f t="shared" ca="1" si="38"/>
        <v>94.551034633260429</v>
      </c>
      <c r="F92" s="304">
        <f t="shared" ca="1" si="39"/>
        <v>96.535240066043002</v>
      </c>
      <c r="G92" s="306">
        <f t="shared" ca="1" si="40"/>
        <v>36.012543327066034</v>
      </c>
      <c r="H92" s="307">
        <f t="shared" ca="1" si="41"/>
        <v>192.91380880719802</v>
      </c>
      <c r="I92" s="304">
        <f t="shared" ca="1" si="42"/>
        <v>196.24637806946643</v>
      </c>
      <c r="J92" s="306">
        <f t="shared" ca="1" si="43"/>
        <v>23.526002384361362</v>
      </c>
      <c r="K92" s="307">
        <f t="shared" ca="1" si="44"/>
        <v>129.01654659696126</v>
      </c>
      <c r="L92" s="304">
        <f t="shared" ca="1" si="29"/>
        <v>131.14397463854317</v>
      </c>
      <c r="M92" s="306">
        <f t="shared" ca="1" si="45"/>
        <v>1.3862436832760823</v>
      </c>
      <c r="N92" s="304">
        <f t="shared" ca="1" si="46"/>
        <v>79.425912428389537</v>
      </c>
      <c r="P92" s="310">
        <f t="shared" ca="1" si="47"/>
        <v>3</v>
      </c>
      <c r="Q92" s="304">
        <f t="shared" ca="1" si="48"/>
        <v>753.74999999999989</v>
      </c>
      <c r="R92" s="306">
        <f t="shared" ca="1" si="49"/>
        <v>0.37827200649057252</v>
      </c>
      <c r="S92" s="307">
        <f t="shared" ca="1" si="50"/>
        <v>5.765947009915612</v>
      </c>
      <c r="T92" s="304">
        <f t="shared" ca="1" si="30"/>
        <v>56.563940167272158</v>
      </c>
      <c r="U92" s="311">
        <f t="shared" ca="1" si="31"/>
        <v>0</v>
      </c>
      <c r="V92" s="306">
        <f t="shared" ca="1" si="32"/>
        <v>1.2092967718551557</v>
      </c>
      <c r="W92" s="304">
        <f t="shared" ca="1" si="33"/>
        <v>143.00118367238082</v>
      </c>
      <c r="Y92" s="314" t="str">
        <f t="shared" ca="1" si="51"/>
        <v/>
      </c>
      <c r="Z92" s="315" t="str">
        <f t="shared" ca="1" si="52"/>
        <v/>
      </c>
      <c r="AA92" s="316" t="str">
        <f t="shared" ca="1" si="53"/>
        <v/>
      </c>
      <c r="AC92" s="310" t="e">
        <f t="shared" ca="1" si="54"/>
        <v>#N/A</v>
      </c>
      <c r="AD92" s="323" t="e">
        <f t="shared" ca="1" si="55"/>
        <v>#N/A</v>
      </c>
      <c r="AE92" s="324">
        <f t="shared" ca="1" si="34"/>
        <v>129.01654659696126</v>
      </c>
      <c r="AG92" s="306">
        <f t="shared" ca="1" si="56"/>
        <v>96.518469897294821</v>
      </c>
      <c r="AH92" s="304">
        <f t="shared" ca="1" si="57"/>
        <v>106.16204582671305</v>
      </c>
    </row>
    <row r="93" spans="1:34" x14ac:dyDescent="0.2">
      <c r="A93" s="347">
        <f t="shared" ca="1" si="35"/>
        <v>0.01</v>
      </c>
      <c r="B93" s="304">
        <f t="shared" ca="1" si="36"/>
        <v>0.89000000000000057</v>
      </c>
      <c r="D93" s="306">
        <f t="shared" ca="1" si="37"/>
        <v>19.412827809670311</v>
      </c>
      <c r="E93" s="307">
        <f t="shared" ca="1" si="38"/>
        <v>94.181615323296313</v>
      </c>
      <c r="F93" s="304">
        <f t="shared" ca="1" si="39"/>
        <v>96.16150242416802</v>
      </c>
      <c r="G93" s="306">
        <f t="shared" ca="1" si="40"/>
        <v>36.20667160516274</v>
      </c>
      <c r="H93" s="307">
        <f t="shared" ca="1" si="41"/>
        <v>193.85562496043099</v>
      </c>
      <c r="I93" s="304">
        <f t="shared" ca="1" si="42"/>
        <v>197.20782539626404</v>
      </c>
      <c r="J93" s="306">
        <f t="shared" ca="1" si="43"/>
        <v>23.887098459022507</v>
      </c>
      <c r="K93" s="307">
        <f t="shared" ca="1" si="44"/>
        <v>130.95039376579942</v>
      </c>
      <c r="L93" s="304">
        <f t="shared" ca="1" si="29"/>
        <v>133.1112283025326</v>
      </c>
      <c r="M93" s="306">
        <f t="shared" ca="1" si="45"/>
        <v>1.3861523987831523</v>
      </c>
      <c r="N93" s="304">
        <f t="shared" ca="1" si="46"/>
        <v>79.420682212209655</v>
      </c>
      <c r="P93" s="310">
        <f t="shared" ca="1" si="47"/>
        <v>3</v>
      </c>
      <c r="Q93" s="304">
        <f t="shared" ca="1" si="48"/>
        <v>752.56999999999994</v>
      </c>
      <c r="R93" s="306">
        <f t="shared" ca="1" si="49"/>
        <v>0.37767981946880291</v>
      </c>
      <c r="S93" s="307">
        <f t="shared" ca="1" si="50"/>
        <v>5.7621702117209237</v>
      </c>
      <c r="T93" s="304">
        <f t="shared" ca="1" si="30"/>
        <v>56.526889776982266</v>
      </c>
      <c r="U93" s="311">
        <f t="shared" ca="1" si="31"/>
        <v>0</v>
      </c>
      <c r="V93" s="306">
        <f t="shared" ca="1" si="32"/>
        <v>1.2090629250755311</v>
      </c>
      <c r="W93" s="304">
        <f t="shared" ca="1" si="33"/>
        <v>144.37787016579739</v>
      </c>
      <c r="Y93" s="314" t="str">
        <f t="shared" ca="1" si="51"/>
        <v/>
      </c>
      <c r="Z93" s="315" t="str">
        <f t="shared" ca="1" si="52"/>
        <v/>
      </c>
      <c r="AA93" s="316" t="str">
        <f t="shared" ca="1" si="53"/>
        <v/>
      </c>
      <c r="AC93" s="310" t="e">
        <f t="shared" ca="1" si="54"/>
        <v>#N/A</v>
      </c>
      <c r="AD93" s="323" t="e">
        <f t="shared" ca="1" si="55"/>
        <v>#N/A</v>
      </c>
      <c r="AE93" s="324">
        <f t="shared" ca="1" si="34"/>
        <v>130.95039376579942</v>
      </c>
      <c r="AG93" s="306">
        <f t="shared" ca="1" si="56"/>
        <v>96.14465051451424</v>
      </c>
      <c r="AH93" s="304">
        <f t="shared" ca="1" si="57"/>
        <v>105.78806142999477</v>
      </c>
    </row>
    <row r="94" spans="1:34" x14ac:dyDescent="0.2">
      <c r="A94" s="347">
        <f t="shared" ca="1" si="35"/>
        <v>0.01</v>
      </c>
      <c r="B94" s="304">
        <f t="shared" ca="1" si="36"/>
        <v>0.90000000000000058</v>
      </c>
      <c r="D94" s="306">
        <f t="shared" ca="1" si="37"/>
        <v>19.353523726050419</v>
      </c>
      <c r="E94" s="307">
        <f t="shared" ca="1" si="38"/>
        <v>93.811494900543806</v>
      </c>
      <c r="F94" s="304">
        <f t="shared" ca="1" si="39"/>
        <v>95.787031774084909</v>
      </c>
      <c r="G94" s="306">
        <f t="shared" ca="1" si="40"/>
        <v>36.400206842423245</v>
      </c>
      <c r="H94" s="307">
        <f t="shared" ca="1" si="41"/>
        <v>194.79373990943643</v>
      </c>
      <c r="I94" s="304">
        <f t="shared" ca="1" si="42"/>
        <v>198.16552718895477</v>
      </c>
      <c r="J94" s="306">
        <f t="shared" ca="1" si="43"/>
        <v>24.250132851260435</v>
      </c>
      <c r="K94" s="307">
        <f t="shared" ca="1" si="44"/>
        <v>132.89364059014875</v>
      </c>
      <c r="L94" s="304">
        <f t="shared" ca="1" si="29"/>
        <v>135.08807738881848</v>
      </c>
      <c r="M94" s="306">
        <f t="shared" ca="1" si="45"/>
        <v>1.386061511031573</v>
      </c>
      <c r="N94" s="304">
        <f t="shared" ca="1" si="46"/>
        <v>79.415474727634731</v>
      </c>
      <c r="P94" s="310">
        <f t="shared" ca="1" si="47"/>
        <v>3</v>
      </c>
      <c r="Q94" s="304">
        <f t="shared" ca="1" si="48"/>
        <v>751.38999999999987</v>
      </c>
      <c r="R94" s="306">
        <f t="shared" ca="1" si="49"/>
        <v>0.37708763244703325</v>
      </c>
      <c r="S94" s="307">
        <f t="shared" ca="1" si="50"/>
        <v>5.7583993353964535</v>
      </c>
      <c r="T94" s="304">
        <f t="shared" ca="1" si="30"/>
        <v>56.489897480239215</v>
      </c>
      <c r="U94" s="311">
        <f t="shared" ca="1" si="31"/>
        <v>0</v>
      </c>
      <c r="V94" s="306">
        <f t="shared" ca="1" si="32"/>
        <v>1.2088279869124507</v>
      </c>
      <c r="W94" s="304">
        <f t="shared" ca="1" si="33"/>
        <v>145.75523390463326</v>
      </c>
      <c r="Y94" s="314" t="str">
        <f t="shared" ca="1" si="51"/>
        <v/>
      </c>
      <c r="Z94" s="315" t="str">
        <f t="shared" ca="1" si="52"/>
        <v/>
      </c>
      <c r="AA94" s="316" t="str">
        <f t="shared" ca="1" si="53"/>
        <v/>
      </c>
      <c r="AC94" s="310" t="e">
        <f t="shared" ca="1" si="54"/>
        <v>#N/A</v>
      </c>
      <c r="AD94" s="323" t="e">
        <f t="shared" ca="1" si="55"/>
        <v>#N/A</v>
      </c>
      <c r="AE94" s="324">
        <f t="shared" ca="1" si="34"/>
        <v>132.89364059014875</v>
      </c>
      <c r="AG94" s="306">
        <f t="shared" ca="1" si="56"/>
        <v>95.77009742092531</v>
      </c>
      <c r="AH94" s="304">
        <f t="shared" ca="1" si="57"/>
        <v>105.41334396573436</v>
      </c>
    </row>
    <row r="95" spans="1:34" x14ac:dyDescent="0.2">
      <c r="A95" s="347">
        <f t="shared" ca="1" si="35"/>
        <v>0.01</v>
      </c>
      <c r="B95" s="304">
        <f t="shared" ca="1" si="36"/>
        <v>0.91000000000000059</v>
      </c>
      <c r="D95" s="306">
        <f t="shared" ca="1" si="37"/>
        <v>19.293979590160941</v>
      </c>
      <c r="E95" s="307">
        <f t="shared" ca="1" si="38"/>
        <v>93.440689161566922</v>
      </c>
      <c r="F95" s="304">
        <f t="shared" ca="1" si="39"/>
        <v>95.41184433504111</v>
      </c>
      <c r="G95" s="306">
        <f t="shared" ca="1" si="40"/>
        <v>36.593146638324853</v>
      </c>
      <c r="H95" s="307">
        <f t="shared" ca="1" si="41"/>
        <v>195.72814680105211</v>
      </c>
      <c r="I95" s="304">
        <f t="shared" ca="1" si="42"/>
        <v>199.11947627258402</v>
      </c>
      <c r="J95" s="306">
        <f t="shared" ca="1" si="43"/>
        <v>24.615099618664175</v>
      </c>
      <c r="K95" s="307">
        <f t="shared" ca="1" si="44"/>
        <v>134.8462500237012</v>
      </c>
      <c r="L95" s="304">
        <f t="shared" ca="1" si="29"/>
        <v>137.07448440425117</v>
      </c>
      <c r="M95" s="306">
        <f t="shared" ca="1" si="45"/>
        <v>1.3859710146923934</v>
      </c>
      <c r="N95" s="304">
        <f t="shared" ca="1" si="46"/>
        <v>79.410289669338354</v>
      </c>
      <c r="P95" s="310">
        <f t="shared" ca="1" si="47"/>
        <v>3</v>
      </c>
      <c r="Q95" s="304">
        <f t="shared" ca="1" si="48"/>
        <v>750.20999999999992</v>
      </c>
      <c r="R95" s="306">
        <f t="shared" ca="1" si="49"/>
        <v>0.37649544542526359</v>
      </c>
      <c r="S95" s="307">
        <f t="shared" ca="1" si="50"/>
        <v>5.7546343809422007</v>
      </c>
      <c r="T95" s="304">
        <f t="shared" ca="1" si="30"/>
        <v>56.45296327704299</v>
      </c>
      <c r="U95" s="311">
        <f t="shared" ca="1" si="31"/>
        <v>0</v>
      </c>
      <c r="V95" s="306">
        <f t="shared" ca="1" si="32"/>
        <v>1.2085919624885304</v>
      </c>
      <c r="W95" s="304">
        <f t="shared" ca="1" si="33"/>
        <v>147.13318044509964</v>
      </c>
      <c r="Y95" s="314" t="str">
        <f t="shared" ca="1" si="51"/>
        <v/>
      </c>
      <c r="Z95" s="315" t="str">
        <f t="shared" ca="1" si="52"/>
        <v/>
      </c>
      <c r="AA95" s="316" t="str">
        <f t="shared" ca="1" si="53"/>
        <v/>
      </c>
      <c r="AC95" s="310" t="e">
        <f t="shared" ca="1" si="54"/>
        <v>#N/A</v>
      </c>
      <c r="AD95" s="323" t="e">
        <f t="shared" ca="1" si="55"/>
        <v>#N/A</v>
      </c>
      <c r="AE95" s="324">
        <f t="shared" ca="1" si="34"/>
        <v>134.8462500237012</v>
      </c>
      <c r="AG95" s="306">
        <f t="shared" ca="1" si="56"/>
        <v>95.394826827608654</v>
      </c>
      <c r="AH95" s="304">
        <f t="shared" ca="1" si="57"/>
        <v>105.03790963630254</v>
      </c>
    </row>
    <row r="96" spans="1:34" x14ac:dyDescent="0.2">
      <c r="A96" s="347">
        <f t="shared" ca="1" si="35"/>
        <v>0.01</v>
      </c>
      <c r="B96" s="304">
        <f t="shared" ca="1" si="36"/>
        <v>0.9200000000000006</v>
      </c>
      <c r="D96" s="306">
        <f t="shared" ca="1" si="37"/>
        <v>19.234199173514011</v>
      </c>
      <c r="E96" s="307">
        <f t="shared" ca="1" si="38"/>
        <v>93.069213876933816</v>
      </c>
      <c r="F96" s="304">
        <f t="shared" ca="1" si="39"/>
        <v>95.035956298218295</v>
      </c>
      <c r="G96" s="306">
        <f t="shared" ca="1" si="40"/>
        <v>36.785488630059994</v>
      </c>
      <c r="H96" s="307">
        <f t="shared" ca="1" si="41"/>
        <v>196.65883893982144</v>
      </c>
      <c r="I96" s="304">
        <f t="shared" ca="1" si="42"/>
        <v>200.06966563402585</v>
      </c>
      <c r="J96" s="306">
        <f t="shared" ca="1" si="43"/>
        <v>24.9819927950061</v>
      </c>
      <c r="K96" s="307">
        <f t="shared" ca="1" si="44"/>
        <v>136.80818495240558</v>
      </c>
      <c r="L96" s="304">
        <f t="shared" ca="1" si="29"/>
        <v>139.07041178475509</v>
      </c>
      <c r="M96" s="306">
        <f t="shared" ca="1" si="45"/>
        <v>1.3858809045291767</v>
      </c>
      <c r="N96" s="304">
        <f t="shared" ca="1" si="46"/>
        <v>79.405126737294793</v>
      </c>
      <c r="P96" s="310">
        <f t="shared" ca="1" si="47"/>
        <v>3</v>
      </c>
      <c r="Q96" s="304">
        <f t="shared" ca="1" si="48"/>
        <v>749.03</v>
      </c>
      <c r="R96" s="306">
        <f t="shared" ca="1" si="49"/>
        <v>0.37590325840349398</v>
      </c>
      <c r="S96" s="307">
        <f t="shared" ca="1" si="50"/>
        <v>5.7508753483581661</v>
      </c>
      <c r="T96" s="304">
        <f t="shared" ca="1" si="30"/>
        <v>56.416087167393613</v>
      </c>
      <c r="U96" s="311">
        <f t="shared" ca="1" si="31"/>
        <v>0</v>
      </c>
      <c r="V96" s="306">
        <f t="shared" ca="1" si="32"/>
        <v>1.2083548569338878</v>
      </c>
      <c r="W96" s="304">
        <f t="shared" ca="1" si="33"/>
        <v>148.51161578206606</v>
      </c>
      <c r="Y96" s="314" t="str">
        <f t="shared" ca="1" si="51"/>
        <v/>
      </c>
      <c r="Z96" s="315" t="str">
        <f t="shared" ca="1" si="52"/>
        <v/>
      </c>
      <c r="AA96" s="316" t="str">
        <f t="shared" ca="1" si="53"/>
        <v/>
      </c>
      <c r="AC96" s="310" t="e">
        <f t="shared" ca="1" si="54"/>
        <v>#N/A</v>
      </c>
      <c r="AD96" s="323" t="e">
        <f t="shared" ca="1" si="55"/>
        <v>#N/A</v>
      </c>
      <c r="AE96" s="324">
        <f t="shared" ca="1" si="34"/>
        <v>136.80818495240558</v>
      </c>
      <c r="AG96" s="306">
        <f t="shared" ca="1" si="56"/>
        <v>95.018854917484532</v>
      </c>
      <c r="AH96" s="304">
        <f t="shared" ca="1" si="57"/>
        <v>104.66177461605693</v>
      </c>
    </row>
    <row r="97" spans="1:34" x14ac:dyDescent="0.2">
      <c r="A97" s="347">
        <f t="shared" ca="1" si="35"/>
        <v>0.01</v>
      </c>
      <c r="B97" s="304">
        <f t="shared" ca="1" si="36"/>
        <v>0.9300000000000006</v>
      </c>
      <c r="D97" s="306">
        <f t="shared" ca="1" si="37"/>
        <v>19.174186232133312</v>
      </c>
      <c r="E97" s="307">
        <f t="shared" ca="1" si="38"/>
        <v>92.697084789567867</v>
      </c>
      <c r="F97" s="304">
        <f t="shared" ca="1" si="39"/>
        <v>94.659383825106659</v>
      </c>
      <c r="G97" s="306">
        <f t="shared" ca="1" si="40"/>
        <v>36.977230492381331</v>
      </c>
      <c r="H97" s="307">
        <f t="shared" ca="1" si="41"/>
        <v>197.58580978771712</v>
      </c>
      <c r="I97" s="304">
        <f t="shared" ca="1" si="42"/>
        <v>201.01608842168488</v>
      </c>
      <c r="J97" s="306">
        <f t="shared" ca="1" si="43"/>
        <v>25.350806390618306</v>
      </c>
      <c r="K97" s="307">
        <f t="shared" ca="1" si="44"/>
        <v>138.77940819604328</v>
      </c>
      <c r="L97" s="304">
        <f t="shared" ca="1" si="29"/>
        <v>141.07582189694526</v>
      </c>
      <c r="M97" s="306">
        <f t="shared" ca="1" si="45"/>
        <v>1.385791175395833</v>
      </c>
      <c r="N97" s="304">
        <f t="shared" ca="1" si="46"/>
        <v>79.399985636654833</v>
      </c>
      <c r="P97" s="310">
        <f t="shared" ca="1" si="47"/>
        <v>3</v>
      </c>
      <c r="Q97" s="304">
        <f t="shared" ca="1" si="48"/>
        <v>747.84999999999991</v>
      </c>
      <c r="R97" s="306">
        <f t="shared" ca="1" si="49"/>
        <v>0.37531107138172431</v>
      </c>
      <c r="S97" s="307">
        <f t="shared" ca="1" si="50"/>
        <v>5.7471222376443487</v>
      </c>
      <c r="T97" s="304">
        <f t="shared" ca="1" si="30"/>
        <v>56.379269151291062</v>
      </c>
      <c r="U97" s="311">
        <f t="shared" ca="1" si="31"/>
        <v>0</v>
      </c>
      <c r="V97" s="306">
        <f t="shared" ca="1" si="32"/>
        <v>1.2081166753859012</v>
      </c>
      <c r="W97" s="304">
        <f t="shared" ca="1" si="33"/>
        <v>149.89044635682833</v>
      </c>
      <c r="Y97" s="314" t="str">
        <f t="shared" ca="1" si="51"/>
        <v/>
      </c>
      <c r="Z97" s="315" t="str">
        <f t="shared" ca="1" si="52"/>
        <v/>
      </c>
      <c r="AA97" s="316" t="str">
        <f t="shared" ca="1" si="53"/>
        <v/>
      </c>
      <c r="AC97" s="310" t="e">
        <f t="shared" ca="1" si="54"/>
        <v>#N/A</v>
      </c>
      <c r="AD97" s="323" t="e">
        <f t="shared" ca="1" si="55"/>
        <v>#N/A</v>
      </c>
      <c r="AE97" s="324">
        <f t="shared" ca="1" si="34"/>
        <v>138.77940819604328</v>
      </c>
      <c r="AG97" s="306">
        <f t="shared" ca="1" si="56"/>
        <v>94.642197843685068</v>
      </c>
      <c r="AH97" s="304">
        <f t="shared" ca="1" si="57"/>
        <v>104.28495504971073</v>
      </c>
    </row>
    <row r="98" spans="1:34" x14ac:dyDescent="0.2">
      <c r="A98" s="347">
        <f t="shared" ca="1" si="35"/>
        <v>0.01</v>
      </c>
      <c r="B98" s="304">
        <f t="shared" ca="1" si="36"/>
        <v>0.94000000000000061</v>
      </c>
      <c r="D98" s="306">
        <f t="shared" ca="1" si="37"/>
        <v>19.113944506540204</v>
      </c>
      <c r="E98" s="307">
        <f t="shared" ca="1" si="38"/>
        <v>92.324317613115014</v>
      </c>
      <c r="F98" s="304">
        <f t="shared" ca="1" si="39"/>
        <v>94.282143045894102</v>
      </c>
      <c r="G98" s="306">
        <f t="shared" ca="1" si="40"/>
        <v>37.168369937446734</v>
      </c>
      <c r="H98" s="307">
        <f t="shared" ca="1" si="41"/>
        <v>198.50905296384826</v>
      </c>
      <c r="I98" s="304">
        <f t="shared" ca="1" si="42"/>
        <v>201.95873794518229</v>
      </c>
      <c r="J98" s="306">
        <f t="shared" ca="1" si="43"/>
        <v>25.721534392767445</v>
      </c>
      <c r="K98" s="307">
        <f t="shared" ca="1" si="44"/>
        <v>140.75988250980112</v>
      </c>
      <c r="L98" s="304">
        <f t="shared" ca="1" si="29"/>
        <v>143.09067703974054</v>
      </c>
      <c r="M98" s="306">
        <f t="shared" ca="1" si="45"/>
        <v>1.3857018222345112</v>
      </c>
      <c r="N98" s="304">
        <f t="shared" ca="1" si="46"/>
        <v>79.394866077624954</v>
      </c>
      <c r="P98" s="310">
        <f t="shared" ca="1" si="47"/>
        <v>3</v>
      </c>
      <c r="Q98" s="304">
        <f t="shared" ca="1" si="48"/>
        <v>746.67</v>
      </c>
      <c r="R98" s="306">
        <f t="shared" ca="1" si="49"/>
        <v>0.37471888435995465</v>
      </c>
      <c r="S98" s="307">
        <f t="shared" ca="1" si="50"/>
        <v>5.7433750488007496</v>
      </c>
      <c r="T98" s="304">
        <f t="shared" ca="1" si="30"/>
        <v>56.342509228735359</v>
      </c>
      <c r="U98" s="311">
        <f t="shared" ca="1" si="31"/>
        <v>0</v>
      </c>
      <c r="V98" s="306">
        <f t="shared" ca="1" si="32"/>
        <v>1.2078774229889666</v>
      </c>
      <c r="W98" s="304">
        <f t="shared" ca="1" si="33"/>
        <v>151.26957906475283</v>
      </c>
      <c r="Y98" s="314" t="str">
        <f t="shared" ca="1" si="51"/>
        <v/>
      </c>
      <c r="Z98" s="315" t="str">
        <f t="shared" ca="1" si="52"/>
        <v/>
      </c>
      <c r="AA98" s="316" t="str">
        <f t="shared" ca="1" si="53"/>
        <v/>
      </c>
      <c r="AC98" s="310" t="e">
        <f t="shared" ca="1" si="54"/>
        <v>#N/A</v>
      </c>
      <c r="AD98" s="323" t="e">
        <f t="shared" ca="1" si="55"/>
        <v>#N/A</v>
      </c>
      <c r="AE98" s="324">
        <f t="shared" ca="1" si="34"/>
        <v>140.75988250980112</v>
      </c>
      <c r="AG98" s="306">
        <f t="shared" ca="1" si="56"/>
        <v>94.264871727941383</v>
      </c>
      <c r="AH98" s="304">
        <f t="shared" ca="1" si="57"/>
        <v>103.90746705071659</v>
      </c>
    </row>
    <row r="99" spans="1:34" x14ac:dyDescent="0.2">
      <c r="A99" s="347">
        <f t="shared" ca="1" si="35"/>
        <v>0.01</v>
      </c>
      <c r="B99" s="304">
        <f t="shared" ca="1" si="36"/>
        <v>0.95000000000000062</v>
      </c>
      <c r="D99" s="306">
        <f t="shared" ca="1" si="37"/>
        <v>19.053477721733678</v>
      </c>
      <c r="E99" s="307">
        <f t="shared" ca="1" si="38"/>
        <v>91.950928030328242</v>
      </c>
      <c r="F99" s="304">
        <f t="shared" ca="1" si="39"/>
        <v>93.904250057871209</v>
      </c>
      <c r="G99" s="306">
        <f t="shared" ca="1" si="40"/>
        <v>37.358904714664071</v>
      </c>
      <c r="H99" s="307">
        <f t="shared" ca="1" si="41"/>
        <v>199.42856224415155</v>
      </c>
      <c r="I99" s="304">
        <f t="shared" ca="1" si="42"/>
        <v>202.89760767502602</v>
      </c>
      <c r="J99" s="306">
        <f t="shared" ca="1" si="43"/>
        <v>26.094170766028</v>
      </c>
      <c r="K99" s="307">
        <f t="shared" ca="1" si="44"/>
        <v>142.74957058584113</v>
      </c>
      <c r="L99" s="304">
        <f t="shared" ca="1" si="29"/>
        <v>145.11493944597387</v>
      </c>
      <c r="M99" s="306">
        <f t="shared" ca="1" si="45"/>
        <v>1.3856128400735568</v>
      </c>
      <c r="N99" s="304">
        <f t="shared" ca="1" si="46"/>
        <v>79.389767775350307</v>
      </c>
      <c r="P99" s="310">
        <f t="shared" ca="1" si="47"/>
        <v>3</v>
      </c>
      <c r="Q99" s="304">
        <f t="shared" ca="1" si="48"/>
        <v>745.4899999999999</v>
      </c>
      <c r="R99" s="306">
        <f t="shared" ca="1" si="49"/>
        <v>0.37412669733818499</v>
      </c>
      <c r="S99" s="307">
        <f t="shared" ca="1" si="50"/>
        <v>5.7396337818273677</v>
      </c>
      <c r="T99" s="304">
        <f t="shared" ca="1" si="30"/>
        <v>56.305807399726483</v>
      </c>
      <c r="U99" s="311">
        <f t="shared" ca="1" si="31"/>
        <v>0</v>
      </c>
      <c r="V99" s="306">
        <f t="shared" ca="1" si="32"/>
        <v>1.2076371048942582</v>
      </c>
      <c r="W99" s="304">
        <f t="shared" ca="1" si="33"/>
        <v>152.64892126279798</v>
      </c>
      <c r="Y99" s="314" t="str">
        <f t="shared" ca="1" si="51"/>
        <v/>
      </c>
      <c r="Z99" s="315" t="str">
        <f t="shared" ca="1" si="52"/>
        <v/>
      </c>
      <c r="AA99" s="316" t="str">
        <f t="shared" ca="1" si="53"/>
        <v/>
      </c>
      <c r="AC99" s="310" t="e">
        <f t="shared" ca="1" si="54"/>
        <v>#N/A</v>
      </c>
      <c r="AD99" s="323" t="e">
        <f t="shared" ca="1" si="55"/>
        <v>#N/A</v>
      </c>
      <c r="AE99" s="324">
        <f t="shared" ca="1" si="34"/>
        <v>142.74957058584113</v>
      </c>
      <c r="AG99" s="306">
        <f t="shared" ca="1" si="56"/>
        <v>93.886892658986568</v>
      </c>
      <c r="AH99" s="304">
        <f t="shared" ca="1" si="57"/>
        <v>103.52932669966634</v>
      </c>
    </row>
    <row r="100" spans="1:34" x14ac:dyDescent="0.2">
      <c r="A100" s="347">
        <f t="shared" ca="1" si="35"/>
        <v>0.01</v>
      </c>
      <c r="B100" s="304">
        <f t="shared" ca="1" si="36"/>
        <v>0.96000000000000063</v>
      </c>
      <c r="D100" s="306">
        <f t="shared" ca="1" si="37"/>
        <v>18.992789587163692</v>
      </c>
      <c r="E100" s="307">
        <f t="shared" ca="1" si="38"/>
        <v>91.576931691469113</v>
      </c>
      <c r="F100" s="304">
        <f t="shared" ca="1" si="39"/>
        <v>93.525720923852134</v>
      </c>
      <c r="G100" s="306">
        <f t="shared" ca="1" si="40"/>
        <v>37.548832610535705</v>
      </c>
      <c r="H100" s="307">
        <f t="shared" ca="1" si="41"/>
        <v>200.34433156106624</v>
      </c>
      <c r="I100" s="304">
        <f t="shared" ca="1" si="42"/>
        <v>203.83269124226484</v>
      </c>
      <c r="J100" s="306">
        <f t="shared" ca="1" si="43"/>
        <v>26.468709452654</v>
      </c>
      <c r="K100" s="307">
        <f t="shared" ca="1" si="44"/>
        <v>144.74843505486723</v>
      </c>
      <c r="L100" s="304">
        <f t="shared" ca="1" si="29"/>
        <v>147.14857128399899</v>
      </c>
      <c r="M100" s="306">
        <f t="shared" ca="1" si="45"/>
        <v>1.3855242240255232</v>
      </c>
      <c r="N100" s="304">
        <f t="shared" ca="1" si="46"/>
        <v>79.384690449800857</v>
      </c>
      <c r="P100" s="310">
        <f t="shared" ca="1" si="47"/>
        <v>3</v>
      </c>
      <c r="Q100" s="304">
        <f t="shared" ca="1" si="48"/>
        <v>744.31</v>
      </c>
      <c r="R100" s="306">
        <f t="shared" ca="1" si="49"/>
        <v>0.37353451031641538</v>
      </c>
      <c r="S100" s="307">
        <f t="shared" ca="1" si="50"/>
        <v>5.7358984367242032</v>
      </c>
      <c r="T100" s="304">
        <f t="shared" ca="1" si="30"/>
        <v>56.269163664264433</v>
      </c>
      <c r="U100" s="311">
        <f t="shared" ca="1" si="31"/>
        <v>0</v>
      </c>
      <c r="V100" s="306">
        <f t="shared" ca="1" si="32"/>
        <v>1.2073957262594899</v>
      </c>
      <c r="W100" s="304">
        <f t="shared" ca="1" si="33"/>
        <v>154.02838077691052</v>
      </c>
      <c r="Y100" s="314" t="str">
        <f t="shared" ca="1" si="51"/>
        <v/>
      </c>
      <c r="Z100" s="315" t="str">
        <f t="shared" ca="1" si="52"/>
        <v/>
      </c>
      <c r="AA100" s="316" t="str">
        <f t="shared" ca="1" si="53"/>
        <v/>
      </c>
      <c r="AC100" s="310" t="e">
        <f t="shared" ca="1" si="54"/>
        <v>#N/A</v>
      </c>
      <c r="AD100" s="323" t="e">
        <f t="shared" ca="1" si="55"/>
        <v>#N/A</v>
      </c>
      <c r="AE100" s="324">
        <f t="shared" ca="1" si="34"/>
        <v>144.74843505486723</v>
      </c>
      <c r="AG100" s="306">
        <f t="shared" ca="1" si="56"/>
        <v>93.508276690974256</v>
      </c>
      <c r="AH100" s="304">
        <f t="shared" ca="1" si="57"/>
        <v>103.1505500427065</v>
      </c>
    </row>
    <row r="101" spans="1:34" x14ac:dyDescent="0.2">
      <c r="A101" s="347">
        <f t="shared" ca="1" si="35"/>
        <v>0.01</v>
      </c>
      <c r="B101" s="304">
        <f t="shared" ca="1" si="36"/>
        <v>0.97000000000000064</v>
      </c>
      <c r="D101" s="306">
        <f t="shared" ca="1" si="37"/>
        <v>18.931883796699086</v>
      </c>
      <c r="E101" s="307">
        <f t="shared" ca="1" si="38"/>
        <v>91.202344212725933</v>
      </c>
      <c r="F101" s="304">
        <f t="shared" ca="1" si="39"/>
        <v>93.146571670610939</v>
      </c>
      <c r="G101" s="306">
        <f t="shared" ca="1" si="40"/>
        <v>37.738151448502698</v>
      </c>
      <c r="H101" s="307">
        <f t="shared" ca="1" si="41"/>
        <v>201.25635500319351</v>
      </c>
      <c r="I101" s="304">
        <f t="shared" ca="1" si="42"/>
        <v>204.76398243812699</v>
      </c>
      <c r="J101" s="306">
        <f t="shared" ca="1" si="43"/>
        <v>26.845144372949193</v>
      </c>
      <c r="K101" s="307">
        <f t="shared" ca="1" si="44"/>
        <v>146.75643848768854</v>
      </c>
      <c r="L101" s="304">
        <f t="shared" ca="1" si="29"/>
        <v>149.19153465929358</v>
      </c>
      <c r="M101" s="306">
        <f t="shared" ca="1" si="45"/>
        <v>1.3854359692852449</v>
      </c>
      <c r="N101" s="304">
        <f t="shared" ca="1" si="46"/>
        <v>79.379633825660889</v>
      </c>
      <c r="P101" s="310">
        <f t="shared" ca="1" si="47"/>
        <v>3</v>
      </c>
      <c r="Q101" s="304">
        <f t="shared" ca="1" si="48"/>
        <v>743.12999999999988</v>
      </c>
      <c r="R101" s="306">
        <f t="shared" ca="1" si="49"/>
        <v>0.37294232329464566</v>
      </c>
      <c r="S101" s="307">
        <f t="shared" ca="1" si="50"/>
        <v>5.7321690134912568</v>
      </c>
      <c r="T101" s="304">
        <f t="shared" ca="1" si="30"/>
        <v>56.23257802234923</v>
      </c>
      <c r="U101" s="311">
        <f t="shared" ca="1" si="31"/>
        <v>0</v>
      </c>
      <c r="V101" s="306">
        <f t="shared" ca="1" si="32"/>
        <v>1.2071532922486738</v>
      </c>
      <c r="W101" s="304">
        <f t="shared" ca="1" si="33"/>
        <v>155.40786590929702</v>
      </c>
      <c r="Y101" s="314" t="str">
        <f t="shared" ca="1" si="51"/>
        <v/>
      </c>
      <c r="Z101" s="315" t="str">
        <f t="shared" ca="1" si="52"/>
        <v/>
      </c>
      <c r="AA101" s="316" t="str">
        <f t="shared" ca="1" si="53"/>
        <v/>
      </c>
      <c r="AC101" s="310" t="e">
        <f t="shared" ca="1" si="54"/>
        <v>#N/A</v>
      </c>
      <c r="AD101" s="323" t="e">
        <f t="shared" ca="1" si="55"/>
        <v>#N/A</v>
      </c>
      <c r="AE101" s="324">
        <f t="shared" ca="1" si="34"/>
        <v>146.75643848768854</v>
      </c>
      <c r="AG101" s="306">
        <f t="shared" ca="1" si="56"/>
        <v>93.129039841912942</v>
      </c>
      <c r="AH101" s="304">
        <f t="shared" ca="1" si="57"/>
        <v>102.77115308996949</v>
      </c>
    </row>
    <row r="102" spans="1:34" x14ac:dyDescent="0.2">
      <c r="A102" s="347">
        <f t="shared" ca="1" si="35"/>
        <v>0.01</v>
      </c>
      <c r="B102" s="304">
        <f t="shared" ca="1" si="36"/>
        <v>0.98000000000000065</v>
      </c>
      <c r="D102" s="306">
        <f t="shared" ca="1" si="37"/>
        <v>18.870764028589697</v>
      </c>
      <c r="E102" s="307">
        <f t="shared" ca="1" si="38"/>
        <v>90.827181174649908</v>
      </c>
      <c r="F102" s="304">
        <f t="shared" ca="1" si="39"/>
        <v>92.7668182873348</v>
      </c>
      <c r="G102" s="306">
        <f t="shared" ca="1" si="40"/>
        <v>37.926859088788596</v>
      </c>
      <c r="H102" s="307">
        <f t="shared" ca="1" si="41"/>
        <v>202.16462681493999</v>
      </c>
      <c r="I102" s="304">
        <f t="shared" ca="1" si="42"/>
        <v>205.69147521364317</v>
      </c>
      <c r="J102" s="306">
        <f t="shared" ca="1" si="43"/>
        <v>27.223469425635649</v>
      </c>
      <c r="K102" s="307">
        <f t="shared" ca="1" si="44"/>
        <v>148.77354339677922</v>
      </c>
      <c r="L102" s="304">
        <f t="shared" ca="1" si="29"/>
        <v>151.24379161605896</v>
      </c>
      <c r="M102" s="306">
        <f t="shared" ca="1" si="45"/>
        <v>1.3853480711279631</v>
      </c>
      <c r="N102" s="304">
        <f t="shared" ca="1" si="46"/>
        <v>79.374597632221665</v>
      </c>
      <c r="P102" s="310">
        <f t="shared" ca="1" si="47"/>
        <v>3</v>
      </c>
      <c r="Q102" s="304">
        <f t="shared" ca="1" si="48"/>
        <v>741.94999999999993</v>
      </c>
      <c r="R102" s="306">
        <f t="shared" ca="1" si="49"/>
        <v>0.37235013627287605</v>
      </c>
      <c r="S102" s="307">
        <f t="shared" ca="1" si="50"/>
        <v>5.7284455121285278</v>
      </c>
      <c r="T102" s="304">
        <f t="shared" ca="1" si="30"/>
        <v>56.196050473980861</v>
      </c>
      <c r="U102" s="311">
        <f t="shared" ca="1" si="31"/>
        <v>0</v>
      </c>
      <c r="V102" s="306">
        <f t="shared" ca="1" si="32"/>
        <v>1.2069098080318859</v>
      </c>
      <c r="W102" s="304">
        <f t="shared" ca="1" si="33"/>
        <v>156.78728544557012</v>
      </c>
      <c r="Y102" s="314" t="str">
        <f t="shared" ca="1" si="51"/>
        <v/>
      </c>
      <c r="Z102" s="315" t="str">
        <f t="shared" ca="1" si="52"/>
        <v/>
      </c>
      <c r="AA102" s="316" t="str">
        <f t="shared" ca="1" si="53"/>
        <v/>
      </c>
      <c r="AC102" s="310" t="e">
        <f t="shared" ca="1" si="54"/>
        <v>#N/A</v>
      </c>
      <c r="AD102" s="323" t="e">
        <f t="shared" ca="1" si="55"/>
        <v>#N/A</v>
      </c>
      <c r="AE102" s="324">
        <f t="shared" ca="1" si="34"/>
        <v>148.77354339677922</v>
      </c>
      <c r="AG102" s="306">
        <f t="shared" ca="1" si="56"/>
        <v>92.749198092116913</v>
      </c>
      <c r="AH102" s="304">
        <f t="shared" ca="1" si="57"/>
        <v>102.39115181402163</v>
      </c>
    </row>
    <row r="103" spans="1:34" x14ac:dyDescent="0.2">
      <c r="A103" s="347">
        <f t="shared" ca="1" si="35"/>
        <v>0.01</v>
      </c>
      <c r="B103" s="304">
        <f t="shared" ca="1" si="36"/>
        <v>0.99000000000000066</v>
      </c>
      <c r="D103" s="306">
        <f t="shared" ca="1" si="37"/>
        <v>18.809433945423368</v>
      </c>
      <c r="E103" s="307">
        <f t="shared" ca="1" si="38"/>
        <v>90.451458120608024</v>
      </c>
      <c r="F103" s="304">
        <f t="shared" ca="1" si="39"/>
        <v>92.386476724092859</v>
      </c>
      <c r="G103" s="306">
        <f t="shared" ca="1" si="40"/>
        <v>38.114953428242828</v>
      </c>
      <c r="H103" s="307">
        <f t="shared" ca="1" si="41"/>
        <v>203.06914139614608</v>
      </c>
      <c r="I103" s="304">
        <f t="shared" ca="1" si="42"/>
        <v>206.61516367925441</v>
      </c>
      <c r="J103" s="306">
        <f t="shared" ca="1" si="43"/>
        <v>27.603678488220805</v>
      </c>
      <c r="K103" s="307">
        <f t="shared" ca="1" si="44"/>
        <v>150.79971223783465</v>
      </c>
      <c r="L103" s="304">
        <f t="shared" ca="1" si="29"/>
        <v>153.30530413881579</v>
      </c>
      <c r="M103" s="306">
        <f t="shared" ca="1" si="45"/>
        <v>1.385260524907505</v>
      </c>
      <c r="N103" s="304">
        <f t="shared" ca="1" si="46"/>
        <v>79.369581603277084</v>
      </c>
      <c r="P103" s="310">
        <f t="shared" ca="1" si="47"/>
        <v>3</v>
      </c>
      <c r="Q103" s="304">
        <f t="shared" ca="1" si="48"/>
        <v>740.77</v>
      </c>
      <c r="R103" s="306">
        <f t="shared" ca="1" si="49"/>
        <v>0.37175794925110639</v>
      </c>
      <c r="S103" s="307">
        <f t="shared" ca="1" si="50"/>
        <v>5.724727932636017</v>
      </c>
      <c r="T103" s="304">
        <f t="shared" ca="1" si="30"/>
        <v>56.159581019159326</v>
      </c>
      <c r="U103" s="311">
        <f t="shared" ca="1" si="31"/>
        <v>0</v>
      </c>
      <c r="V103" s="306">
        <f t="shared" ca="1" si="32"/>
        <v>1.2066652787850245</v>
      </c>
      <c r="W103" s="304">
        <f t="shared" ca="1" si="33"/>
        <v>158.1665486617685</v>
      </c>
      <c r="Y103" s="314" t="str">
        <f t="shared" ca="1" si="51"/>
        <v/>
      </c>
      <c r="Z103" s="315" t="str">
        <f t="shared" ca="1" si="52"/>
        <v/>
      </c>
      <c r="AA103" s="316" t="str">
        <f t="shared" ca="1" si="53"/>
        <v/>
      </c>
      <c r="AC103" s="310" t="e">
        <f t="shared" ca="1" si="54"/>
        <v>#N/A</v>
      </c>
      <c r="AD103" s="323" t="e">
        <f t="shared" ca="1" si="55"/>
        <v>#N/A</v>
      </c>
      <c r="AE103" s="324">
        <f t="shared" ca="1" si="34"/>
        <v>150.79971223783465</v>
      </c>
      <c r="AG103" s="306">
        <f t="shared" ca="1" si="56"/>
        <v>92.368767382672942</v>
      </c>
      <c r="AH103" s="304">
        <f t="shared" ca="1" si="57"/>
        <v>102.01056214832698</v>
      </c>
    </row>
    <row r="104" spans="1:34" x14ac:dyDescent="0.2">
      <c r="A104" s="347">
        <f t="shared" ca="1" si="35"/>
        <v>0.01</v>
      </c>
      <c r="B104" s="304">
        <f t="shared" ca="1" si="36"/>
        <v>1.0000000000000007</v>
      </c>
      <c r="D104" s="306">
        <f t="shared" ca="1" si="37"/>
        <v>18.747897194078181</v>
      </c>
      <c r="E104" s="307">
        <f t="shared" ca="1" si="38"/>
        <v>90.075190555254167</v>
      </c>
      <c r="F104" s="304">
        <f t="shared" ca="1" si="39"/>
        <v>92.005562890322423</v>
      </c>
      <c r="G104" s="306">
        <f t="shared" ca="1" si="40"/>
        <v>38.302432400183612</v>
      </c>
      <c r="H104" s="307">
        <f t="shared" ca="1" si="41"/>
        <v>203.96989330169862</v>
      </c>
      <c r="I104" s="304">
        <f t="shared" ca="1" si="42"/>
        <v>207.53504210440451</v>
      </c>
      <c r="J104" s="306">
        <f t="shared" ca="1" si="43"/>
        <v>27.985765417362938</v>
      </c>
      <c r="K104" s="307">
        <f t="shared" ca="1" si="44"/>
        <v>152.83490741132388</v>
      </c>
      <c r="L104" s="304">
        <f t="shared" ca="1" si="29"/>
        <v>155.37603415399562</v>
      </c>
      <c r="M104" s="306">
        <f t="shared" ca="1" si="45"/>
        <v>1.3851733260545143</v>
      </c>
      <c r="N104" s="304">
        <f t="shared" ca="1" si="46"/>
        <v>79.364585477022345</v>
      </c>
      <c r="P104" s="310">
        <f t="shared" ca="1" si="47"/>
        <v>3</v>
      </c>
      <c r="Q104" s="304">
        <f t="shared" ca="1" si="48"/>
        <v>739.58999999999992</v>
      </c>
      <c r="R104" s="306">
        <f t="shared" ca="1" si="49"/>
        <v>0.37116576222933673</v>
      </c>
      <c r="S104" s="307">
        <f t="shared" ca="1" si="50"/>
        <v>5.7210162750137235</v>
      </c>
      <c r="T104" s="304">
        <f t="shared" ca="1" si="30"/>
        <v>56.123169657884631</v>
      </c>
      <c r="U104" s="311">
        <f t="shared" ca="1" si="31"/>
        <v>0</v>
      </c>
      <c r="V104" s="306">
        <f t="shared" ca="1" si="32"/>
        <v>1.2064197096895761</v>
      </c>
      <c r="W104" s="304">
        <f t="shared" ca="1" si="33"/>
        <v>159.54556533125046</v>
      </c>
      <c r="Y104" s="314" t="str">
        <f t="shared" ca="1" si="51"/>
        <v/>
      </c>
      <c r="Z104" s="315" t="str">
        <f t="shared" ca="1" si="52"/>
        <v/>
      </c>
      <c r="AA104" s="316" t="str">
        <f t="shared" ca="1" si="53"/>
        <v/>
      </c>
      <c r="AC104" s="310">
        <f t="shared" ca="1" si="54"/>
        <v>1.0000000000000007</v>
      </c>
      <c r="AD104" s="323">
        <f t="shared" ca="1" si="55"/>
        <v>27.985765417362938</v>
      </c>
      <c r="AE104" s="324">
        <f t="shared" ca="1" si="34"/>
        <v>152.83490741132388</v>
      </c>
      <c r="AG104" s="306">
        <f t="shared" ca="1" si="56"/>
        <v>91.987763613924074</v>
      </c>
      <c r="AH104" s="304">
        <f t="shared" ca="1" si="57"/>
        <v>101.62939998572836</v>
      </c>
    </row>
    <row r="105" spans="1:34" x14ac:dyDescent="0.2">
      <c r="A105" s="347">
        <f t="shared" ca="1" si="35"/>
        <v>0.01</v>
      </c>
      <c r="B105" s="304">
        <f t="shared" ca="1" si="36"/>
        <v>1.0100000000000007</v>
      </c>
      <c r="D105" s="306">
        <f t="shared" ca="1" si="37"/>
        <v>18.679375012441803</v>
      </c>
      <c r="E105" s="307">
        <f t="shared" ca="1" si="38"/>
        <v>89.662276027355006</v>
      </c>
      <c r="F105" s="304">
        <f t="shared" ca="1" si="39"/>
        <v>91.58735061819965</v>
      </c>
      <c r="G105" s="306">
        <f t="shared" ca="1" si="40"/>
        <v>38.489226150308028</v>
      </c>
      <c r="H105" s="307">
        <f t="shared" ca="1" si="41"/>
        <v>204.86651606197216</v>
      </c>
      <c r="I105" s="304">
        <f t="shared" ca="1" si="42"/>
        <v>208.45073742498454</v>
      </c>
      <c r="J105" s="306">
        <f t="shared" ca="1" si="43"/>
        <v>28.369723710115395</v>
      </c>
      <c r="K105" s="307">
        <f t="shared" ca="1" si="44"/>
        <v>154.87908945814223</v>
      </c>
      <c r="L105" s="304">
        <f t="shared" ca="1" si="29"/>
        <v>157.45594169408631</v>
      </c>
      <c r="M105" s="306">
        <f t="shared" ca="1" si="45"/>
        <v>1.3850864699216079</v>
      </c>
      <c r="N105" s="304">
        <f t="shared" ca="1" si="46"/>
        <v>79.359608987181971</v>
      </c>
      <c r="P105" s="310">
        <f t="shared" ca="1" si="47"/>
        <v>4</v>
      </c>
      <c r="Q105" s="304">
        <f t="shared" ca="1" si="48"/>
        <v>738.19999999999982</v>
      </c>
      <c r="R105" s="306">
        <f t="shared" ca="1" si="49"/>
        <v>0.37046818599182835</v>
      </c>
      <c r="S105" s="307">
        <f t="shared" ca="1" si="50"/>
        <v>5.7173115931538048</v>
      </c>
      <c r="T105" s="304">
        <f t="shared" ca="1" si="30"/>
        <v>56.08682672883883</v>
      </c>
      <c r="U105" s="311">
        <f t="shared" ca="1" si="31"/>
        <v>0</v>
      </c>
      <c r="V105" s="306">
        <f t="shared" ca="1" si="32"/>
        <v>1.2061731061502166</v>
      </c>
      <c r="W105" s="304">
        <f t="shared" ca="1" si="33"/>
        <v>160.92367835319658</v>
      </c>
      <c r="Y105" s="314" t="str">
        <f t="shared" ca="1" si="51"/>
        <v/>
      </c>
      <c r="Z105" s="315" t="str">
        <f t="shared" ca="1" si="52"/>
        <v/>
      </c>
      <c r="AA105" s="316" t="str">
        <f t="shared" ca="1" si="53"/>
        <v/>
      </c>
      <c r="AC105" s="310" t="e">
        <f t="shared" ca="1" si="54"/>
        <v>#N/A</v>
      </c>
      <c r="AD105" s="323" t="e">
        <f t="shared" ca="1" si="55"/>
        <v>#N/A</v>
      </c>
      <c r="AE105" s="324">
        <f t="shared" ca="1" si="34"/>
        <v>154.87908945814223</v>
      </c>
      <c r="AG105" s="306">
        <f t="shared" ca="1" si="56"/>
        <v>91.569453430512795</v>
      </c>
      <c r="AH105" s="304">
        <f t="shared" ca="1" si="57"/>
        <v>101.21093196348772</v>
      </c>
    </row>
    <row r="106" spans="1:34" x14ac:dyDescent="0.2">
      <c r="A106" s="347">
        <f t="shared" ca="1" si="35"/>
        <v>0.01</v>
      </c>
      <c r="B106" s="304">
        <f t="shared" ca="1" si="36"/>
        <v>1.0200000000000007</v>
      </c>
      <c r="D106" s="306">
        <f t="shared" ca="1" si="37"/>
        <v>18.603863388834927</v>
      </c>
      <c r="E106" s="307">
        <f t="shared" ca="1" si="38"/>
        <v>89.212741140067962</v>
      </c>
      <c r="F106" s="304">
        <f t="shared" ca="1" si="39"/>
        <v>91.131865528558151</v>
      </c>
      <c r="G106" s="306">
        <f t="shared" ca="1" si="40"/>
        <v>38.675264784196379</v>
      </c>
      <c r="H106" s="307">
        <f t="shared" ca="1" si="41"/>
        <v>205.75864347337284</v>
      </c>
      <c r="I106" s="304">
        <f t="shared" ca="1" si="42"/>
        <v>209.36187683083628</v>
      </c>
      <c r="J106" s="306">
        <f t="shared" ca="1" si="43"/>
        <v>28.755546164787916</v>
      </c>
      <c r="K106" s="307">
        <f t="shared" ca="1" si="44"/>
        <v>156.93221525581896</v>
      </c>
      <c r="L106" s="304">
        <f t="shared" ca="1" si="29"/>
        <v>159.54498306225096</v>
      </c>
      <c r="M106" s="306">
        <f t="shared" ca="1" si="45"/>
        <v>1.3849999517867146</v>
      </c>
      <c r="N106" s="304">
        <f t="shared" ca="1" si="46"/>
        <v>79.354651863201255</v>
      </c>
      <c r="P106" s="310">
        <f t="shared" ca="1" si="47"/>
        <v>4</v>
      </c>
      <c r="Q106" s="304">
        <f t="shared" ca="1" si="48"/>
        <v>736.59999999999991</v>
      </c>
      <c r="R106" s="306">
        <f t="shared" ca="1" si="49"/>
        <v>0.36966522053858142</v>
      </c>
      <c r="S106" s="307">
        <f t="shared" ca="1" si="50"/>
        <v>5.7136149409484194</v>
      </c>
      <c r="T106" s="304">
        <f t="shared" ca="1" si="30"/>
        <v>56.050562570703995</v>
      </c>
      <c r="U106" s="311">
        <f t="shared" ca="1" si="31"/>
        <v>0</v>
      </c>
      <c r="V106" s="306">
        <f t="shared" ca="1" si="32"/>
        <v>1.2059254740120742</v>
      </c>
      <c r="W106" s="304">
        <f t="shared" ca="1" si="33"/>
        <v>162.30022188711385</v>
      </c>
      <c r="Y106" s="314" t="str">
        <f t="shared" ca="1" si="51"/>
        <v/>
      </c>
      <c r="Z106" s="315" t="str">
        <f t="shared" ca="1" si="52"/>
        <v/>
      </c>
      <c r="AA106" s="316" t="str">
        <f t="shared" ca="1" si="53"/>
        <v/>
      </c>
      <c r="AC106" s="310" t="e">
        <f t="shared" ca="1" si="54"/>
        <v>#N/A</v>
      </c>
      <c r="AD106" s="323" t="e">
        <f t="shared" ca="1" si="55"/>
        <v>#N/A</v>
      </c>
      <c r="AE106" s="324">
        <f t="shared" ca="1" si="34"/>
        <v>156.93221525581896</v>
      </c>
      <c r="AG106" s="306">
        <f t="shared" ca="1" si="56"/>
        <v>91.113862227431781</v>
      </c>
      <c r="AH106" s="304">
        <f t="shared" ca="1" si="57"/>
        <v>100.75518346905702</v>
      </c>
    </row>
    <row r="107" spans="1:34" x14ac:dyDescent="0.2">
      <c r="A107" s="347">
        <f t="shared" ca="1" si="35"/>
        <v>0.01</v>
      </c>
      <c r="B107" s="304">
        <f t="shared" ca="1" si="36"/>
        <v>1.0300000000000007</v>
      </c>
      <c r="D107" s="306">
        <f t="shared" ca="1" si="37"/>
        <v>18.528156209813201</v>
      </c>
      <c r="E107" s="307">
        <f t="shared" ca="1" si="38"/>
        <v>88.762777951651401</v>
      </c>
      <c r="F107" s="304">
        <f t="shared" ca="1" si="39"/>
        <v>90.675924711190078</v>
      </c>
      <c r="G107" s="306">
        <f t="shared" ca="1" si="40"/>
        <v>38.860546346294512</v>
      </c>
      <c r="H107" s="307">
        <f t="shared" ca="1" si="41"/>
        <v>206.64627125288936</v>
      </c>
      <c r="I107" s="304">
        <f t="shared" ca="1" si="42"/>
        <v>210.26845575372269</v>
      </c>
      <c r="J107" s="306">
        <f t="shared" ca="1" si="43"/>
        <v>29.143225220440371</v>
      </c>
      <c r="K107" s="307">
        <f t="shared" ca="1" si="44"/>
        <v>158.99423982945027</v>
      </c>
      <c r="L107" s="304">
        <f t="shared" ca="1" si="29"/>
        <v>161.64311267478755</v>
      </c>
      <c r="M107" s="306">
        <f t="shared" ca="1" si="45"/>
        <v>1.3849137670070741</v>
      </c>
      <c r="N107" s="304">
        <f t="shared" ca="1" si="46"/>
        <v>79.34971383906958</v>
      </c>
      <c r="P107" s="310">
        <f t="shared" ca="1" si="47"/>
        <v>4</v>
      </c>
      <c r="Q107" s="304">
        <f t="shared" ca="1" si="48"/>
        <v>734.99999999999989</v>
      </c>
      <c r="R107" s="306">
        <f t="shared" ca="1" si="49"/>
        <v>0.36886225508533443</v>
      </c>
      <c r="S107" s="307">
        <f t="shared" ca="1" si="50"/>
        <v>5.7099263183975664</v>
      </c>
      <c r="T107" s="304">
        <f t="shared" ca="1" si="30"/>
        <v>56.014377183480129</v>
      </c>
      <c r="U107" s="311">
        <f t="shared" ca="1" si="31"/>
        <v>0</v>
      </c>
      <c r="V107" s="306">
        <f t="shared" ca="1" si="32"/>
        <v>1.2056768193418834</v>
      </c>
      <c r="W107" s="304">
        <f t="shared" ca="1" si="33"/>
        <v>163.67509436075309</v>
      </c>
      <c r="Y107" s="314" t="str">
        <f t="shared" ca="1" si="51"/>
        <v/>
      </c>
      <c r="Z107" s="315" t="str">
        <f t="shared" ca="1" si="52"/>
        <v/>
      </c>
      <c r="AA107" s="316" t="str">
        <f t="shared" ca="1" si="53"/>
        <v/>
      </c>
      <c r="AC107" s="310" t="e">
        <f t="shared" ca="1" si="54"/>
        <v>#N/A</v>
      </c>
      <c r="AD107" s="323" t="e">
        <f t="shared" ca="1" si="55"/>
        <v>#N/A</v>
      </c>
      <c r="AE107" s="324">
        <f t="shared" ca="1" si="34"/>
        <v>158.99423982945027</v>
      </c>
      <c r="AG107" s="306">
        <f t="shared" ca="1" si="56"/>
        <v>90.657814196867818</v>
      </c>
      <c r="AH107" s="304">
        <f t="shared" ca="1" si="57"/>
        <v>100.29897868692788</v>
      </c>
    </row>
    <row r="108" spans="1:34" x14ac:dyDescent="0.2">
      <c r="A108" s="347">
        <f t="shared" ca="1" si="35"/>
        <v>0.01</v>
      </c>
      <c r="B108" s="304">
        <f t="shared" ca="1" si="36"/>
        <v>1.0400000000000007</v>
      </c>
      <c r="D108" s="306">
        <f t="shared" ca="1" si="37"/>
        <v>18.452257754746494</v>
      </c>
      <c r="E108" s="307">
        <f t="shared" ca="1" si="38"/>
        <v>88.31240484825733</v>
      </c>
      <c r="F108" s="304">
        <f t="shared" ca="1" si="39"/>
        <v>90.219547030175818</v>
      </c>
      <c r="G108" s="306">
        <f t="shared" ca="1" si="40"/>
        <v>39.045068923841974</v>
      </c>
      <c r="H108" s="307">
        <f t="shared" ca="1" si="41"/>
        <v>207.52939530137195</v>
      </c>
      <c r="I108" s="304">
        <f t="shared" ca="1" si="42"/>
        <v>211.1704698138939</v>
      </c>
      <c r="J108" s="306">
        <f t="shared" ca="1" si="43"/>
        <v>29.532753296791054</v>
      </c>
      <c r="K108" s="307">
        <f t="shared" ca="1" si="44"/>
        <v>161.06511816222158</v>
      </c>
      <c r="L108" s="304">
        <f t="shared" ca="1" si="29"/>
        <v>163.75028490326216</v>
      </c>
      <c r="M108" s="306">
        <f t="shared" ca="1" si="45"/>
        <v>1.3848279110174115</v>
      </c>
      <c r="N108" s="304">
        <f t="shared" ca="1" si="46"/>
        <v>79.344794653215999</v>
      </c>
      <c r="P108" s="310">
        <f t="shared" ca="1" si="47"/>
        <v>4</v>
      </c>
      <c r="Q108" s="304">
        <f t="shared" ca="1" si="48"/>
        <v>733.39999999999986</v>
      </c>
      <c r="R108" s="306">
        <f t="shared" ca="1" si="49"/>
        <v>0.36805928963208739</v>
      </c>
      <c r="S108" s="307">
        <f t="shared" ca="1" si="50"/>
        <v>5.7062457255012458</v>
      </c>
      <c r="T108" s="304">
        <f t="shared" ca="1" si="30"/>
        <v>55.978270567167222</v>
      </c>
      <c r="U108" s="311">
        <f t="shared" ca="1" si="31"/>
        <v>0</v>
      </c>
      <c r="V108" s="306">
        <f t="shared" ca="1" si="32"/>
        <v>1.2054271482094485</v>
      </c>
      <c r="W108" s="304">
        <f t="shared" ca="1" si="33"/>
        <v>165.04819495082222</v>
      </c>
      <c r="Y108" s="314" t="str">
        <f t="shared" ca="1" si="51"/>
        <v/>
      </c>
      <c r="Z108" s="315" t="str">
        <f t="shared" ca="1" si="52"/>
        <v/>
      </c>
      <c r="AA108" s="316" t="str">
        <f t="shared" ca="1" si="53"/>
        <v/>
      </c>
      <c r="AC108" s="310" t="e">
        <f t="shared" ca="1" si="54"/>
        <v>#N/A</v>
      </c>
      <c r="AD108" s="323" t="e">
        <f t="shared" ca="1" si="55"/>
        <v>#N/A</v>
      </c>
      <c r="AE108" s="324">
        <f t="shared" ca="1" si="34"/>
        <v>161.06511816222158</v>
      </c>
      <c r="AG108" s="306">
        <f t="shared" ca="1" si="56"/>
        <v>90.201328187593688</v>
      </c>
      <c r="AH108" s="304">
        <f t="shared" ca="1" si="57"/>
        <v>99.842336458302668</v>
      </c>
    </row>
    <row r="109" spans="1:34" x14ac:dyDescent="0.2">
      <c r="A109" s="347">
        <f t="shared" ca="1" si="35"/>
        <v>0.01</v>
      </c>
      <c r="B109" s="304">
        <f t="shared" ca="1" si="36"/>
        <v>1.0500000000000007</v>
      </c>
      <c r="D109" s="306">
        <f t="shared" ca="1" si="37"/>
        <v>18.376172279706442</v>
      </c>
      <c r="E109" s="307">
        <f t="shared" ca="1" si="38"/>
        <v>87.861640139752154</v>
      </c>
      <c r="F109" s="304">
        <f t="shared" ca="1" si="39"/>
        <v>89.76275127078469</v>
      </c>
      <c r="G109" s="306">
        <f t="shared" ca="1" si="40"/>
        <v>39.22883064663904</v>
      </c>
      <c r="H109" s="307">
        <f t="shared" ca="1" si="41"/>
        <v>208.40801170276947</v>
      </c>
      <c r="I109" s="304">
        <f t="shared" ca="1" si="42"/>
        <v>212.06791481929648</v>
      </c>
      <c r="J109" s="306">
        <f t="shared" ca="1" si="43"/>
        <v>29.924122794643459</v>
      </c>
      <c r="K109" s="307">
        <f t="shared" ca="1" si="44"/>
        <v>163.14480519724228</v>
      </c>
      <c r="L109" s="304">
        <f t="shared" ca="1" si="29"/>
        <v>165.86645407638952</v>
      </c>
      <c r="M109" s="306">
        <f t="shared" ca="1" si="45"/>
        <v>1.384742379328165</v>
      </c>
      <c r="N109" s="304">
        <f t="shared" ca="1" si="46"/>
        <v>79.339894048407544</v>
      </c>
      <c r="P109" s="310">
        <f t="shared" ca="1" si="47"/>
        <v>4</v>
      </c>
      <c r="Q109" s="304">
        <f t="shared" ca="1" si="48"/>
        <v>731.79999999999984</v>
      </c>
      <c r="R109" s="306">
        <f t="shared" ca="1" si="49"/>
        <v>0.36725632417884041</v>
      </c>
      <c r="S109" s="307">
        <f t="shared" ca="1" si="50"/>
        <v>5.7025731622594575</v>
      </c>
      <c r="T109" s="304">
        <f t="shared" ca="1" si="30"/>
        <v>55.942242721765282</v>
      </c>
      <c r="U109" s="311">
        <f t="shared" ca="1" si="31"/>
        <v>0</v>
      </c>
      <c r="V109" s="306">
        <f t="shared" ca="1" si="32"/>
        <v>1.2051764666873681</v>
      </c>
      <c r="W109" s="304">
        <f t="shared" ca="1" si="33"/>
        <v>166.41942358965781</v>
      </c>
      <c r="Y109" s="314" t="str">
        <f t="shared" ca="1" si="51"/>
        <v/>
      </c>
      <c r="Z109" s="315" t="str">
        <f t="shared" ca="1" si="52"/>
        <v/>
      </c>
      <c r="AA109" s="316" t="str">
        <f t="shared" ca="1" si="53"/>
        <v/>
      </c>
      <c r="AC109" s="310" t="e">
        <f t="shared" ca="1" si="54"/>
        <v>#N/A</v>
      </c>
      <c r="AD109" s="323" t="e">
        <f t="shared" ca="1" si="55"/>
        <v>#N/A</v>
      </c>
      <c r="AE109" s="324">
        <f t="shared" ca="1" si="34"/>
        <v>163.14480519724228</v>
      </c>
      <c r="AG109" s="306">
        <f t="shared" ca="1" si="56"/>
        <v>89.74442296931494</v>
      </c>
      <c r="AH109" s="304">
        <f t="shared" ca="1" si="57"/>
        <v>99.385275545438304</v>
      </c>
    </row>
    <row r="110" spans="1:34" x14ac:dyDescent="0.2">
      <c r="A110" s="347">
        <f t="shared" ca="1" si="35"/>
        <v>0.01</v>
      </c>
      <c r="B110" s="304">
        <f t="shared" ca="1" si="36"/>
        <v>1.0600000000000007</v>
      </c>
      <c r="D110" s="306">
        <f t="shared" ca="1" si="37"/>
        <v>18.299904017387597</v>
      </c>
      <c r="E110" s="307">
        <f t="shared" ca="1" si="38"/>
        <v>87.410502058019617</v>
      </c>
      <c r="F110" s="304">
        <f t="shared" ca="1" si="39"/>
        <v>89.305556137793857</v>
      </c>
      <c r="G110" s="306">
        <f t="shared" ca="1" si="40"/>
        <v>39.411829686812915</v>
      </c>
      <c r="H110" s="307">
        <f t="shared" ca="1" si="41"/>
        <v>209.28211672334967</v>
      </c>
      <c r="I110" s="304">
        <f t="shared" ca="1" si="42"/>
        <v>212.96078676476594</v>
      </c>
      <c r="J110" s="306">
        <f t="shared" ca="1" si="43"/>
        <v>30.317326096310719</v>
      </c>
      <c r="K110" s="307">
        <f t="shared" ca="1" si="44"/>
        <v>165.23325583937287</v>
      </c>
      <c r="L110" s="304">
        <f t="shared" ca="1" si="29"/>
        <v>167.99157448190576</v>
      </c>
      <c r="M110" s="306">
        <f t="shared" ca="1" si="45"/>
        <v>1.3846571675237633</v>
      </c>
      <c r="N110" s="304">
        <f t="shared" ca="1" si="46"/>
        <v>79.335011771650642</v>
      </c>
      <c r="P110" s="310">
        <f t="shared" ca="1" si="47"/>
        <v>4</v>
      </c>
      <c r="Q110" s="304">
        <f t="shared" ca="1" si="48"/>
        <v>730.19999999999982</v>
      </c>
      <c r="R110" s="306">
        <f t="shared" ca="1" si="49"/>
        <v>0.36645335872559343</v>
      </c>
      <c r="S110" s="307">
        <f t="shared" ca="1" si="50"/>
        <v>5.6989086286722017</v>
      </c>
      <c r="T110" s="304">
        <f t="shared" ca="1" si="30"/>
        <v>55.906293647274303</v>
      </c>
      <c r="U110" s="311">
        <f t="shared" ca="1" si="31"/>
        <v>0</v>
      </c>
      <c r="V110" s="306">
        <f t="shared" ca="1" si="32"/>
        <v>1.2049247808507628</v>
      </c>
      <c r="W110" s="304">
        <f t="shared" ca="1" si="33"/>
        <v>167.78868097171699</v>
      </c>
      <c r="Y110" s="314" t="str">
        <f t="shared" ca="1" si="51"/>
        <v/>
      </c>
      <c r="Z110" s="315" t="str">
        <f t="shared" ca="1" si="52"/>
        <v/>
      </c>
      <c r="AA110" s="316" t="str">
        <f t="shared" ca="1" si="53"/>
        <v/>
      </c>
      <c r="AC110" s="310" t="e">
        <f t="shared" ca="1" si="54"/>
        <v>#N/A</v>
      </c>
      <c r="AD110" s="323" t="e">
        <f t="shared" ca="1" si="55"/>
        <v>#N/A</v>
      </c>
      <c r="AE110" s="324">
        <f t="shared" ca="1" si="34"/>
        <v>165.23325583937287</v>
      </c>
      <c r="AG110" s="306">
        <f t="shared" ca="1" si="56"/>
        <v>89.287117230982602</v>
      </c>
      <c r="AH110" s="304">
        <f t="shared" ca="1" si="57"/>
        <v>98.927814629956302</v>
      </c>
    </row>
    <row r="111" spans="1:34" x14ac:dyDescent="0.2">
      <c r="A111" s="347">
        <f t="shared" ca="1" si="35"/>
        <v>0.01</v>
      </c>
      <c r="B111" s="304">
        <f t="shared" ca="1" si="36"/>
        <v>1.0700000000000007</v>
      </c>
      <c r="D111" s="306">
        <f t="shared" ca="1" si="37"/>
        <v>18.223457177025594</v>
      </c>
      <c r="E111" s="307">
        <f t="shared" ca="1" si="38"/>
        <v>86.959008755290967</v>
      </c>
      <c r="F111" s="304">
        <f t="shared" ca="1" si="39"/>
        <v>88.847980253833896</v>
      </c>
      <c r="G111" s="306">
        <f t="shared" ca="1" si="40"/>
        <v>39.594064258583174</v>
      </c>
      <c r="H111" s="307">
        <f t="shared" ca="1" si="41"/>
        <v>210.1517068109026</v>
      </c>
      <c r="I111" s="304">
        <f t="shared" ca="1" si="42"/>
        <v>213.8490818312026</v>
      </c>
      <c r="J111" s="306">
        <f t="shared" ca="1" si="43"/>
        <v>30.712355566037701</v>
      </c>
      <c r="K111" s="307">
        <f t="shared" ca="1" si="44"/>
        <v>167.33042495704413</v>
      </c>
      <c r="L111" s="304">
        <f t="shared" ca="1" si="29"/>
        <v>170.1256003684328</v>
      </c>
      <c r="M111" s="306">
        <f t="shared" ca="1" si="45"/>
        <v>1.3845722712609516</v>
      </c>
      <c r="N111" s="304">
        <f t="shared" ca="1" si="46"/>
        <v>79.330147574095093</v>
      </c>
      <c r="P111" s="310">
        <f t="shared" ca="1" si="47"/>
        <v>4</v>
      </c>
      <c r="Q111" s="304">
        <f t="shared" ca="1" si="48"/>
        <v>728.59999999999991</v>
      </c>
      <c r="R111" s="306">
        <f t="shared" ca="1" si="49"/>
        <v>0.3656503932723465</v>
      </c>
      <c r="S111" s="307">
        <f t="shared" ca="1" si="50"/>
        <v>5.6952521247394783</v>
      </c>
      <c r="T111" s="304">
        <f t="shared" ca="1" si="30"/>
        <v>55.870423343694284</v>
      </c>
      <c r="U111" s="311">
        <f t="shared" ca="1" si="31"/>
        <v>0</v>
      </c>
      <c r="V111" s="306">
        <f t="shared" ca="1" si="32"/>
        <v>1.2046720967770019</v>
      </c>
      <c r="W111" s="304">
        <f t="shared" ca="1" si="33"/>
        <v>169.15586855988917</v>
      </c>
      <c r="Y111" s="314" t="str">
        <f t="shared" ca="1" si="51"/>
        <v/>
      </c>
      <c r="Z111" s="315" t="str">
        <f t="shared" ca="1" si="52"/>
        <v/>
      </c>
      <c r="AA111" s="316" t="str">
        <f t="shared" ca="1" si="53"/>
        <v/>
      </c>
      <c r="AC111" s="310" t="e">
        <f t="shared" ca="1" si="54"/>
        <v>#N/A</v>
      </c>
      <c r="AD111" s="323" t="e">
        <f t="shared" ca="1" si="55"/>
        <v>#N/A</v>
      </c>
      <c r="AE111" s="324">
        <f t="shared" ca="1" si="34"/>
        <v>167.33042495704413</v>
      </c>
      <c r="AG111" s="306">
        <f t="shared" ca="1" si="56"/>
        <v>88.829429579132622</v>
      </c>
      <c r="AH111" s="304">
        <f t="shared" ca="1" si="57"/>
        <v>98.469972311179546</v>
      </c>
    </row>
    <row r="112" spans="1:34" x14ac:dyDescent="0.2">
      <c r="A112" s="347">
        <f t="shared" ca="1" si="35"/>
        <v>0.01</v>
      </c>
      <c r="B112" s="304">
        <f t="shared" ca="1" si="36"/>
        <v>1.0800000000000007</v>
      </c>
      <c r="D112" s="306">
        <f t="shared" ca="1" si="37"/>
        <v>18.146835944312535</v>
      </c>
      <c r="E112" s="307">
        <f t="shared" ca="1" si="38"/>
        <v>86.507178302503036</v>
      </c>
      <c r="F112" s="304">
        <f t="shared" ca="1" si="39"/>
        <v>88.390042157761442</v>
      </c>
      <c r="G112" s="306">
        <f t="shared" ca="1" si="40"/>
        <v>39.775532618026297</v>
      </c>
      <c r="H112" s="307">
        <f t="shared" ca="1" si="41"/>
        <v>211.01677859392763</v>
      </c>
      <c r="I112" s="304">
        <f t="shared" ca="1" si="42"/>
        <v>214.73279638473099</v>
      </c>
      <c r="J112" s="306">
        <f t="shared" ca="1" si="43"/>
        <v>31.109203550420748</v>
      </c>
      <c r="K112" s="307">
        <f t="shared" ca="1" si="44"/>
        <v>169.43626738406829</v>
      </c>
      <c r="L112" s="304">
        <f t="shared" ca="1" si="29"/>
        <v>172.26848594733454</v>
      </c>
      <c r="M112" s="306">
        <f t="shared" ca="1" si="45"/>
        <v>1.3844876862671645</v>
      </c>
      <c r="N112" s="304">
        <f t="shared" ca="1" si="46"/>
        <v>79.32530121094095</v>
      </c>
      <c r="P112" s="310">
        <f t="shared" ca="1" si="47"/>
        <v>4</v>
      </c>
      <c r="Q112" s="304">
        <f t="shared" ca="1" si="48"/>
        <v>726.99999999999989</v>
      </c>
      <c r="R112" s="306">
        <f t="shared" ca="1" si="49"/>
        <v>0.36484742781909951</v>
      </c>
      <c r="S112" s="307">
        <f t="shared" ca="1" si="50"/>
        <v>5.6916036504612872</v>
      </c>
      <c r="T112" s="304">
        <f t="shared" ca="1" si="30"/>
        <v>55.834631811025233</v>
      </c>
      <c r="U112" s="311">
        <f t="shared" ca="1" si="31"/>
        <v>0</v>
      </c>
      <c r="V112" s="306">
        <f t="shared" ca="1" si="32"/>
        <v>1.2044184205454342</v>
      </c>
      <c r="W112" s="304">
        <f t="shared" ca="1" si="33"/>
        <v>170.52088859162902</v>
      </c>
      <c r="Y112" s="314" t="str">
        <f t="shared" ca="1" si="51"/>
        <v/>
      </c>
      <c r="Z112" s="315" t="str">
        <f t="shared" ca="1" si="52"/>
        <v/>
      </c>
      <c r="AA112" s="316" t="str">
        <f t="shared" ca="1" si="53"/>
        <v/>
      </c>
      <c r="AC112" s="310" t="e">
        <f t="shared" ca="1" si="54"/>
        <v>#N/A</v>
      </c>
      <c r="AD112" s="323" t="e">
        <f t="shared" ca="1" si="55"/>
        <v>#N/A</v>
      </c>
      <c r="AE112" s="324">
        <f t="shared" ca="1" si="34"/>
        <v>169.43626738406829</v>
      </c>
      <c r="AG112" s="306">
        <f t="shared" ca="1" si="56"/>
        <v>88.37137853625218</v>
      </c>
      <c r="AH112" s="304">
        <f t="shared" ca="1" si="57"/>
        <v>98.011767104495959</v>
      </c>
    </row>
    <row r="113" spans="1:34" x14ac:dyDescent="0.2">
      <c r="A113" s="347">
        <f t="shared" ca="1" si="35"/>
        <v>0.01</v>
      </c>
      <c r="B113" s="304">
        <f t="shared" ca="1" si="36"/>
        <v>1.0900000000000007</v>
      </c>
      <c r="D113" s="306">
        <f t="shared" ca="1" si="37"/>
        <v>18.070044481309907</v>
      </c>
      <c r="E113" s="307">
        <f t="shared" ca="1" si="38"/>
        <v>86.055028687683901</v>
      </c>
      <c r="F113" s="304">
        <f t="shared" ca="1" si="39"/>
        <v>87.931760303058965</v>
      </c>
      <c r="G113" s="306">
        <f t="shared" ca="1" si="40"/>
        <v>39.956233062839395</v>
      </c>
      <c r="H113" s="307">
        <f t="shared" ca="1" si="41"/>
        <v>211.87732888080447</v>
      </c>
      <c r="I113" s="304">
        <f t="shared" ca="1" si="42"/>
        <v>215.61192697584363</v>
      </c>
      <c r="J113" s="306">
        <f t="shared" ca="1" si="43"/>
        <v>31.507862378825077</v>
      </c>
      <c r="K113" s="307">
        <f t="shared" ca="1" si="44"/>
        <v>171.55073792144194</v>
      </c>
      <c r="L113" s="304">
        <f t="shared" ca="1" si="29"/>
        <v>174.42018539456447</v>
      </c>
      <c r="M113" s="306">
        <f t="shared" ca="1" si="45"/>
        <v>1.3844034083389445</v>
      </c>
      <c r="N113" s="304">
        <f t="shared" ca="1" si="46"/>
        <v>79.320472441347832</v>
      </c>
      <c r="P113" s="310">
        <f t="shared" ca="1" si="47"/>
        <v>4</v>
      </c>
      <c r="Q113" s="304">
        <f t="shared" ca="1" si="48"/>
        <v>725.39999999999986</v>
      </c>
      <c r="R113" s="306">
        <f t="shared" ca="1" si="49"/>
        <v>0.36404446236585247</v>
      </c>
      <c r="S113" s="307">
        <f t="shared" ca="1" si="50"/>
        <v>5.6879632058376286</v>
      </c>
      <c r="T113" s="304">
        <f t="shared" ca="1" si="30"/>
        <v>55.798919049267141</v>
      </c>
      <c r="U113" s="311">
        <f t="shared" ca="1" si="31"/>
        <v>0</v>
      </c>
      <c r="V113" s="306">
        <f t="shared" ca="1" si="32"/>
        <v>1.2041637582371199</v>
      </c>
      <c r="W113" s="304">
        <f t="shared" ca="1" si="33"/>
        <v>171.88364408491</v>
      </c>
      <c r="Y113" s="314" t="str">
        <f t="shared" ca="1" si="51"/>
        <v/>
      </c>
      <c r="Z113" s="315" t="str">
        <f t="shared" ca="1" si="52"/>
        <v/>
      </c>
      <c r="AA113" s="316" t="str">
        <f t="shared" ca="1" si="53"/>
        <v/>
      </c>
      <c r="AC113" s="310" t="e">
        <f t="shared" ca="1" si="54"/>
        <v>#N/A</v>
      </c>
      <c r="AD113" s="323" t="e">
        <f t="shared" ca="1" si="55"/>
        <v>#N/A</v>
      </c>
      <c r="AE113" s="324">
        <f t="shared" ca="1" si="34"/>
        <v>171.55073792144194</v>
      </c>
      <c r="AG113" s="306">
        <f t="shared" ca="1" si="56"/>
        <v>87.912982539172845</v>
      </c>
      <c r="AH113" s="304">
        <f t="shared" ca="1" si="57"/>
        <v>97.553217439749147</v>
      </c>
    </row>
    <row r="114" spans="1:34" x14ac:dyDescent="0.2">
      <c r="A114" s="347">
        <f t="shared" ca="1" si="35"/>
        <v>0.01</v>
      </c>
      <c r="B114" s="304">
        <f t="shared" ca="1" si="36"/>
        <v>1.1000000000000008</v>
      </c>
      <c r="D114" s="306">
        <f t="shared" ca="1" si="37"/>
        <v>17.993086926359243</v>
      </c>
      <c r="E114" s="307">
        <f t="shared" ca="1" si="38"/>
        <v>85.602577814366384</v>
      </c>
      <c r="F114" s="304">
        <f t="shared" ca="1" si="39"/>
        <v>87.473153056261623</v>
      </c>
      <c r="G114" s="306">
        <f t="shared" ca="1" si="40"/>
        <v>40.136163932102988</v>
      </c>
      <c r="H114" s="307">
        <f t="shared" ca="1" si="41"/>
        <v>212.73335465894814</v>
      </c>
      <c r="I114" s="304">
        <f t="shared" ca="1" si="42"/>
        <v>216.48647033852822</v>
      </c>
      <c r="J114" s="306">
        <f t="shared" ca="1" si="43"/>
        <v>31.908324363799789</v>
      </c>
      <c r="K114" s="307">
        <f t="shared" ca="1" si="44"/>
        <v>173.67379133914071</v>
      </c>
      <c r="L114" s="304">
        <f t="shared" ca="1" si="29"/>
        <v>176.5806528525049</v>
      </c>
      <c r="M114" s="306">
        <f t="shared" ca="1" si="45"/>
        <v>1.3843194333404045</v>
      </c>
      <c r="N114" s="304">
        <f t="shared" ca="1" si="46"/>
        <v>79.315661028346881</v>
      </c>
      <c r="P114" s="310">
        <f t="shared" ca="1" si="47"/>
        <v>4</v>
      </c>
      <c r="Q114" s="304">
        <f t="shared" ca="1" si="48"/>
        <v>723.79999999999984</v>
      </c>
      <c r="R114" s="306">
        <f t="shared" ca="1" si="49"/>
        <v>0.36324149691260549</v>
      </c>
      <c r="S114" s="307">
        <f t="shared" ca="1" si="50"/>
        <v>5.6843307908685023</v>
      </c>
      <c r="T114" s="304">
        <f t="shared" ca="1" si="30"/>
        <v>55.76328505842001</v>
      </c>
      <c r="U114" s="311">
        <f t="shared" ca="1" si="31"/>
        <v>0</v>
      </c>
      <c r="V114" s="306">
        <f t="shared" ca="1" si="32"/>
        <v>1.2039081159345619</v>
      </c>
      <c r="W114" s="304">
        <f t="shared" ca="1" si="33"/>
        <v>173.24403884399868</v>
      </c>
      <c r="Y114" s="314" t="str">
        <f t="shared" ca="1" si="51"/>
        <v/>
      </c>
      <c r="Z114" s="315" t="str">
        <f t="shared" ca="1" si="52"/>
        <v/>
      </c>
      <c r="AA114" s="316" t="str">
        <f t="shared" ca="1" si="53"/>
        <v/>
      </c>
      <c r="AC114" s="310" t="e">
        <f t="shared" ca="1" si="54"/>
        <v>#N/A</v>
      </c>
      <c r="AD114" s="323" t="e">
        <f t="shared" ca="1" si="55"/>
        <v>#N/A</v>
      </c>
      <c r="AE114" s="324">
        <f t="shared" ca="1" si="34"/>
        <v>173.67379133914071</v>
      </c>
      <c r="AG114" s="306">
        <f t="shared" ca="1" si="56"/>
        <v>87.454259937490747</v>
      </c>
      <c r="AH114" s="304">
        <f t="shared" ca="1" si="57"/>
        <v>97.094341659656152</v>
      </c>
    </row>
    <row r="115" spans="1:34" x14ac:dyDescent="0.2">
      <c r="A115" s="347">
        <f t="shared" ca="1" si="35"/>
        <v>0.01</v>
      </c>
      <c r="B115" s="304">
        <f t="shared" ca="1" si="36"/>
        <v>1.1100000000000008</v>
      </c>
      <c r="D115" s="306">
        <f t="shared" ca="1" si="37"/>
        <v>17.915967393990936</v>
      </c>
      <c r="E115" s="307">
        <f t="shared" ca="1" si="38"/>
        <v>85.149843500029448</v>
      </c>
      <c r="F115" s="304">
        <f t="shared" ca="1" si="39"/>
        <v>87.014238695411535</v>
      </c>
      <c r="G115" s="306">
        <f t="shared" ca="1" si="40"/>
        <v>40.315323606042895</v>
      </c>
      <c r="H115" s="307">
        <f t="shared" ca="1" si="41"/>
        <v>213.58485309394842</v>
      </c>
      <c r="I115" s="304">
        <f t="shared" ca="1" si="42"/>
        <v>217.35642338938015</v>
      </c>
      <c r="J115" s="306">
        <f t="shared" ca="1" si="43"/>
        <v>32.310581801490521</v>
      </c>
      <c r="K115" s="307">
        <f t="shared" ca="1" si="44"/>
        <v>175.80538237790518</v>
      </c>
      <c r="L115" s="304">
        <f t="shared" ca="1" si="29"/>
        <v>178.74984243179702</v>
      </c>
      <c r="M115" s="306">
        <f t="shared" ca="1" si="45"/>
        <v>1.3842357572017321</v>
      </c>
      <c r="N115" s="304">
        <f t="shared" ca="1" si="46"/>
        <v>79.310866738754996</v>
      </c>
      <c r="P115" s="310">
        <f t="shared" ca="1" si="47"/>
        <v>4</v>
      </c>
      <c r="Q115" s="304">
        <f t="shared" ca="1" si="48"/>
        <v>722.19999999999982</v>
      </c>
      <c r="R115" s="306">
        <f t="shared" ca="1" si="49"/>
        <v>0.3624385314593585</v>
      </c>
      <c r="S115" s="307">
        <f t="shared" ca="1" si="50"/>
        <v>5.6807064055539085</v>
      </c>
      <c r="T115" s="304">
        <f t="shared" ca="1" si="30"/>
        <v>55.727729838483846</v>
      </c>
      <c r="U115" s="311">
        <f t="shared" ca="1" si="31"/>
        <v>0</v>
      </c>
      <c r="V115" s="306">
        <f t="shared" ca="1" si="32"/>
        <v>1.2036514997214403</v>
      </c>
      <c r="W115" s="304">
        <f t="shared" ca="1" si="33"/>
        <v>174.60197746505148</v>
      </c>
      <c r="Y115" s="314" t="str">
        <f t="shared" ca="1" si="51"/>
        <v/>
      </c>
      <c r="Z115" s="315" t="str">
        <f t="shared" ca="1" si="52"/>
        <v/>
      </c>
      <c r="AA115" s="316" t="str">
        <f t="shared" ca="1" si="53"/>
        <v/>
      </c>
      <c r="AC115" s="310" t="e">
        <f t="shared" ca="1" si="54"/>
        <v>#N/A</v>
      </c>
      <c r="AD115" s="323" t="e">
        <f t="shared" ca="1" si="55"/>
        <v>#N/A</v>
      </c>
      <c r="AE115" s="324">
        <f t="shared" ca="1" si="34"/>
        <v>175.80538237790518</v>
      </c>
      <c r="AG115" s="306">
        <f t="shared" ca="1" si="56"/>
        <v>86.995228992014091</v>
      </c>
      <c r="AH115" s="304">
        <f t="shared" ca="1" si="57"/>
        <v>96.635158018252511</v>
      </c>
    </row>
    <row r="116" spans="1:34" x14ac:dyDescent="0.2">
      <c r="A116" s="347">
        <f t="shared" ca="1" si="35"/>
        <v>0.01</v>
      </c>
      <c r="B116" s="304">
        <f t="shared" ca="1" si="36"/>
        <v>1.1200000000000008</v>
      </c>
      <c r="D116" s="306">
        <f t="shared" ca="1" si="37"/>
        <v>17.838689974831304</v>
      </c>
      <c r="E116" s="307">
        <f t="shared" ca="1" si="38"/>
        <v>84.696843474567515</v>
      </c>
      <c r="F116" s="304">
        <f t="shared" ca="1" si="39"/>
        <v>86.555035408539567</v>
      </c>
      <c r="G116" s="306">
        <f t="shared" ca="1" si="40"/>
        <v>40.493710505791206</v>
      </c>
      <c r="H116" s="307">
        <f t="shared" ca="1" si="41"/>
        <v>214.43182152869409</v>
      </c>
      <c r="I116" s="304">
        <f t="shared" ca="1" si="42"/>
        <v>218.2217832266993</v>
      </c>
      <c r="J116" s="306">
        <f t="shared" ca="1" si="43"/>
        <v>32.714626972049693</v>
      </c>
      <c r="K116" s="307">
        <f t="shared" ca="1" si="44"/>
        <v>177.94546575101839</v>
      </c>
      <c r="L116" s="304">
        <f t="shared" ca="1" si="29"/>
        <v>180.92770821316236</v>
      </c>
      <c r="M116" s="306">
        <f t="shared" ca="1" si="45"/>
        <v>1.3841523759177359</v>
      </c>
      <c r="N116" s="304">
        <f t="shared" ca="1" si="46"/>
        <v>79.306089343091628</v>
      </c>
      <c r="P116" s="310">
        <f t="shared" ca="1" si="47"/>
        <v>4</v>
      </c>
      <c r="Q116" s="304">
        <f t="shared" ca="1" si="48"/>
        <v>720.59999999999991</v>
      </c>
      <c r="R116" s="306">
        <f t="shared" ca="1" si="49"/>
        <v>0.36163556600611158</v>
      </c>
      <c r="S116" s="307">
        <f t="shared" ca="1" si="50"/>
        <v>5.677090049893847</v>
      </c>
      <c r="T116" s="304">
        <f t="shared" ca="1" si="30"/>
        <v>55.692253389458642</v>
      </c>
      <c r="U116" s="311">
        <f t="shared" ca="1" si="31"/>
        <v>0</v>
      </c>
      <c r="V116" s="306">
        <f t="shared" ca="1" si="32"/>
        <v>1.2033939156823483</v>
      </c>
      <c r="W116" s="304">
        <f t="shared" ca="1" si="33"/>
        <v>175.95736534153346</v>
      </c>
      <c r="Y116" s="314" t="str">
        <f t="shared" ca="1" si="51"/>
        <v/>
      </c>
      <c r="Z116" s="315" t="str">
        <f t="shared" ca="1" si="52"/>
        <v/>
      </c>
      <c r="AA116" s="316" t="str">
        <f t="shared" ca="1" si="53"/>
        <v/>
      </c>
      <c r="AC116" s="310" t="e">
        <f t="shared" ca="1" si="54"/>
        <v>#N/A</v>
      </c>
      <c r="AD116" s="323" t="e">
        <f t="shared" ca="1" si="55"/>
        <v>#N/A</v>
      </c>
      <c r="AE116" s="324">
        <f t="shared" ca="1" si="34"/>
        <v>177.94546575101839</v>
      </c>
      <c r="AG116" s="306">
        <f t="shared" ca="1" si="56"/>
        <v>86.535907873237676</v>
      </c>
      <c r="AH116" s="304">
        <f t="shared" ca="1" si="57"/>
        <v>96.175684679364522</v>
      </c>
    </row>
    <row r="117" spans="1:34" x14ac:dyDescent="0.2">
      <c r="A117" s="347">
        <f t="shared" ca="1" si="35"/>
        <v>0.01</v>
      </c>
      <c r="B117" s="304">
        <f t="shared" ca="1" si="36"/>
        <v>1.1300000000000008</v>
      </c>
      <c r="D117" s="306">
        <f t="shared" ca="1" si="37"/>
        <v>17.761258735508175</v>
      </c>
      <c r="E117" s="307">
        <f t="shared" ca="1" si="38"/>
        <v>84.243595378787617</v>
      </c>
      <c r="F117" s="304">
        <f t="shared" ca="1" si="39"/>
        <v>86.095561292174366</v>
      </c>
      <c r="G117" s="306">
        <f t="shared" ca="1" si="40"/>
        <v>40.671323093146285</v>
      </c>
      <c r="H117" s="307">
        <f t="shared" ca="1" si="41"/>
        <v>215.27425748248197</v>
      </c>
      <c r="I117" s="304">
        <f t="shared" ca="1" si="42"/>
        <v>219.08254712957179</v>
      </c>
      <c r="J117" s="306">
        <f t="shared" ca="1" si="43"/>
        <v>33.120452140044378</v>
      </c>
      <c r="K117" s="307">
        <f t="shared" ca="1" si="44"/>
        <v>180.09399614607426</v>
      </c>
      <c r="L117" s="304">
        <f t="shared" ca="1" si="29"/>
        <v>183.11420424921488</v>
      </c>
      <c r="M117" s="306">
        <f t="shared" ca="1" si="45"/>
        <v>1.3840692855464298</v>
      </c>
      <c r="N117" s="304">
        <f t="shared" ca="1" si="46"/>
        <v>79.301328615497624</v>
      </c>
      <c r="P117" s="310">
        <f t="shared" ca="1" si="47"/>
        <v>4</v>
      </c>
      <c r="Q117" s="304">
        <f t="shared" ca="1" si="48"/>
        <v>718.99999999999989</v>
      </c>
      <c r="R117" s="306">
        <f t="shared" ca="1" si="49"/>
        <v>0.36083260055286454</v>
      </c>
      <c r="S117" s="307">
        <f t="shared" ca="1" si="50"/>
        <v>5.673481723888318</v>
      </c>
      <c r="T117" s="304">
        <f t="shared" ca="1" si="30"/>
        <v>55.656855711344399</v>
      </c>
      <c r="U117" s="311">
        <f t="shared" ca="1" si="31"/>
        <v>0</v>
      </c>
      <c r="V117" s="306">
        <f t="shared" ca="1" si="32"/>
        <v>1.2031353699025313</v>
      </c>
      <c r="W117" s="304">
        <f t="shared" ca="1" si="33"/>
        <v>177.31010866945954</v>
      </c>
      <c r="Y117" s="314" t="str">
        <f t="shared" ca="1" si="51"/>
        <v/>
      </c>
      <c r="Z117" s="315" t="str">
        <f t="shared" ca="1" si="52"/>
        <v/>
      </c>
      <c r="AA117" s="316" t="str">
        <f t="shared" ca="1" si="53"/>
        <v/>
      </c>
      <c r="AC117" s="310" t="e">
        <f t="shared" ca="1" si="54"/>
        <v>#N/A</v>
      </c>
      <c r="AD117" s="323" t="e">
        <f t="shared" ca="1" si="55"/>
        <v>#N/A</v>
      </c>
      <c r="AE117" s="324">
        <f t="shared" ca="1" si="34"/>
        <v>180.09399614607426</v>
      </c>
      <c r="AG117" s="306">
        <f t="shared" ca="1" si="56"/>
        <v>86.076314659844869</v>
      </c>
      <c r="AH117" s="304">
        <f t="shared" ca="1" si="57"/>
        <v>95.715939715108917</v>
      </c>
    </row>
    <row r="118" spans="1:34" x14ac:dyDescent="0.2">
      <c r="A118" s="347">
        <f t="shared" ca="1" si="35"/>
        <v>0.01</v>
      </c>
      <c r="B118" s="304">
        <f t="shared" ca="1" si="36"/>
        <v>1.1400000000000008</v>
      </c>
      <c r="D118" s="306">
        <f t="shared" ca="1" si="37"/>
        <v>17.683677718555455</v>
      </c>
      <c r="E118" s="307">
        <f t="shared" ca="1" si="38"/>
        <v>83.790116762934701</v>
      </c>
      <c r="F118" s="304">
        <f t="shared" ca="1" si="39"/>
        <v>85.635834349879289</v>
      </c>
      <c r="G118" s="306">
        <f t="shared" ca="1" si="40"/>
        <v>40.848159870331841</v>
      </c>
      <c r="H118" s="307">
        <f t="shared" ca="1" si="41"/>
        <v>216.11215865011133</v>
      </c>
      <c r="I118" s="304">
        <f t="shared" ca="1" si="42"/>
        <v>219.93871255693728</v>
      </c>
      <c r="J118" s="306">
        <f t="shared" ca="1" si="43"/>
        <v>33.528049554861767</v>
      </c>
      <c r="K118" s="307">
        <f t="shared" ca="1" si="44"/>
        <v>182.25092822673722</v>
      </c>
      <c r="L118" s="304">
        <f t="shared" ca="1" si="29"/>
        <v>185.30928456626393</v>
      </c>
      <c r="M118" s="306">
        <f t="shared" ca="1" si="45"/>
        <v>1.3839864822076577</v>
      </c>
      <c r="N118" s="304">
        <f t="shared" ca="1" si="46"/>
        <v>79.296584333656384</v>
      </c>
      <c r="P118" s="310">
        <f t="shared" ca="1" si="47"/>
        <v>4</v>
      </c>
      <c r="Q118" s="304">
        <f t="shared" ca="1" si="48"/>
        <v>717.39999999999986</v>
      </c>
      <c r="R118" s="306">
        <f t="shared" ca="1" si="49"/>
        <v>0.36002963509961755</v>
      </c>
      <c r="S118" s="307">
        <f t="shared" ca="1" si="50"/>
        <v>5.6698814275373222</v>
      </c>
      <c r="T118" s="304">
        <f t="shared" ca="1" si="30"/>
        <v>55.621536804141137</v>
      </c>
      <c r="U118" s="311">
        <f t="shared" ca="1" si="31"/>
        <v>0</v>
      </c>
      <c r="V118" s="306">
        <f t="shared" ca="1" si="32"/>
        <v>1.202875868467624</v>
      </c>
      <c r="W118" s="304">
        <f t="shared" ca="1" si="33"/>
        <v>178.66011445245914</v>
      </c>
      <c r="Y118" s="314" t="str">
        <f t="shared" ca="1" si="51"/>
        <v/>
      </c>
      <c r="Z118" s="315" t="str">
        <f t="shared" ca="1" si="52"/>
        <v/>
      </c>
      <c r="AA118" s="316" t="str">
        <f t="shared" ca="1" si="53"/>
        <v/>
      </c>
      <c r="AC118" s="310" t="e">
        <f t="shared" ca="1" si="54"/>
        <v>#N/A</v>
      </c>
      <c r="AD118" s="323" t="e">
        <f t="shared" ca="1" si="55"/>
        <v>#N/A</v>
      </c>
      <c r="AE118" s="324">
        <f t="shared" ca="1" si="34"/>
        <v>182.25092822673722</v>
      </c>
      <c r="AG118" s="306">
        <f t="shared" ca="1" si="56"/>
        <v>85.61646733723704</v>
      </c>
      <c r="AH118" s="304">
        <f t="shared" ca="1" si="57"/>
        <v>95.255941104420074</v>
      </c>
    </row>
    <row r="119" spans="1:34" x14ac:dyDescent="0.2">
      <c r="A119" s="347">
        <f t="shared" ca="1" si="35"/>
        <v>0.01</v>
      </c>
      <c r="B119" s="304">
        <f t="shared" ca="1" si="36"/>
        <v>1.1500000000000008</v>
      </c>
      <c r="D119" s="306">
        <f t="shared" ca="1" si="37"/>
        <v>17.605950942316479</v>
      </c>
      <c r="E119" s="307">
        <f t="shared" ca="1" si="38"/>
        <v>83.336425085244969</v>
      </c>
      <c r="F119" s="304">
        <f t="shared" ca="1" si="39"/>
        <v>85.175872490816914</v>
      </c>
      <c r="G119" s="306">
        <f t="shared" ca="1" si="40"/>
        <v>41.024219379755003</v>
      </c>
      <c r="H119" s="307">
        <f t="shared" ca="1" si="41"/>
        <v>216.94552290096377</v>
      </c>
      <c r="I119" s="304">
        <f t="shared" ca="1" si="42"/>
        <v>220.79027714664173</v>
      </c>
      <c r="J119" s="306">
        <f t="shared" ca="1" si="43"/>
        <v>33.937411451112197</v>
      </c>
      <c r="K119" s="307">
        <f t="shared" ca="1" si="44"/>
        <v>184.4162166344926</v>
      </c>
      <c r="L119" s="304">
        <f t="shared" ca="1" si="29"/>
        <v>187.51290316610798</v>
      </c>
      <c r="M119" s="306">
        <f t="shared" ca="1" si="45"/>
        <v>1.3839039620817539</v>
      </c>
      <c r="N119" s="304">
        <f t="shared" ca="1" si="46"/>
        <v>79.291856278717219</v>
      </c>
      <c r="P119" s="310">
        <f t="shared" ca="1" si="47"/>
        <v>4</v>
      </c>
      <c r="Q119" s="304">
        <f t="shared" ca="1" si="48"/>
        <v>715.79999999999984</v>
      </c>
      <c r="R119" s="306">
        <f t="shared" ca="1" si="49"/>
        <v>0.35922666964637057</v>
      </c>
      <c r="S119" s="307">
        <f t="shared" ca="1" si="50"/>
        <v>5.6662891608408588</v>
      </c>
      <c r="T119" s="304">
        <f t="shared" ca="1" si="30"/>
        <v>55.586296667848828</v>
      </c>
      <c r="U119" s="311">
        <f t="shared" ca="1" si="31"/>
        <v>0</v>
      </c>
      <c r="V119" s="306">
        <f t="shared" ca="1" si="32"/>
        <v>1.2026154174633918</v>
      </c>
      <c r="W119" s="304">
        <f t="shared" ca="1" si="33"/>
        <v>180.00729050666459</v>
      </c>
      <c r="Y119" s="314" t="str">
        <f t="shared" ca="1" si="51"/>
        <v/>
      </c>
      <c r="Z119" s="315" t="str">
        <f t="shared" ca="1" si="52"/>
        <v/>
      </c>
      <c r="AA119" s="316" t="str">
        <f t="shared" ca="1" si="53"/>
        <v/>
      </c>
      <c r="AC119" s="310" t="e">
        <f t="shared" ca="1" si="54"/>
        <v>#N/A</v>
      </c>
      <c r="AD119" s="323" t="e">
        <f t="shared" ca="1" si="55"/>
        <v>#N/A</v>
      </c>
      <c r="AE119" s="324">
        <f t="shared" ca="1" si="34"/>
        <v>184.4162166344926</v>
      </c>
      <c r="AG119" s="306">
        <f t="shared" ca="1" si="56"/>
        <v>85.156383796090338</v>
      </c>
      <c r="AH119" s="304">
        <f t="shared" ca="1" si="57"/>
        <v>94.795706731604724</v>
      </c>
    </row>
    <row r="120" spans="1:34" x14ac:dyDescent="0.2">
      <c r="A120" s="347">
        <f t="shared" ca="1" si="35"/>
        <v>0.01</v>
      </c>
      <c r="B120" s="304">
        <f t="shared" ca="1" si="36"/>
        <v>1.1600000000000008</v>
      </c>
      <c r="D120" s="306">
        <f t="shared" ca="1" si="37"/>
        <v>17.528082400846767</v>
      </c>
      <c r="E120" s="307">
        <f t="shared" ca="1" si="38"/>
        <v>82.882537710527188</v>
      </c>
      <c r="F120" s="304">
        <f t="shared" ca="1" si="39"/>
        <v>84.71569352834122</v>
      </c>
      <c r="G120" s="306">
        <f t="shared" ca="1" si="40"/>
        <v>41.199500203763471</v>
      </c>
      <c r="H120" s="307">
        <f t="shared" ca="1" si="41"/>
        <v>217.77434827806903</v>
      </c>
      <c r="I120" s="304">
        <f t="shared" ca="1" si="42"/>
        <v>221.63723871447598</v>
      </c>
      <c r="J120" s="306">
        <f t="shared" ca="1" si="43"/>
        <v>34.34853004902979</v>
      </c>
      <c r="K120" s="307">
        <f t="shared" ca="1" si="44"/>
        <v>186.58981599038776</v>
      </c>
      <c r="L120" s="304">
        <f t="shared" ca="1" si="29"/>
        <v>189.72501402781833</v>
      </c>
      <c r="M120" s="306">
        <f t="shared" ca="1" si="45"/>
        <v>1.3838217214082396</v>
      </c>
      <c r="N120" s="304">
        <f t="shared" ca="1" si="46"/>
        <v>79.287144235220524</v>
      </c>
      <c r="P120" s="310">
        <f t="shared" ca="1" si="47"/>
        <v>4</v>
      </c>
      <c r="Q120" s="304">
        <f t="shared" ca="1" si="48"/>
        <v>714.19999999999982</v>
      </c>
      <c r="R120" s="306">
        <f t="shared" ca="1" si="49"/>
        <v>0.35842370419312358</v>
      </c>
      <c r="S120" s="307">
        <f t="shared" ca="1" si="50"/>
        <v>5.6627049237989278</v>
      </c>
      <c r="T120" s="304">
        <f t="shared" ca="1" si="30"/>
        <v>55.551135302467486</v>
      </c>
      <c r="U120" s="311">
        <f t="shared" ca="1" si="31"/>
        <v>0</v>
      </c>
      <c r="V120" s="306">
        <f t="shared" ca="1" si="32"/>
        <v>1.2023540229754739</v>
      </c>
      <c r="W120" s="304">
        <f t="shared" ca="1" si="33"/>
        <v>181.35154546542429</v>
      </c>
      <c r="Y120" s="314" t="str">
        <f t="shared" ca="1" si="51"/>
        <v/>
      </c>
      <c r="Z120" s="315" t="str">
        <f t="shared" ca="1" si="52"/>
        <v/>
      </c>
      <c r="AA120" s="316" t="str">
        <f t="shared" ca="1" si="53"/>
        <v/>
      </c>
      <c r="AC120" s="310" t="e">
        <f t="shared" ca="1" si="54"/>
        <v>#N/A</v>
      </c>
      <c r="AD120" s="323" t="e">
        <f t="shared" ca="1" si="55"/>
        <v>#N/A</v>
      </c>
      <c r="AE120" s="324">
        <f t="shared" ca="1" si="34"/>
        <v>186.58981599038776</v>
      </c>
      <c r="AG120" s="306">
        <f t="shared" ca="1" si="56"/>
        <v>84.696081830940187</v>
      </c>
      <c r="AH120" s="304">
        <f t="shared" ca="1" si="57"/>
        <v>94.335254384924298</v>
      </c>
    </row>
    <row r="121" spans="1:34" x14ac:dyDescent="0.2">
      <c r="A121" s="347">
        <f t="shared" ca="1" si="35"/>
        <v>0.01</v>
      </c>
      <c r="B121" s="304">
        <f t="shared" ca="1" si="36"/>
        <v>1.1700000000000008</v>
      </c>
      <c r="D121" s="306">
        <f t="shared" ca="1" si="37"/>
        <v>17.45007606381612</v>
      </c>
      <c r="E121" s="307">
        <f t="shared" ca="1" si="38"/>
        <v>82.428471908772053</v>
      </c>
      <c r="F121" s="304">
        <f t="shared" ca="1" si="39"/>
        <v>84.255315178617622</v>
      </c>
      <c r="G121" s="306">
        <f t="shared" ca="1" si="40"/>
        <v>41.374000964401631</v>
      </c>
      <c r="H121" s="307">
        <f t="shared" ca="1" si="41"/>
        <v>218.59863299715676</v>
      </c>
      <c r="I121" s="304">
        <f t="shared" ca="1" si="42"/>
        <v>222.47959525320056</v>
      </c>
      <c r="J121" s="306">
        <f t="shared" ca="1" si="43"/>
        <v>34.761397554870612</v>
      </c>
      <c r="K121" s="307">
        <f t="shared" ca="1" si="44"/>
        <v>188.77168089676388</v>
      </c>
      <c r="L121" s="304">
        <f t="shared" ca="1" si="29"/>
        <v>191.94557110951379</v>
      </c>
      <c r="M121" s="306">
        <f t="shared" ca="1" si="45"/>
        <v>1.3837397564845546</v>
      </c>
      <c r="N121" s="304">
        <f t="shared" ca="1" si="46"/>
        <v>79.282447991025265</v>
      </c>
      <c r="P121" s="310">
        <f t="shared" ca="1" si="47"/>
        <v>4</v>
      </c>
      <c r="Q121" s="304">
        <f t="shared" ca="1" si="48"/>
        <v>712.59999999999991</v>
      </c>
      <c r="R121" s="306">
        <f t="shared" ca="1" si="49"/>
        <v>0.3576207387398766</v>
      </c>
      <c r="S121" s="307">
        <f t="shared" ca="1" si="50"/>
        <v>5.6591287164115291</v>
      </c>
      <c r="T121" s="304">
        <f t="shared" ca="1" si="30"/>
        <v>55.516052707997105</v>
      </c>
      <c r="U121" s="311">
        <f t="shared" ca="1" si="31"/>
        <v>0</v>
      </c>
      <c r="V121" s="306">
        <f t="shared" ca="1" si="32"/>
        <v>1.2020916910891271</v>
      </c>
      <c r="W121" s="304">
        <f t="shared" ca="1" si="33"/>
        <v>182.69278878384131</v>
      </c>
      <c r="Y121" s="314" t="str">
        <f t="shared" ca="1" si="51"/>
        <v/>
      </c>
      <c r="Z121" s="315" t="str">
        <f t="shared" ca="1" si="52"/>
        <v/>
      </c>
      <c r="AA121" s="316" t="str">
        <f t="shared" ca="1" si="53"/>
        <v/>
      </c>
      <c r="AC121" s="310" t="e">
        <f t="shared" ca="1" si="54"/>
        <v>#N/A</v>
      </c>
      <c r="AD121" s="323" t="e">
        <f t="shared" ca="1" si="55"/>
        <v>#N/A</v>
      </c>
      <c r="AE121" s="324">
        <f t="shared" ca="1" si="34"/>
        <v>188.77168089676388</v>
      </c>
      <c r="AG121" s="306">
        <f t="shared" ca="1" si="56"/>
        <v>84.235579138793156</v>
      </c>
      <c r="AH121" s="304">
        <f t="shared" ca="1" si="57"/>
        <v>93.874601755204793</v>
      </c>
    </row>
    <row r="122" spans="1:34" x14ac:dyDescent="0.2">
      <c r="A122" s="347">
        <f t="shared" ca="1" si="35"/>
        <v>0.01</v>
      </c>
      <c r="B122" s="304">
        <f t="shared" ca="1" si="36"/>
        <v>1.1800000000000008</v>
      </c>
      <c r="D122" s="306">
        <f t="shared" ca="1" si="37"/>
        <v>17.371935876410369</v>
      </c>
      <c r="E122" s="307">
        <f t="shared" ca="1" si="38"/>
        <v>81.974244853789642</v>
      </c>
      <c r="F122" s="304">
        <f t="shared" ca="1" si="39"/>
        <v>83.794755059270685</v>
      </c>
      <c r="G122" s="306">
        <f t="shared" ca="1" si="40"/>
        <v>41.547720323165734</v>
      </c>
      <c r="H122" s="307">
        <f t="shared" ca="1" si="41"/>
        <v>219.41837544569466</v>
      </c>
      <c r="I122" s="304">
        <f t="shared" ca="1" si="42"/>
        <v>223.31734493155659</v>
      </c>
      <c r="J122" s="306">
        <f t="shared" ca="1" si="43"/>
        <v>35.17600616130845</v>
      </c>
      <c r="K122" s="307">
        <f t="shared" ca="1" si="44"/>
        <v>190.96176593897815</v>
      </c>
      <c r="L122" s="304">
        <f t="shared" ca="1" si="29"/>
        <v>194.17452835012497</v>
      </c>
      <c r="M122" s="306">
        <f t="shared" ca="1" si="45"/>
        <v>1.3836580636648228</v>
      </c>
      <c r="N122" s="304">
        <f t="shared" ca="1" si="46"/>
        <v>79.277767337238117</v>
      </c>
      <c r="P122" s="310">
        <f t="shared" ca="1" si="47"/>
        <v>4</v>
      </c>
      <c r="Q122" s="304">
        <f t="shared" ca="1" si="48"/>
        <v>710.99999999999989</v>
      </c>
      <c r="R122" s="306">
        <f t="shared" ca="1" si="49"/>
        <v>0.35681777328662961</v>
      </c>
      <c r="S122" s="307">
        <f t="shared" ca="1" si="50"/>
        <v>5.6555605386786629</v>
      </c>
      <c r="T122" s="304">
        <f t="shared" ca="1" si="30"/>
        <v>55.481048884437683</v>
      </c>
      <c r="U122" s="311">
        <f t="shared" ca="1" si="31"/>
        <v>0</v>
      </c>
      <c r="V122" s="306">
        <f t="shared" ca="1" si="32"/>
        <v>1.2018284278889706</v>
      </c>
      <c r="W122" s="304">
        <f t="shared" ca="1" si="33"/>
        <v>184.03093074313691</v>
      </c>
      <c r="Y122" s="314" t="str">
        <f t="shared" ca="1" si="51"/>
        <v/>
      </c>
      <c r="Z122" s="315" t="str">
        <f t="shared" ca="1" si="52"/>
        <v/>
      </c>
      <c r="AA122" s="316" t="str">
        <f t="shared" ca="1" si="53"/>
        <v/>
      </c>
      <c r="AC122" s="310" t="e">
        <f t="shared" ca="1" si="54"/>
        <v>#N/A</v>
      </c>
      <c r="AD122" s="323" t="e">
        <f t="shared" ca="1" si="55"/>
        <v>#N/A</v>
      </c>
      <c r="AE122" s="324">
        <f t="shared" ca="1" si="34"/>
        <v>190.96176593897815</v>
      </c>
      <c r="AG122" s="306">
        <f t="shared" ca="1" si="56"/>
        <v>83.774893317766541</v>
      </c>
      <c r="AH122" s="304">
        <f t="shared" ca="1" si="57"/>
        <v>93.41376643447434</v>
      </c>
    </row>
    <row r="123" spans="1:34" x14ac:dyDescent="0.2">
      <c r="A123" s="347">
        <f t="shared" ca="1" si="35"/>
        <v>0.01</v>
      </c>
      <c r="B123" s="304">
        <f t="shared" ca="1" si="36"/>
        <v>1.1900000000000008</v>
      </c>
      <c r="D123" s="306">
        <f t="shared" ca="1" si="37"/>
        <v>17.293665759233019</v>
      </c>
      <c r="E123" s="307">
        <f t="shared" ca="1" si="38"/>
        <v>81.519873621875291</v>
      </c>
      <c r="F123" s="304">
        <f t="shared" ca="1" si="39"/>
        <v>83.334030688060366</v>
      </c>
      <c r="G123" s="306">
        <f t="shared" ca="1" si="40"/>
        <v>41.720656980758065</v>
      </c>
      <c r="H123" s="307">
        <f t="shared" ca="1" si="41"/>
        <v>220.23357418191341</v>
      </c>
      <c r="I123" s="304">
        <f t="shared" ca="1" si="42"/>
        <v>224.15048609326377</v>
      </c>
      <c r="J123" s="306">
        <f t="shared" ca="1" si="43"/>
        <v>35.592348047828068</v>
      </c>
      <c r="K123" s="307">
        <f t="shared" ca="1" si="44"/>
        <v>193.16002568711619</v>
      </c>
      <c r="L123" s="304">
        <f t="shared" ca="1" si="29"/>
        <v>196.41183967114893</v>
      </c>
      <c r="M123" s="306">
        <f t="shared" ca="1" si="45"/>
        <v>1.3835766393586486</v>
      </c>
      <c r="N123" s="304">
        <f t="shared" ca="1" si="46"/>
        <v>79.273102068144553</v>
      </c>
      <c r="P123" s="310">
        <f t="shared" ca="1" si="47"/>
        <v>4</v>
      </c>
      <c r="Q123" s="304">
        <f t="shared" ca="1" si="48"/>
        <v>709.39999999999986</v>
      </c>
      <c r="R123" s="306">
        <f t="shared" ca="1" si="49"/>
        <v>0.35601480783338263</v>
      </c>
      <c r="S123" s="307">
        <f t="shared" ca="1" si="50"/>
        <v>5.6520003906003291</v>
      </c>
      <c r="T123" s="304">
        <f t="shared" ca="1" si="30"/>
        <v>55.44612383178923</v>
      </c>
      <c r="U123" s="311">
        <f t="shared" ca="1" si="31"/>
        <v>0</v>
      </c>
      <c r="V123" s="306">
        <f t="shared" ca="1" si="32"/>
        <v>1.2015642394587358</v>
      </c>
      <c r="W123" s="304">
        <f t="shared" ca="1" si="33"/>
        <v>185.36588245484216</v>
      </c>
      <c r="Y123" s="314" t="str">
        <f t="shared" ca="1" si="51"/>
        <v/>
      </c>
      <c r="Z123" s="315" t="str">
        <f t="shared" ca="1" si="52"/>
        <v/>
      </c>
      <c r="AA123" s="316" t="str">
        <f t="shared" ca="1" si="53"/>
        <v/>
      </c>
      <c r="AC123" s="310" t="e">
        <f t="shared" ca="1" si="54"/>
        <v>#N/A</v>
      </c>
      <c r="AD123" s="323" t="e">
        <f t="shared" ca="1" si="55"/>
        <v>#N/A</v>
      </c>
      <c r="AE123" s="324">
        <f t="shared" ca="1" si="34"/>
        <v>193.16002568711619</v>
      </c>
      <c r="AG123" s="306">
        <f t="shared" ca="1" si="56"/>
        <v>83.314041865755797</v>
      </c>
      <c r="AH123" s="304">
        <f t="shared" ca="1" si="57"/>
        <v>92.952765914628813</v>
      </c>
    </row>
    <row r="124" spans="1:34" x14ac:dyDescent="0.2">
      <c r="A124" s="347">
        <f t="shared" ca="1" si="35"/>
        <v>0.01</v>
      </c>
      <c r="B124" s="304">
        <f t="shared" ca="1" si="36"/>
        <v>1.2000000000000008</v>
      </c>
      <c r="D124" s="306">
        <f t="shared" ca="1" si="37"/>
        <v>17.215269608206842</v>
      </c>
      <c r="E124" s="307">
        <f t="shared" ca="1" si="38"/>
        <v>81.065375190502877</v>
      </c>
      <c r="F124" s="304">
        <f t="shared" ca="1" si="39"/>
        <v>82.873159481585162</v>
      </c>
      <c r="G124" s="306">
        <f t="shared" ca="1" si="40"/>
        <v>41.89280967684013</v>
      </c>
      <c r="H124" s="307">
        <f t="shared" ca="1" si="41"/>
        <v>221.04422793381843</v>
      </c>
      <c r="I124" s="304">
        <f t="shared" ca="1" si="42"/>
        <v>224.97901725600508</v>
      </c>
      <c r="J124" s="306">
        <f t="shared" ca="1" si="43"/>
        <v>36.010415381116061</v>
      </c>
      <c r="K124" s="307">
        <f t="shared" ca="1" si="44"/>
        <v>195.36641469769484</v>
      </c>
      <c r="L124" s="304">
        <f t="shared" ca="1" si="29"/>
        <v>198.65745897839375</v>
      </c>
      <c r="M124" s="306">
        <f t="shared" ca="1" si="45"/>
        <v>1.3834954800299475</v>
      </c>
      <c r="N124" s="304">
        <f t="shared" ca="1" si="46"/>
        <v>79.268451981141865</v>
      </c>
      <c r="P124" s="310">
        <f t="shared" ca="1" si="47"/>
        <v>4</v>
      </c>
      <c r="Q124" s="304">
        <f t="shared" ca="1" si="48"/>
        <v>707.79999999999984</v>
      </c>
      <c r="R124" s="306">
        <f t="shared" ca="1" si="49"/>
        <v>0.35521184238013565</v>
      </c>
      <c r="S124" s="307">
        <f t="shared" ca="1" si="50"/>
        <v>5.6484482721765277</v>
      </c>
      <c r="T124" s="304">
        <f t="shared" ca="1" si="30"/>
        <v>55.411277550051736</v>
      </c>
      <c r="U124" s="311">
        <f t="shared" ca="1" si="31"/>
        <v>0</v>
      </c>
      <c r="V124" s="306">
        <f t="shared" ca="1" si="32"/>
        <v>1.201299131881014</v>
      </c>
      <c r="W124" s="304">
        <f t="shared" ca="1" si="33"/>
        <v>186.69755586481659</v>
      </c>
      <c r="Y124" s="314" t="str">
        <f t="shared" ca="1" si="51"/>
        <v/>
      </c>
      <c r="Z124" s="315" t="str">
        <f t="shared" ca="1" si="52"/>
        <v/>
      </c>
      <c r="AA124" s="316" t="str">
        <f t="shared" ca="1" si="53"/>
        <v/>
      </c>
      <c r="AC124" s="310" t="e">
        <f t="shared" ca="1" si="54"/>
        <v>#N/A</v>
      </c>
      <c r="AD124" s="323" t="e">
        <f t="shared" ca="1" si="55"/>
        <v>#N/A</v>
      </c>
      <c r="AE124" s="324">
        <f t="shared" ca="1" si="34"/>
        <v>195.36641469769484</v>
      </c>
      <c r="AG124" s="306">
        <f t="shared" ca="1" si="56"/>
        <v>82.853042179129332</v>
      </c>
      <c r="AH124" s="304">
        <f t="shared" ca="1" si="57"/>
        <v>92.491617586124619</v>
      </c>
    </row>
    <row r="125" spans="1:34" x14ac:dyDescent="0.2">
      <c r="A125" s="347">
        <f t="shared" ca="1" si="35"/>
        <v>0.01</v>
      </c>
      <c r="B125" s="304">
        <f t="shared" ca="1" si="36"/>
        <v>1.2100000000000009</v>
      </c>
      <c r="D125" s="306">
        <f t="shared" ca="1" si="37"/>
        <v>17.13675129447558</v>
      </c>
      <c r="E125" s="307">
        <f t="shared" ca="1" si="38"/>
        <v>80.610766437046834</v>
      </c>
      <c r="F125" s="304">
        <f t="shared" ca="1" si="39"/>
        <v>82.412158754014129</v>
      </c>
      <c r="G125" s="306">
        <f t="shared" ca="1" si="40"/>
        <v>42.064177189784886</v>
      </c>
      <c r="H125" s="307">
        <f t="shared" ca="1" si="41"/>
        <v>221.85033559818891</v>
      </c>
      <c r="I125" s="304">
        <f t="shared" ca="1" si="42"/>
        <v>225.80293711039869</v>
      </c>
      <c r="J125" s="306">
        <f t="shared" ca="1" si="43"/>
        <v>36.430200315449184</v>
      </c>
      <c r="K125" s="307">
        <f t="shared" ca="1" si="44"/>
        <v>197.58088751535487</v>
      </c>
      <c r="L125" s="304">
        <f t="shared" ca="1" si="29"/>
        <v>200.91134016371268</v>
      </c>
      <c r="M125" s="306">
        <f t="shared" ca="1" si="45"/>
        <v>1.3834145821958055</v>
      </c>
      <c r="N125" s="304">
        <f t="shared" ca="1" si="46"/>
        <v>79.263816876673772</v>
      </c>
      <c r="P125" s="310">
        <f t="shared" ca="1" si="47"/>
        <v>4</v>
      </c>
      <c r="Q125" s="304">
        <f t="shared" ca="1" si="48"/>
        <v>706.19999999999982</v>
      </c>
      <c r="R125" s="306">
        <f t="shared" ca="1" si="49"/>
        <v>0.35440887692688861</v>
      </c>
      <c r="S125" s="307">
        <f t="shared" ca="1" si="50"/>
        <v>5.6449041834072586</v>
      </c>
      <c r="T125" s="304">
        <f t="shared" ca="1" si="30"/>
        <v>55.376510039225209</v>
      </c>
      <c r="U125" s="311">
        <f t="shared" ca="1" si="31"/>
        <v>0</v>
      </c>
      <c r="V125" s="306">
        <f t="shared" ca="1" si="32"/>
        <v>1.2010331112370076</v>
      </c>
      <c r="W125" s="304">
        <f t="shared" ca="1" si="33"/>
        <v>188.02586375709473</v>
      </c>
      <c r="Y125" s="314" t="str">
        <f t="shared" ca="1" si="51"/>
        <v/>
      </c>
      <c r="Z125" s="315" t="str">
        <f t="shared" ca="1" si="52"/>
        <v/>
      </c>
      <c r="AA125" s="316" t="str">
        <f t="shared" ca="1" si="53"/>
        <v/>
      </c>
      <c r="AC125" s="310" t="e">
        <f t="shared" ca="1" si="54"/>
        <v>#N/A</v>
      </c>
      <c r="AD125" s="323" t="e">
        <f t="shared" ca="1" si="55"/>
        <v>#N/A</v>
      </c>
      <c r="AE125" s="324">
        <f t="shared" ca="1" si="34"/>
        <v>197.58088751535487</v>
      </c>
      <c r="AG125" s="306">
        <f t="shared" ca="1" si="56"/>
        <v>82.391911551451244</v>
      </c>
      <c r="AH125" s="304">
        <f t="shared" ca="1" si="57"/>
        <v>92.03033873669969</v>
      </c>
    </row>
    <row r="126" spans="1:34" x14ac:dyDescent="0.2">
      <c r="A126" s="347">
        <f t="shared" ca="1" si="35"/>
        <v>0.01</v>
      </c>
      <c r="B126" s="304">
        <f t="shared" ca="1" si="36"/>
        <v>1.2200000000000009</v>
      </c>
      <c r="D126" s="306">
        <f t="shared" ca="1" si="37"/>
        <v>17.058114664306114</v>
      </c>
      <c r="E126" s="307">
        <f t="shared" ca="1" si="38"/>
        <v>80.156064137531985</v>
      </c>
      <c r="F126" s="304">
        <f t="shared" ca="1" si="39"/>
        <v>81.951045715846462</v>
      </c>
      <c r="G126" s="306">
        <f t="shared" ca="1" si="40"/>
        <v>42.234758336427944</v>
      </c>
      <c r="H126" s="307">
        <f t="shared" ca="1" si="41"/>
        <v>222.65189623956422</v>
      </c>
      <c r="I126" s="304">
        <f t="shared" ca="1" si="42"/>
        <v>226.62224451895744</v>
      </c>
      <c r="J126" s="306">
        <f t="shared" ca="1" si="43"/>
        <v>36.851694993080251</v>
      </c>
      <c r="K126" s="307">
        <f t="shared" ca="1" si="44"/>
        <v>199.80339867454364</v>
      </c>
      <c r="L126" s="304">
        <f t="shared" ca="1" si="29"/>
        <v>203.17343710672822</v>
      </c>
      <c r="M126" s="306">
        <f t="shared" ca="1" si="45"/>
        <v>1.3833339424253679</v>
      </c>
      <c r="N126" s="304">
        <f t="shared" ca="1" si="46"/>
        <v>79.259196558166792</v>
      </c>
      <c r="P126" s="310">
        <f t="shared" ca="1" si="47"/>
        <v>4</v>
      </c>
      <c r="Q126" s="304">
        <f t="shared" ca="1" si="48"/>
        <v>704.5999999999998</v>
      </c>
      <c r="R126" s="306">
        <f t="shared" ca="1" si="49"/>
        <v>0.35360591147364162</v>
      </c>
      <c r="S126" s="307">
        <f t="shared" ca="1" si="50"/>
        <v>5.641368124292522</v>
      </c>
      <c r="T126" s="304">
        <f t="shared" ca="1" si="30"/>
        <v>55.341821299309643</v>
      </c>
      <c r="U126" s="311">
        <f t="shared" ca="1" si="31"/>
        <v>0</v>
      </c>
      <c r="V126" s="306">
        <f t="shared" ca="1" si="32"/>
        <v>1.2007661836062844</v>
      </c>
      <c r="W126" s="304">
        <f t="shared" ca="1" si="33"/>
        <v>189.3507197575629</v>
      </c>
      <c r="Y126" s="314" t="str">
        <f t="shared" ca="1" si="51"/>
        <v/>
      </c>
      <c r="Z126" s="315" t="str">
        <f t="shared" ca="1" si="52"/>
        <v/>
      </c>
      <c r="AA126" s="316" t="str">
        <f t="shared" ca="1" si="53"/>
        <v/>
      </c>
      <c r="AC126" s="310" t="e">
        <f t="shared" ca="1" si="54"/>
        <v>#N/A</v>
      </c>
      <c r="AD126" s="323" t="e">
        <f t="shared" ca="1" si="55"/>
        <v>#N/A</v>
      </c>
      <c r="AE126" s="324">
        <f t="shared" ca="1" si="34"/>
        <v>199.80339867454364</v>
      </c>
      <c r="AG126" s="306">
        <f t="shared" ca="1" si="56"/>
        <v>81.930667172231821</v>
      </c>
      <c r="AH126" s="304">
        <f t="shared" ca="1" si="57"/>
        <v>91.568946550122192</v>
      </c>
    </row>
    <row r="127" spans="1:34" x14ac:dyDescent="0.2">
      <c r="A127" s="347">
        <f t="shared" ca="1" si="35"/>
        <v>0.01</v>
      </c>
      <c r="B127" s="304">
        <f t="shared" ca="1" si="36"/>
        <v>1.2300000000000009</v>
      </c>
      <c r="D127" s="306">
        <f t="shared" ca="1" si="37"/>
        <v>16.979363538991063</v>
      </c>
      <c r="E127" s="307">
        <f t="shared" ca="1" si="38"/>
        <v>79.70128496541119</v>
      </c>
      <c r="F127" s="304">
        <f t="shared" ca="1" si="39"/>
        <v>81.489837472699008</v>
      </c>
      <c r="G127" s="306">
        <f t="shared" ca="1" si="40"/>
        <v>42.404551971817853</v>
      </c>
      <c r="H127" s="307">
        <f t="shared" ca="1" si="41"/>
        <v>223.44890908921835</v>
      </c>
      <c r="I127" s="304">
        <f t="shared" ca="1" si="42"/>
        <v>227.43693851503622</v>
      </c>
      <c r="J127" s="306">
        <f t="shared" ca="1" si="43"/>
        <v>37.274891544621482</v>
      </c>
      <c r="K127" s="307">
        <f t="shared" ca="1" si="44"/>
        <v>202.03390270118754</v>
      </c>
      <c r="L127" s="304">
        <f t="shared" ca="1" si="29"/>
        <v>205.44370367654545</v>
      </c>
      <c r="M127" s="306">
        <f t="shared" ca="1" si="45"/>
        <v>1.3832535573387577</v>
      </c>
      <c r="N127" s="304">
        <f t="shared" ca="1" si="46"/>
        <v>79.25459083196823</v>
      </c>
      <c r="P127" s="310">
        <f t="shared" ca="1" si="47"/>
        <v>4</v>
      </c>
      <c r="Q127" s="304">
        <f t="shared" ca="1" si="48"/>
        <v>702.99999999999989</v>
      </c>
      <c r="R127" s="306">
        <f t="shared" ca="1" si="49"/>
        <v>0.35280294602039469</v>
      </c>
      <c r="S127" s="307">
        <f t="shared" ca="1" si="50"/>
        <v>5.6378400948323177</v>
      </c>
      <c r="T127" s="304">
        <f t="shared" ca="1" si="30"/>
        <v>55.307211330305037</v>
      </c>
      <c r="U127" s="311">
        <f t="shared" ca="1" si="31"/>
        <v>0</v>
      </c>
      <c r="V127" s="306">
        <f t="shared" ca="1" si="32"/>
        <v>1.20049835506653</v>
      </c>
      <c r="W127" s="304">
        <f t="shared" ca="1" si="33"/>
        <v>190.67203833746586</v>
      </c>
      <c r="Y127" s="314" t="str">
        <f t="shared" ca="1" si="51"/>
        <v/>
      </c>
      <c r="Z127" s="315" t="str">
        <f t="shared" ca="1" si="52"/>
        <v/>
      </c>
      <c r="AA127" s="316" t="str">
        <f t="shared" ca="1" si="53"/>
        <v/>
      </c>
      <c r="AC127" s="310" t="e">
        <f t="shared" ca="1" si="54"/>
        <v>#N/A</v>
      </c>
      <c r="AD127" s="323" t="e">
        <f t="shared" ca="1" si="55"/>
        <v>#N/A</v>
      </c>
      <c r="AE127" s="324">
        <f t="shared" ca="1" si="34"/>
        <v>202.03390270118754</v>
      </c>
      <c r="AG127" s="306">
        <f t="shared" ca="1" si="56"/>
        <v>81.469326125705479</v>
      </c>
      <c r="AH127" s="304">
        <f t="shared" ca="1" si="57"/>
        <v>91.107458104966724</v>
      </c>
    </row>
    <row r="128" spans="1:34" x14ac:dyDescent="0.2">
      <c r="A128" s="347">
        <f t="shared" ca="1" si="35"/>
        <v>0.01</v>
      </c>
      <c r="B128" s="304">
        <f t="shared" ca="1" si="36"/>
        <v>1.2400000000000009</v>
      </c>
      <c r="D128" s="306">
        <f t="shared" ca="1" si="37"/>
        <v>16.900501714752053</v>
      </c>
      <c r="E128" s="307">
        <f t="shared" ca="1" si="38"/>
        <v>79.246445490371201</v>
      </c>
      <c r="F128" s="304">
        <f t="shared" ca="1" si="39"/>
        <v>81.028551024121811</v>
      </c>
      <c r="G128" s="306">
        <f t="shared" ca="1" si="40"/>
        <v>42.573556988965372</v>
      </c>
      <c r="H128" s="307">
        <f t="shared" ca="1" si="41"/>
        <v>224.24137354412207</v>
      </c>
      <c r="I128" s="304">
        <f t="shared" ca="1" si="42"/>
        <v>228.24701830176704</v>
      </c>
      <c r="J128" s="306">
        <f t="shared" ca="1" si="43"/>
        <v>37.699782089425398</v>
      </c>
      <c r="K128" s="307">
        <f t="shared" ca="1" si="44"/>
        <v>204.27235411435424</v>
      </c>
      <c r="L128" s="304">
        <f t="shared" ca="1" si="29"/>
        <v>207.72209373345507</v>
      </c>
      <c r="M128" s="306">
        <f t="shared" ca="1" si="45"/>
        <v>1.3831734236060214</v>
      </c>
      <c r="N128" s="304">
        <f t="shared" ca="1" si="46"/>
        <v>79.249999507285821</v>
      </c>
      <c r="P128" s="310">
        <f t="shared" ca="1" si="47"/>
        <v>4</v>
      </c>
      <c r="Q128" s="304">
        <f t="shared" ca="1" si="48"/>
        <v>701.39999999999986</v>
      </c>
      <c r="R128" s="306">
        <f t="shared" ca="1" si="49"/>
        <v>0.35199998056714771</v>
      </c>
      <c r="S128" s="307">
        <f t="shared" ca="1" si="50"/>
        <v>5.6343200950266459</v>
      </c>
      <c r="T128" s="304">
        <f t="shared" ca="1" si="30"/>
        <v>55.272680132211399</v>
      </c>
      <c r="U128" s="311">
        <f t="shared" ca="1" si="31"/>
        <v>0</v>
      </c>
      <c r="V128" s="306">
        <f t="shared" ca="1" si="32"/>
        <v>1.2002296316933061</v>
      </c>
      <c r="W128" s="304">
        <f t="shared" ca="1" si="33"/>
        <v>191.98973481674446</v>
      </c>
      <c r="Y128" s="314" t="str">
        <f t="shared" ca="1" si="51"/>
        <v/>
      </c>
      <c r="Z128" s="315" t="str">
        <f t="shared" ca="1" si="52"/>
        <v/>
      </c>
      <c r="AA128" s="316" t="str">
        <f t="shared" ca="1" si="53"/>
        <v/>
      </c>
      <c r="AC128" s="310" t="e">
        <f t="shared" ca="1" si="54"/>
        <v>#N/A</v>
      </c>
      <c r="AD128" s="323" t="e">
        <f t="shared" ca="1" si="55"/>
        <v>#N/A</v>
      </c>
      <c r="AE128" s="324">
        <f t="shared" ca="1" si="34"/>
        <v>204.27235411435424</v>
      </c>
      <c r="AG128" s="306">
        <f t="shared" ca="1" si="56"/>
        <v>81.007905389636619</v>
      </c>
      <c r="AH128" s="304">
        <f t="shared" ca="1" si="57"/>
        <v>90.645890373418453</v>
      </c>
    </row>
    <row r="129" spans="1:34" x14ac:dyDescent="0.2">
      <c r="A129" s="347">
        <f t="shared" ca="1" si="35"/>
        <v>0.01</v>
      </c>
      <c r="B129" s="304">
        <f t="shared" ca="1" si="36"/>
        <v>1.2500000000000009</v>
      </c>
      <c r="D129" s="306">
        <f t="shared" ca="1" si="37"/>
        <v>16.821532962643786</v>
      </c>
      <c r="E129" s="307">
        <f t="shared" ca="1" si="38"/>
        <v>78.791562177166711</v>
      </c>
      <c r="F129" s="304">
        <f t="shared" ca="1" si="39"/>
        <v>80.567203262441964</v>
      </c>
      <c r="G129" s="306">
        <f t="shared" ca="1" si="40"/>
        <v>42.741772318591806</v>
      </c>
      <c r="H129" s="307">
        <f t="shared" ca="1" si="41"/>
        <v>225.02928916589374</v>
      </c>
      <c r="I129" s="304">
        <f t="shared" ca="1" si="42"/>
        <v>229.05248325098282</v>
      </c>
      <c r="J129" s="306">
        <f t="shared" ca="1" si="43"/>
        <v>38.126358735963187</v>
      </c>
      <c r="K129" s="307">
        <f t="shared" ca="1" si="44"/>
        <v>206.51870742790433</v>
      </c>
      <c r="L129" s="304">
        <f t="shared" ca="1" si="29"/>
        <v>210.00856113062559</v>
      </c>
      <c r="M129" s="306">
        <f t="shared" ca="1" si="45"/>
        <v>1.383093537946102</v>
      </c>
      <c r="N129" s="304">
        <f t="shared" ca="1" si="46"/>
        <v>79.245422396128816</v>
      </c>
      <c r="P129" s="310">
        <f t="shared" ca="1" si="47"/>
        <v>4</v>
      </c>
      <c r="Q129" s="304">
        <f t="shared" ca="1" si="48"/>
        <v>699.79999999999984</v>
      </c>
      <c r="R129" s="306">
        <f t="shared" ca="1" si="49"/>
        <v>0.35119701511390067</v>
      </c>
      <c r="S129" s="307">
        <f t="shared" ca="1" si="50"/>
        <v>5.6308081248755073</v>
      </c>
      <c r="T129" s="304">
        <f t="shared" ca="1" si="30"/>
        <v>55.238227705028727</v>
      </c>
      <c r="U129" s="311">
        <f t="shared" ca="1" si="31"/>
        <v>0</v>
      </c>
      <c r="V129" s="306">
        <f t="shared" ca="1" si="32"/>
        <v>1.1999600195598081</v>
      </c>
      <c r="W129" s="304">
        <f t="shared" ca="1" si="33"/>
        <v>193.3037253672058</v>
      </c>
      <c r="Y129" s="314" t="str">
        <f t="shared" ca="1" si="51"/>
        <v/>
      </c>
      <c r="Z129" s="315" t="str">
        <f t="shared" ca="1" si="52"/>
        <v/>
      </c>
      <c r="AA129" s="316" t="str">
        <f t="shared" ca="1" si="53"/>
        <v/>
      </c>
      <c r="AC129" s="310" t="e">
        <f t="shared" ca="1" si="54"/>
        <v>#N/A</v>
      </c>
      <c r="AD129" s="323" t="e">
        <f t="shared" ca="1" si="55"/>
        <v>#N/A</v>
      </c>
      <c r="AE129" s="324">
        <f t="shared" ca="1" si="34"/>
        <v>206.51870742790433</v>
      </c>
      <c r="AG129" s="306">
        <f t="shared" ca="1" si="56"/>
        <v>80.546421834153293</v>
      </c>
      <c r="AH129" s="304">
        <f t="shared" ca="1" si="57"/>
        <v>90.184260220105202</v>
      </c>
    </row>
    <row r="130" spans="1:34" x14ac:dyDescent="0.2">
      <c r="A130" s="347">
        <f t="shared" ca="1" si="35"/>
        <v>0.01</v>
      </c>
      <c r="B130" s="304">
        <f t="shared" ca="1" si="36"/>
        <v>1.2600000000000009</v>
      </c>
      <c r="D130" s="306">
        <f t="shared" ca="1" si="37"/>
        <v>16.74246102845899</v>
      </c>
      <c r="E130" s="307">
        <f t="shared" ca="1" si="38"/>
        <v>78.336651384481812</v>
      </c>
      <c r="F130" s="304">
        <f t="shared" ca="1" si="39"/>
        <v>80.105810971634909</v>
      </c>
      <c r="G130" s="306">
        <f t="shared" ca="1" si="40"/>
        <v>42.909196928876398</v>
      </c>
      <c r="H130" s="307">
        <f t="shared" ca="1" si="41"/>
        <v>225.81265567973855</v>
      </c>
      <c r="I130" s="304">
        <f t="shared" ca="1" si="42"/>
        <v>229.85333290212969</v>
      </c>
      <c r="J130" s="306">
        <f t="shared" ca="1" si="43"/>
        <v>38.554613582200531</v>
      </c>
      <c r="K130" s="307">
        <f t="shared" ca="1" si="44"/>
        <v>208.77291715213249</v>
      </c>
      <c r="L130" s="304">
        <f t="shared" ca="1" si="29"/>
        <v>212.30305971578454</v>
      </c>
      <c r="M130" s="306">
        <f t="shared" ca="1" si="45"/>
        <v>1.3830138971258368</v>
      </c>
      <c r="N130" s="304">
        <f t="shared" ca="1" si="46"/>
        <v>79.240859313250667</v>
      </c>
      <c r="P130" s="310">
        <f t="shared" ca="1" si="47"/>
        <v>4</v>
      </c>
      <c r="Q130" s="304">
        <f t="shared" ca="1" si="48"/>
        <v>698.19999999999982</v>
      </c>
      <c r="R130" s="306">
        <f t="shared" ca="1" si="49"/>
        <v>0.35039404966065368</v>
      </c>
      <c r="S130" s="307">
        <f t="shared" ca="1" si="50"/>
        <v>5.6273041843789011</v>
      </c>
      <c r="T130" s="304">
        <f t="shared" ca="1" si="30"/>
        <v>55.203854048757023</v>
      </c>
      <c r="U130" s="311">
        <f t="shared" ca="1" si="31"/>
        <v>0</v>
      </c>
      <c r="V130" s="306">
        <f t="shared" ca="1" si="32"/>
        <v>1.1996895247366262</v>
      </c>
      <c r="W130" s="304">
        <f t="shared" ca="1" si="33"/>
        <v>194.61392701552728</v>
      </c>
      <c r="Y130" s="314" t="str">
        <f t="shared" ca="1" si="51"/>
        <v/>
      </c>
      <c r="Z130" s="315" t="str">
        <f t="shared" ca="1" si="52"/>
        <v/>
      </c>
      <c r="AA130" s="316" t="str">
        <f t="shared" ca="1" si="53"/>
        <v/>
      </c>
      <c r="AC130" s="310" t="e">
        <f t="shared" ca="1" si="54"/>
        <v>#N/A</v>
      </c>
      <c r="AD130" s="323" t="e">
        <f t="shared" ca="1" si="55"/>
        <v>#N/A</v>
      </c>
      <c r="AE130" s="324">
        <f t="shared" ca="1" si="34"/>
        <v>208.77291715213249</v>
      </c>
      <c r="AG130" s="306">
        <f t="shared" ca="1" si="56"/>
        <v>80.084892220608353</v>
      </c>
      <c r="AH130" s="304">
        <f t="shared" ca="1" si="57"/>
        <v>89.722584400956919</v>
      </c>
    </row>
    <row r="131" spans="1:34" x14ac:dyDescent="0.2">
      <c r="A131" s="347">
        <f t="shared" ca="1" si="35"/>
        <v>0.01</v>
      </c>
      <c r="B131" s="304">
        <f t="shared" ca="1" si="36"/>
        <v>1.2700000000000009</v>
      </c>
      <c r="D131" s="306">
        <f t="shared" ca="1" si="37"/>
        <v>16.66328963263458</v>
      </c>
      <c r="E131" s="307">
        <f t="shared" ca="1" si="38"/>
        <v>77.881729363819659</v>
      </c>
      <c r="F131" s="304">
        <f t="shared" ca="1" si="39"/>
        <v>79.644390826224011</v>
      </c>
      <c r="G131" s="306">
        <f t="shared" ca="1" si="40"/>
        <v>43.075829825202746</v>
      </c>
      <c r="H131" s="307">
        <f t="shared" ca="1" si="41"/>
        <v>226.59147297337674</v>
      </c>
      <c r="I131" s="304">
        <f t="shared" ca="1" si="42"/>
        <v>230.64956696116806</v>
      </c>
      <c r="J131" s="306">
        <f t="shared" ca="1" si="43"/>
        <v>38.984538715970928</v>
      </c>
      <c r="K131" s="307">
        <f t="shared" ca="1" si="44"/>
        <v>211.03493779539806</v>
      </c>
      <c r="L131" s="304">
        <f t="shared" ca="1" si="29"/>
        <v>214.60554333288917</v>
      </c>
      <c r="M131" s="306">
        <f t="shared" ca="1" si="45"/>
        <v>1.3829344979589826</v>
      </c>
      <c r="N131" s="304">
        <f t="shared" ca="1" si="46"/>
        <v>79.236310076093062</v>
      </c>
      <c r="P131" s="310">
        <f t="shared" ca="1" si="47"/>
        <v>4</v>
      </c>
      <c r="Q131" s="304">
        <f t="shared" ca="1" si="48"/>
        <v>696.5999999999998</v>
      </c>
      <c r="R131" s="306">
        <f t="shared" ca="1" si="49"/>
        <v>0.3495910842074067</v>
      </c>
      <c r="S131" s="307">
        <f t="shared" ca="1" si="50"/>
        <v>5.6238082735368273</v>
      </c>
      <c r="T131" s="304">
        <f t="shared" ca="1" si="30"/>
        <v>55.169559163396279</v>
      </c>
      <c r="U131" s="311">
        <f t="shared" ca="1" si="31"/>
        <v>0</v>
      </c>
      <c r="V131" s="306">
        <f t="shared" ca="1" si="32"/>
        <v>1.1994181532915049</v>
      </c>
      <c r="W131" s="304">
        <f t="shared" ca="1" si="33"/>
        <v>195.92025764609366</v>
      </c>
      <c r="Y131" s="314" t="str">
        <f t="shared" ca="1" si="51"/>
        <v/>
      </c>
      <c r="Z131" s="315" t="str">
        <f t="shared" ca="1" si="52"/>
        <v/>
      </c>
      <c r="AA131" s="316" t="str">
        <f t="shared" ca="1" si="53"/>
        <v/>
      </c>
      <c r="AC131" s="310" t="e">
        <f t="shared" ca="1" si="54"/>
        <v>#N/A</v>
      </c>
      <c r="AD131" s="323" t="e">
        <f t="shared" ca="1" si="55"/>
        <v>#N/A</v>
      </c>
      <c r="AE131" s="324">
        <f t="shared" ca="1" si="34"/>
        <v>211.03493779539806</v>
      </c>
      <c r="AG131" s="306">
        <f t="shared" ca="1" si="56"/>
        <v>79.62333320046821</v>
      </c>
      <c r="AH131" s="304">
        <f t="shared" ca="1" si="57"/>
        <v>89.260879562092924</v>
      </c>
    </row>
    <row r="132" spans="1:34" x14ac:dyDescent="0.2">
      <c r="A132" s="347">
        <f t="shared" ca="1" si="35"/>
        <v>0.01</v>
      </c>
      <c r="B132" s="304">
        <f t="shared" ca="1" si="36"/>
        <v>1.2800000000000009</v>
      </c>
      <c r="D132" s="306">
        <f t="shared" ca="1" si="37"/>
        <v>16.584022470158793</v>
      </c>
      <c r="E132" s="307">
        <f t="shared" ca="1" si="38"/>
        <v>77.426812258419915</v>
      </c>
      <c r="F132" s="304">
        <f t="shared" ca="1" si="39"/>
        <v>79.18295939020804</v>
      </c>
      <c r="G132" s="306">
        <f t="shared" ca="1" si="40"/>
        <v>43.241670049904336</v>
      </c>
      <c r="H132" s="307">
        <f t="shared" ca="1" si="41"/>
        <v>227.36574109596094</v>
      </c>
      <c r="I132" s="304">
        <f t="shared" ca="1" si="42"/>
        <v>231.44118529946294</v>
      </c>
      <c r="J132" s="306">
        <f t="shared" ca="1" si="43"/>
        <v>39.416126215346466</v>
      </c>
      <c r="K132" s="307">
        <f t="shared" ca="1" si="44"/>
        <v>213.30472386574476</v>
      </c>
      <c r="L132" s="304">
        <f t="shared" ref="L132:L195" ca="1" si="58">SQRT(pos_x^2+pos_z^2)</f>
        <v>216.91596582378565</v>
      </c>
      <c r="M132" s="306">
        <f t="shared" ca="1" si="45"/>
        <v>1.3828553373052646</v>
      </c>
      <c r="N132" s="304">
        <f t="shared" ca="1" si="46"/>
        <v>79.231774504731519</v>
      </c>
      <c r="P132" s="310">
        <f t="shared" ca="1" si="47"/>
        <v>4</v>
      </c>
      <c r="Q132" s="304">
        <f t="shared" ca="1" si="48"/>
        <v>694.99999999999989</v>
      </c>
      <c r="R132" s="306">
        <f t="shared" ca="1" si="49"/>
        <v>0.34878811875415977</v>
      </c>
      <c r="S132" s="307">
        <f t="shared" ca="1" si="50"/>
        <v>5.6203203923492859</v>
      </c>
      <c r="T132" s="304">
        <f t="shared" ref="T132:T195" ca="1" si="59">m*g</f>
        <v>55.135343048946496</v>
      </c>
      <c r="U132" s="311">
        <f t="shared" ref="U132:U195" ca="1" si="60">IF(pos_xz&lt;L_rampe,Poids*COS(Beta),0)</f>
        <v>0</v>
      </c>
      <c r="V132" s="306">
        <f t="shared" ref="V132:V195" ca="1" si="61">Rho_moyen*(20000-Alt_rampe-pos_z)/(20000+Alt_rampe+pos_z)</f>
        <v>1.1991459112891101</v>
      </c>
      <c r="W132" s="304">
        <f t="shared" ref="W132:W195" ca="1" si="62">1/2*Rho*Sref*Cx*vit_xz^2</f>
        <v>197.22263600367108</v>
      </c>
      <c r="Y132" s="314" t="str">
        <f t="shared" ca="1" si="51"/>
        <v/>
      </c>
      <c r="Z132" s="315" t="str">
        <f t="shared" ca="1" si="52"/>
        <v/>
      </c>
      <c r="AA132" s="316" t="str">
        <f t="shared" ca="1" si="53"/>
        <v/>
      </c>
      <c r="AC132" s="310" t="e">
        <f t="shared" ca="1" si="54"/>
        <v>#N/A</v>
      </c>
      <c r="AD132" s="323" t="e">
        <f t="shared" ca="1" si="55"/>
        <v>#N/A</v>
      </c>
      <c r="AE132" s="324">
        <f t="shared" ref="AE132:AE195" ca="1" si="63">IF(t&lt;T_para, pos_z, NA())</f>
        <v>213.30472386574476</v>
      </c>
      <c r="AG132" s="306">
        <f t="shared" ca="1" si="56"/>
        <v>79.161761314229452</v>
      </c>
      <c r="AH132" s="304">
        <f t="shared" ca="1" si="57"/>
        <v>88.799162238736997</v>
      </c>
    </row>
    <row r="133" spans="1:34" x14ac:dyDescent="0.2">
      <c r="A133" s="347">
        <f t="shared" ref="A133:A196" ca="1" si="64">IF(B132+0.01&lt;=T_ini+ROUNDUP(Temps_fin_propu,0), 0.01, IF(K132&gt;0, 0.1, 0.0001))</f>
        <v>0.01</v>
      </c>
      <c r="B133" s="304">
        <f t="shared" ref="B133:B196" ca="1" si="65">B132+pas</f>
        <v>1.2900000000000009</v>
      </c>
      <c r="D133" s="306">
        <f t="shared" ref="D133:D196" ca="1" si="66">IF(AND(L132&lt;L_rampe,Poussee&lt;Poids*SIN(M132)),0,(-W132+Poussee)/m*COS(M132)-U132/m*SIN(M132))</f>
        <v>16.504663210479752</v>
      </c>
      <c r="E133" s="307">
        <f t="shared" ref="E133:E196" ca="1" si="67">IF(AND(L132&lt;L_rampe,Poussee&lt;Poids*SIN(M132)),0,(-W132+Poussee)/m*SIN(M132)+U132/m*COS(M132)-Poids/m)</f>
        <v>76.971916102203707</v>
      </c>
      <c r="F133" s="304">
        <f t="shared" ref="F133:F196" ca="1" si="68">SQRT(acc_x^2+acc_z^2)</f>
        <v>78.721533116016289</v>
      </c>
      <c r="G133" s="306">
        <f t="shared" ref="G133:G196" ca="1" si="69">G132+acc_x*pas</f>
        <v>43.406716682009133</v>
      </c>
      <c r="H133" s="307">
        <f t="shared" ref="H133:H196" ca="1" si="70">H132+acc_z*pas</f>
        <v>228.13546025698298</v>
      </c>
      <c r="I133" s="304">
        <f t="shared" ref="I133:I196" ca="1" si="71">SQRT(vit_x^2+vit_z^2)</f>
        <v>232.22818795266366</v>
      </c>
      <c r="J133" s="306">
        <f t="shared" ref="J133:J196" ca="1" si="72">J132+0.5*(vit_x+G132)*pas*(K132&gt;=0)</f>
        <v>39.849368149006033</v>
      </c>
      <c r="K133" s="307">
        <f t="shared" ref="K133:K196" ca="1" si="73">K132+0.5*(vit_z+H132)*pas</f>
        <v>215.58222987250949</v>
      </c>
      <c r="L133" s="304">
        <f t="shared" ca="1" si="58"/>
        <v>219.2342810298575</v>
      </c>
      <c r="M133" s="306">
        <f t="shared" ref="M133:M196" ca="1" si="74">IF(AND(L132&gt;L_rampe,G133&gt;0),ATAN2(G133,H133),$M$4)</f>
        <v>1.3827764120694468</v>
      </c>
      <c r="N133" s="304">
        <f t="shared" ref="N133:N196" ca="1" si="75">DEGREES(Beta)</f>
        <v>79.227252421822087</v>
      </c>
      <c r="P133" s="310">
        <f t="shared" ref="P133:P196" ca="1" si="76">MATCH(t-pas/2-T_ini,CdP_t)</f>
        <v>4</v>
      </c>
      <c r="Q133" s="304">
        <f t="shared" ref="Q133:Q196" ca="1" si="77">(INDEX(CdP,2,i_P+1)-INDEX(CdP,2,i_P+0))/(INDEX(CdP,1,i_P+1)-INDEX(CdP,1,i_P+0))*(t-pas/2-T_ini-INDEX(CdP,1,i_P+0))+INDEX(CdP,2,i_P+0)</f>
        <v>693.39999999999986</v>
      </c>
      <c r="R133" s="306">
        <f t="shared" ref="R133:R196" ca="1" si="78">Poussee/(g*ISP)</f>
        <v>0.34798515330091273</v>
      </c>
      <c r="S133" s="307">
        <f t="shared" ref="S133:S196" ca="1" si="79">S132-Débit*pas</f>
        <v>5.6168405408162769</v>
      </c>
      <c r="T133" s="304">
        <f t="shared" ca="1" si="59"/>
        <v>55.101205705407679</v>
      </c>
      <c r="U133" s="311">
        <f t="shared" ca="1" si="60"/>
        <v>0</v>
      </c>
      <c r="V133" s="306">
        <f t="shared" ca="1" si="61"/>
        <v>1.1988728047907933</v>
      </c>
      <c r="W133" s="304">
        <f t="shared" ca="1" si="62"/>
        <v>198.52098169591682</v>
      </c>
      <c r="Y133" s="314" t="str">
        <f t="shared" ref="Y133:Y196" ca="1" si="80">IF(AND(pos_z&lt;=0,K132&gt;0),"Impact balistique","") &amp; IF(AND(H134&lt;0,vit_z&gt;=0),"Apogée","") &amp; IF(AND(Poussee=0,Q132&gt;0),"Fin de propulsion","") &amp; IF(AND(L134&gt;L_rampe,pos_xz&lt;=L_rampe),"Sortie de rampe","")</f>
        <v/>
      </c>
      <c r="Z133" s="315" t="str">
        <f t="shared" ref="Z133:Z196" ca="1" si="81">IF(ABS(t-T_para)&lt;pas/2,"Para","")</f>
        <v/>
      </c>
      <c r="AA133" s="316" t="str">
        <f t="shared" ref="AA133:AA196" ca="1" si="82">IF(ABS(t-T_satellite)&lt;pas/2,"Satellite","")</f>
        <v/>
      </c>
      <c r="AC133" s="310" t="e">
        <f t="shared" ref="AC133:AC196" ca="1" si="83">IF(ABS(t-ROUND(t,0))&lt;0.001,t,NA())</f>
        <v>#N/A</v>
      </c>
      <c r="AD133" s="323" t="e">
        <f t="shared" ref="AD133:AD196" ca="1" si="84">IF(ABS(t-ROUND(t,0))&lt;0.001,pos_x,NA())</f>
        <v>#N/A</v>
      </c>
      <c r="AE133" s="324">
        <f t="shared" ca="1" si="63"/>
        <v>215.58222987250949</v>
      </c>
      <c r="AG133" s="306">
        <f t="shared" ref="AG133:AG196" ca="1" si="85">IF(AND(L132&lt;L_rampe,Poussee&lt;Poids*SIN(M132)),0,(-W132+Poussee)/m-Poids*SIN(M132)/m)</f>
        <v>78.700192990362737</v>
      </c>
      <c r="AH133" s="304">
        <f t="shared" ref="AH133:AH196" ca="1" si="86">IF(AND(L132&lt;L_rampe,Poussee&lt;Poids*SIN(M132)), g*SIN(M132), (-W132+Poussee)/m)</f>
        <v>88.337448854159732</v>
      </c>
    </row>
    <row r="134" spans="1:34" x14ac:dyDescent="0.2">
      <c r="A134" s="347">
        <f t="shared" ca="1" si="64"/>
        <v>0.01</v>
      </c>
      <c r="B134" s="304">
        <f t="shared" ca="1" si="65"/>
        <v>1.3000000000000009</v>
      </c>
      <c r="D134" s="306">
        <f t="shared" ca="1" si="66"/>
        <v>16.425215497415603</v>
      </c>
      <c r="E134" s="307">
        <f t="shared" ca="1" si="67"/>
        <v>76.51705681874661</v>
      </c>
      <c r="F134" s="304">
        <f t="shared" ca="1" si="68"/>
        <v>78.260128343491999</v>
      </c>
      <c r="G134" s="306">
        <f t="shared" ca="1" si="69"/>
        <v>43.57096883698329</v>
      </c>
      <c r="H134" s="307">
        <f t="shared" ca="1" si="70"/>
        <v>228.90063082517045</v>
      </c>
      <c r="I134" s="304">
        <f t="shared" ca="1" si="71"/>
        <v>233.01057511957336</v>
      </c>
      <c r="J134" s="306">
        <f t="shared" ca="1" si="72"/>
        <v>40.284256576600995</v>
      </c>
      <c r="K134" s="307">
        <f t="shared" ca="1" si="73"/>
        <v>217.86741032792025</v>
      </c>
      <c r="L134" s="304">
        <f t="shared" ca="1" si="58"/>
        <v>221.5604427936625</v>
      </c>
      <c r="M134" s="306">
        <f t="shared" ca="1" si="74"/>
        <v>1.3826977192004299</v>
      </c>
      <c r="N134" s="304">
        <f t="shared" ca="1" si="75"/>
        <v>79.222743652549653</v>
      </c>
      <c r="P134" s="310">
        <f t="shared" ca="1" si="76"/>
        <v>4</v>
      </c>
      <c r="Q134" s="304">
        <f t="shared" ca="1" si="77"/>
        <v>691.79999999999984</v>
      </c>
      <c r="R134" s="306">
        <f t="shared" ca="1" si="78"/>
        <v>0.34718218784766575</v>
      </c>
      <c r="S134" s="307">
        <f t="shared" ca="1" si="79"/>
        <v>5.6133687189378003</v>
      </c>
      <c r="T134" s="304">
        <f t="shared" ca="1" si="59"/>
        <v>55.067147132779823</v>
      </c>
      <c r="U134" s="311">
        <f t="shared" ca="1" si="60"/>
        <v>0</v>
      </c>
      <c r="V134" s="306">
        <f t="shared" ca="1" si="61"/>
        <v>1.1985988398543592</v>
      </c>
      <c r="W134" s="304">
        <f t="shared" ca="1" si="62"/>
        <v>199.81521519572709</v>
      </c>
      <c r="Y134" s="314" t="str">
        <f t="shared" ca="1" si="80"/>
        <v/>
      </c>
      <c r="Z134" s="315" t="str">
        <f t="shared" ca="1" si="81"/>
        <v/>
      </c>
      <c r="AA134" s="316" t="str">
        <f t="shared" ca="1" si="82"/>
        <v/>
      </c>
      <c r="AC134" s="310" t="e">
        <f t="shared" ca="1" si="83"/>
        <v>#N/A</v>
      </c>
      <c r="AD134" s="323" t="e">
        <f t="shared" ca="1" si="84"/>
        <v>#N/A</v>
      </c>
      <c r="AE134" s="324">
        <f t="shared" ca="1" si="63"/>
        <v>217.86741032792025</v>
      </c>
      <c r="AG134" s="306">
        <f t="shared" ca="1" si="85"/>
        <v>78.238644544284497</v>
      </c>
      <c r="AH134" s="304">
        <f t="shared" ca="1" si="86"/>
        <v>87.875755718648861</v>
      </c>
    </row>
    <row r="135" spans="1:34" x14ac:dyDescent="0.2">
      <c r="A135" s="347">
        <f t="shared" ca="1" si="64"/>
        <v>0.01</v>
      </c>
      <c r="B135" s="304">
        <f t="shared" ca="1" si="65"/>
        <v>1.3100000000000009</v>
      </c>
      <c r="D135" s="306">
        <f t="shared" ca="1" si="66"/>
        <v>16.345682949065854</v>
      </c>
      <c r="E135" s="307">
        <f t="shared" ca="1" si="67"/>
        <v>76.062250220278941</v>
      </c>
      <c r="F135" s="304">
        <f t="shared" ca="1" si="68"/>
        <v>77.798761298903116</v>
      </c>
      <c r="G135" s="306">
        <f t="shared" ca="1" si="69"/>
        <v>43.734425666473946</v>
      </c>
      <c r="H135" s="307">
        <f t="shared" ca="1" si="70"/>
        <v>229.66125332737323</v>
      </c>
      <c r="I135" s="304">
        <f t="shared" ca="1" si="71"/>
        <v>233.78834716100852</v>
      </c>
      <c r="J135" s="306">
        <f t="shared" ca="1" si="72"/>
        <v>40.720783549118281</v>
      </c>
      <c r="K135" s="307">
        <f t="shared" ca="1" si="73"/>
        <v>220.16021974868298</v>
      </c>
      <c r="L135" s="304">
        <f t="shared" ca="1" si="58"/>
        <v>223.89440496055838</v>
      </c>
      <c r="M135" s="306">
        <f t="shared" ca="1" si="74"/>
        <v>1.3826192556903683</v>
      </c>
      <c r="N135" s="304">
        <f t="shared" ca="1" si="75"/>
        <v>79.218248024577335</v>
      </c>
      <c r="P135" s="310">
        <f t="shared" ca="1" si="76"/>
        <v>4</v>
      </c>
      <c r="Q135" s="304">
        <f t="shared" ca="1" si="77"/>
        <v>690.19999999999982</v>
      </c>
      <c r="R135" s="306">
        <f t="shared" ca="1" si="78"/>
        <v>0.34637922239441876</v>
      </c>
      <c r="S135" s="307">
        <f t="shared" ca="1" si="79"/>
        <v>5.6099049267138561</v>
      </c>
      <c r="T135" s="304">
        <f t="shared" ca="1" si="59"/>
        <v>55.033167331062934</v>
      </c>
      <c r="U135" s="311">
        <f t="shared" ca="1" si="60"/>
        <v>0</v>
      </c>
      <c r="V135" s="306">
        <f t="shared" ca="1" si="61"/>
        <v>1.1983240225338345</v>
      </c>
      <c r="W135" s="304">
        <f t="shared" ca="1" si="62"/>
        <v>201.10525784342414</v>
      </c>
      <c r="Y135" s="314" t="str">
        <f t="shared" ca="1" si="80"/>
        <v/>
      </c>
      <c r="Z135" s="315" t="str">
        <f t="shared" ca="1" si="81"/>
        <v/>
      </c>
      <c r="AA135" s="316" t="str">
        <f t="shared" ca="1" si="82"/>
        <v/>
      </c>
      <c r="AC135" s="310" t="e">
        <f t="shared" ca="1" si="83"/>
        <v>#N/A</v>
      </c>
      <c r="AD135" s="323" t="e">
        <f t="shared" ca="1" si="84"/>
        <v>#N/A</v>
      </c>
      <c r="AE135" s="324">
        <f t="shared" ca="1" si="63"/>
        <v>220.16021974868298</v>
      </c>
      <c r="AG135" s="306">
        <f t="shared" ca="1" si="85"/>
        <v>77.777132177355867</v>
      </c>
      <c r="AH135" s="304">
        <f t="shared" ca="1" si="86"/>
        <v>87.414099028506712</v>
      </c>
    </row>
    <row r="136" spans="1:34" x14ac:dyDescent="0.2">
      <c r="A136" s="347">
        <f t="shared" ca="1" si="64"/>
        <v>0.01</v>
      </c>
      <c r="B136" s="304">
        <f t="shared" ca="1" si="65"/>
        <v>1.320000000000001</v>
      </c>
      <c r="D136" s="306">
        <f t="shared" ca="1" si="66"/>
        <v>16.266069157724612</v>
      </c>
      <c r="E136" s="307">
        <f t="shared" ca="1" si="67"/>
        <v>75.607512006713648</v>
      </c>
      <c r="F136" s="304">
        <f t="shared" ca="1" si="68"/>
        <v>77.337448093981152</v>
      </c>
      <c r="G136" s="306">
        <f t="shared" ca="1" si="69"/>
        <v>43.89708635805119</v>
      </c>
      <c r="H136" s="307">
        <f t="shared" ca="1" si="70"/>
        <v>230.41732844744035</v>
      </c>
      <c r="I136" s="304">
        <f t="shared" ca="1" si="71"/>
        <v>234.5615045986485</v>
      </c>
      <c r="J136" s="306">
        <f t="shared" ca="1" si="72"/>
        <v>41.158941109240907</v>
      </c>
      <c r="K136" s="307">
        <f t="shared" ca="1" si="73"/>
        <v>222.46061265755705</v>
      </c>
      <c r="L136" s="304">
        <f t="shared" ca="1" si="58"/>
        <v>226.23612138031714</v>
      </c>
      <c r="M136" s="306">
        <f t="shared" ca="1" si="74"/>
        <v>1.3825410185738087</v>
      </c>
      <c r="N136" s="304">
        <f t="shared" ca="1" si="75"/>
        <v>79.213765367997198</v>
      </c>
      <c r="P136" s="310">
        <f t="shared" ca="1" si="76"/>
        <v>4</v>
      </c>
      <c r="Q136" s="304">
        <f t="shared" ca="1" si="77"/>
        <v>688.5999999999998</v>
      </c>
      <c r="R136" s="306">
        <f t="shared" ca="1" si="78"/>
        <v>0.34557625694117178</v>
      </c>
      <c r="S136" s="307">
        <f t="shared" ca="1" si="79"/>
        <v>5.6064491641444443</v>
      </c>
      <c r="T136" s="304">
        <f t="shared" ca="1" si="59"/>
        <v>54.999266300256998</v>
      </c>
      <c r="U136" s="311">
        <f t="shared" ca="1" si="60"/>
        <v>0</v>
      </c>
      <c r="V136" s="306">
        <f t="shared" ca="1" si="61"/>
        <v>1.1980483588792419</v>
      </c>
      <c r="W136" s="304">
        <f t="shared" ca="1" si="62"/>
        <v>202.39103184878337</v>
      </c>
      <c r="Y136" s="314" t="str">
        <f t="shared" ca="1" si="80"/>
        <v/>
      </c>
      <c r="Z136" s="315" t="str">
        <f t="shared" ca="1" si="81"/>
        <v/>
      </c>
      <c r="AA136" s="316" t="str">
        <f t="shared" ca="1" si="82"/>
        <v/>
      </c>
      <c r="AC136" s="310" t="e">
        <f t="shared" ca="1" si="83"/>
        <v>#N/A</v>
      </c>
      <c r="AD136" s="323" t="e">
        <f t="shared" ca="1" si="84"/>
        <v>#N/A</v>
      </c>
      <c r="AE136" s="324">
        <f t="shared" ca="1" si="63"/>
        <v>222.46061265755705</v>
      </c>
      <c r="AG136" s="306">
        <f t="shared" ca="1" si="85"/>
        <v>77.315671975909169</v>
      </c>
      <c r="AH136" s="304">
        <f t="shared" ca="1" si="86"/>
        <v>86.952494865075323</v>
      </c>
    </row>
    <row r="137" spans="1:34" x14ac:dyDescent="0.2">
      <c r="A137" s="347">
        <f t="shared" ca="1" si="64"/>
        <v>0.01</v>
      </c>
      <c r="B137" s="304">
        <f t="shared" ca="1" si="65"/>
        <v>1.330000000000001</v>
      </c>
      <c r="D137" s="306">
        <f t="shared" ca="1" si="66"/>
        <v>16.186377689795492</v>
      </c>
      <c r="E137" s="307">
        <f t="shared" ca="1" si="67"/>
        <v>75.152857764701665</v>
      </c>
      <c r="F137" s="304">
        <f t="shared" ca="1" si="68"/>
        <v>76.876204724987488</v>
      </c>
      <c r="G137" s="306">
        <f t="shared" ca="1" si="69"/>
        <v>44.058950134949143</v>
      </c>
      <c r="H137" s="307">
        <f t="shared" ca="1" si="70"/>
        <v>231.16885702508736</v>
      </c>
      <c r="I137" s="304">
        <f t="shared" ca="1" si="71"/>
        <v>235.33004811387607</v>
      </c>
      <c r="J137" s="306">
        <f t="shared" ca="1" si="72"/>
        <v>41.598721291705907</v>
      </c>
      <c r="K137" s="307">
        <f t="shared" ca="1" si="73"/>
        <v>224.76854358491968</v>
      </c>
      <c r="L137" s="304">
        <f t="shared" ca="1" si="58"/>
        <v>228.58554590872748</v>
      </c>
      <c r="M137" s="306">
        <f t="shared" ca="1" si="74"/>
        <v>1.3824630049268525</v>
      </c>
      <c r="N137" s="304">
        <f t="shared" ca="1" si="75"/>
        <v>79.209295515282179</v>
      </c>
      <c r="P137" s="310">
        <f t="shared" ca="1" si="76"/>
        <v>4</v>
      </c>
      <c r="Q137" s="304">
        <f t="shared" ca="1" si="77"/>
        <v>686.99999999999977</v>
      </c>
      <c r="R137" s="306">
        <f t="shared" ca="1" si="78"/>
        <v>0.34477329148792474</v>
      </c>
      <c r="S137" s="307">
        <f t="shared" ca="1" si="79"/>
        <v>5.6030014312295648</v>
      </c>
      <c r="T137" s="304">
        <f t="shared" ca="1" si="59"/>
        <v>54.965444040362037</v>
      </c>
      <c r="U137" s="311">
        <f t="shared" ca="1" si="60"/>
        <v>0</v>
      </c>
      <c r="V137" s="306">
        <f t="shared" ca="1" si="61"/>
        <v>1.1977718549363709</v>
      </c>
      <c r="W137" s="304">
        <f t="shared" ca="1" si="62"/>
        <v>203.67246029290231</v>
      </c>
      <c r="Y137" s="314" t="str">
        <f t="shared" ca="1" si="80"/>
        <v/>
      </c>
      <c r="Z137" s="315" t="str">
        <f t="shared" ca="1" si="81"/>
        <v/>
      </c>
      <c r="AA137" s="316" t="str">
        <f t="shared" ca="1" si="82"/>
        <v/>
      </c>
      <c r="AC137" s="310" t="e">
        <f t="shared" ca="1" si="83"/>
        <v>#N/A</v>
      </c>
      <c r="AD137" s="323" t="e">
        <f t="shared" ca="1" si="84"/>
        <v>#N/A</v>
      </c>
      <c r="AE137" s="324">
        <f t="shared" ca="1" si="63"/>
        <v>224.76854358491968</v>
      </c>
      <c r="AG137" s="306">
        <f t="shared" ca="1" si="85"/>
        <v>76.854279910301557</v>
      </c>
      <c r="AH137" s="304">
        <f t="shared" ca="1" si="86"/>
        <v>86.490959193788782</v>
      </c>
    </row>
    <row r="138" spans="1:34" x14ac:dyDescent="0.2">
      <c r="A138" s="347">
        <f t="shared" ca="1" si="64"/>
        <v>0.01</v>
      </c>
      <c r="B138" s="304">
        <f t="shared" ca="1" si="65"/>
        <v>1.340000000000001</v>
      </c>
      <c r="D138" s="306">
        <f t="shared" ca="1" si="66"/>
        <v>16.106612085708303</v>
      </c>
      <c r="E138" s="307">
        <f t="shared" ca="1" si="67"/>
        <v>74.698302966714451</v>
      </c>
      <c r="F138" s="304">
        <f t="shared" ca="1" si="68"/>
        <v>76.415047071807436</v>
      </c>
      <c r="G138" s="306">
        <f t="shared" ca="1" si="69"/>
        <v>44.220016255806229</v>
      </c>
      <c r="H138" s="307">
        <f t="shared" ca="1" si="70"/>
        <v>231.91584005475451</v>
      </c>
      <c r="I138" s="304">
        <f t="shared" ca="1" si="71"/>
        <v>236.0939785466081</v>
      </c>
      <c r="J138" s="306">
        <f t="shared" ca="1" si="72"/>
        <v>42.040116123659686</v>
      </c>
      <c r="K138" s="307">
        <f t="shared" ca="1" si="73"/>
        <v>227.08396707031889</v>
      </c>
      <c r="L138" s="304">
        <f t="shared" ca="1" si="58"/>
        <v>230.94263240918613</v>
      </c>
      <c r="M138" s="306">
        <f t="shared" ca="1" si="74"/>
        <v>1.3823852118663356</v>
      </c>
      <c r="N138" s="304">
        <f t="shared" ca="1" si="75"/>
        <v>79.20483830123915</v>
      </c>
      <c r="P138" s="310">
        <f t="shared" ca="1" si="76"/>
        <v>4</v>
      </c>
      <c r="Q138" s="304">
        <f t="shared" ca="1" si="77"/>
        <v>685.39999999999986</v>
      </c>
      <c r="R138" s="306">
        <f t="shared" ca="1" si="78"/>
        <v>0.34397032603467781</v>
      </c>
      <c r="S138" s="307">
        <f t="shared" ca="1" si="79"/>
        <v>5.5995617279692178</v>
      </c>
      <c r="T138" s="304">
        <f t="shared" ca="1" si="59"/>
        <v>54.931700551378029</v>
      </c>
      <c r="U138" s="311">
        <f t="shared" ca="1" si="60"/>
        <v>0</v>
      </c>
      <c r="V138" s="306">
        <f t="shared" ca="1" si="61"/>
        <v>1.1974945167465552</v>
      </c>
      <c r="W138" s="304">
        <f t="shared" ca="1" si="62"/>
        <v>204.94946712991191</v>
      </c>
      <c r="Y138" s="314" t="str">
        <f t="shared" ca="1" si="80"/>
        <v/>
      </c>
      <c r="Z138" s="315" t="str">
        <f t="shared" ca="1" si="81"/>
        <v/>
      </c>
      <c r="AA138" s="316" t="str">
        <f t="shared" ca="1" si="82"/>
        <v/>
      </c>
      <c r="AC138" s="310" t="e">
        <f t="shared" ca="1" si="83"/>
        <v>#N/A</v>
      </c>
      <c r="AD138" s="323" t="e">
        <f t="shared" ca="1" si="84"/>
        <v>#N/A</v>
      </c>
      <c r="AE138" s="324">
        <f t="shared" ca="1" si="63"/>
        <v>227.08396707031889</v>
      </c>
      <c r="AG138" s="306">
        <f t="shared" ca="1" si="85"/>
        <v>76.392971833996029</v>
      </c>
      <c r="AH138" s="304">
        <f t="shared" ca="1" si="86"/>
        <v>86.029507863252846</v>
      </c>
    </row>
    <row r="139" spans="1:34" x14ac:dyDescent="0.2">
      <c r="A139" s="347">
        <f t="shared" ca="1" si="64"/>
        <v>0.01</v>
      </c>
      <c r="B139" s="304">
        <f t="shared" ca="1" si="65"/>
        <v>1.350000000000001</v>
      </c>
      <c r="D139" s="306">
        <f t="shared" ca="1" si="66"/>
        <v>16.026775859837684</v>
      </c>
      <c r="E139" s="307">
        <f t="shared" ca="1" si="67"/>
        <v>74.243862970153913</v>
      </c>
      <c r="F139" s="304">
        <f t="shared" ca="1" si="68"/>
        <v>75.953990897071819</v>
      </c>
      <c r="G139" s="306">
        <f t="shared" ca="1" si="69"/>
        <v>44.380284014404609</v>
      </c>
      <c r="H139" s="307">
        <f t="shared" ca="1" si="70"/>
        <v>232.65827868445606</v>
      </c>
      <c r="I139" s="304">
        <f t="shared" ca="1" si="71"/>
        <v>236.85329689411807</v>
      </c>
      <c r="J139" s="306">
        <f t="shared" ca="1" si="72"/>
        <v>42.483117625010742</v>
      </c>
      <c r="K139" s="307">
        <f t="shared" ca="1" si="73"/>
        <v>229.40683766401494</v>
      </c>
      <c r="L139" s="304">
        <f t="shared" ca="1" si="58"/>
        <v>233.30733475427687</v>
      </c>
      <c r="M139" s="306">
        <f t="shared" ca="1" si="74"/>
        <v>1.3823076365490303</v>
      </c>
      <c r="N139" s="304">
        <f t="shared" ca="1" si="75"/>
        <v>79.200393562963171</v>
      </c>
      <c r="P139" s="310">
        <f t="shared" ca="1" si="76"/>
        <v>4</v>
      </c>
      <c r="Q139" s="304">
        <f t="shared" ca="1" si="77"/>
        <v>683.79999999999984</v>
      </c>
      <c r="R139" s="306">
        <f t="shared" ca="1" si="78"/>
        <v>0.34316736058143082</v>
      </c>
      <c r="S139" s="307">
        <f t="shared" ca="1" si="79"/>
        <v>5.5961300543634032</v>
      </c>
      <c r="T139" s="304">
        <f t="shared" ca="1" si="59"/>
        <v>54.898035833304988</v>
      </c>
      <c r="U139" s="311">
        <f t="shared" ca="1" si="60"/>
        <v>0</v>
      </c>
      <c r="V139" s="306">
        <f t="shared" ca="1" si="61"/>
        <v>1.1972163503464477</v>
      </c>
      <c r="W139" s="304">
        <f t="shared" ca="1" si="62"/>
        <v>206.22197718853255</v>
      </c>
      <c r="Y139" s="314" t="str">
        <f t="shared" ca="1" si="80"/>
        <v/>
      </c>
      <c r="Z139" s="315" t="str">
        <f t="shared" ca="1" si="81"/>
        <v/>
      </c>
      <c r="AA139" s="316" t="str">
        <f t="shared" ca="1" si="82"/>
        <v/>
      </c>
      <c r="AC139" s="310" t="e">
        <f t="shared" ca="1" si="83"/>
        <v>#N/A</v>
      </c>
      <c r="AD139" s="323" t="e">
        <f t="shared" ca="1" si="84"/>
        <v>#N/A</v>
      </c>
      <c r="AE139" s="324">
        <f t="shared" ca="1" si="63"/>
        <v>229.40683766401494</v>
      </c>
      <c r="AG139" s="306">
        <f t="shared" ca="1" si="85"/>
        <v>75.931763482669595</v>
      </c>
      <c r="AH139" s="304">
        <f t="shared" ca="1" si="86"/>
        <v>85.568156604351884</v>
      </c>
    </row>
    <row r="140" spans="1:34" x14ac:dyDescent="0.2">
      <c r="A140" s="347">
        <f t="shared" ca="1" si="64"/>
        <v>0.01</v>
      </c>
      <c r="B140" s="304">
        <f t="shared" ca="1" si="65"/>
        <v>1.360000000000001</v>
      </c>
      <c r="D140" s="306">
        <f t="shared" ca="1" si="66"/>
        <v>15.946872500423748</v>
      </c>
      <c r="E140" s="307">
        <f t="shared" ca="1" si="67"/>
        <v>73.789553016489435</v>
      </c>
      <c r="F140" s="304">
        <f t="shared" ca="1" si="68"/>
        <v>75.493051845306113</v>
      </c>
      <c r="G140" s="306">
        <f t="shared" ca="1" si="69"/>
        <v>44.539752739408847</v>
      </c>
      <c r="H140" s="307">
        <f t="shared" ca="1" si="70"/>
        <v>233.39617421462097</v>
      </c>
      <c r="I140" s="304">
        <f t="shared" ca="1" si="71"/>
        <v>237.60800430984935</v>
      </c>
      <c r="J140" s="306">
        <f t="shared" ca="1" si="72"/>
        <v>42.927717808779811</v>
      </c>
      <c r="K140" s="307">
        <f t="shared" ca="1" si="73"/>
        <v>231.73710992851034</v>
      </c>
      <c r="L140" s="304">
        <f t="shared" ca="1" si="58"/>
        <v>235.67960682733818</v>
      </c>
      <c r="M140" s="306">
        <f t="shared" ca="1" si="74"/>
        <v>1.3822302761708651</v>
      </c>
      <c r="N140" s="304">
        <f t="shared" ca="1" si="75"/>
        <v>79.195961139792772</v>
      </c>
      <c r="P140" s="310">
        <f t="shared" ca="1" si="76"/>
        <v>4</v>
      </c>
      <c r="Q140" s="304">
        <f t="shared" ca="1" si="77"/>
        <v>682.19999999999982</v>
      </c>
      <c r="R140" s="306">
        <f t="shared" ca="1" si="78"/>
        <v>0.34236439512818384</v>
      </c>
      <c r="S140" s="307">
        <f t="shared" ca="1" si="79"/>
        <v>5.5927064104121209</v>
      </c>
      <c r="T140" s="304">
        <f t="shared" ca="1" si="59"/>
        <v>54.864449886142907</v>
      </c>
      <c r="U140" s="311">
        <f t="shared" ca="1" si="60"/>
        <v>0</v>
      </c>
      <c r="V140" s="306">
        <f t="shared" ca="1" si="61"/>
        <v>1.1969373617678023</v>
      </c>
      <c r="W140" s="304">
        <f t="shared" ca="1" si="62"/>
        <v>207.48991617347554</v>
      </c>
      <c r="Y140" s="314" t="str">
        <f t="shared" ca="1" si="80"/>
        <v/>
      </c>
      <c r="Z140" s="315" t="str">
        <f t="shared" ca="1" si="81"/>
        <v/>
      </c>
      <c r="AA140" s="316" t="str">
        <f t="shared" ca="1" si="82"/>
        <v/>
      </c>
      <c r="AC140" s="310" t="e">
        <f t="shared" ca="1" si="83"/>
        <v>#N/A</v>
      </c>
      <c r="AD140" s="323" t="e">
        <f t="shared" ca="1" si="84"/>
        <v>#N/A</v>
      </c>
      <c r="AE140" s="324">
        <f t="shared" ca="1" si="63"/>
        <v>231.73710992851034</v>
      </c>
      <c r="AG140" s="306">
        <f t="shared" ca="1" si="85"/>
        <v>75.470670473348434</v>
      </c>
      <c r="AH140" s="304">
        <f t="shared" ca="1" si="86"/>
        <v>85.106921029382789</v>
      </c>
    </row>
    <row r="141" spans="1:34" x14ac:dyDescent="0.2">
      <c r="A141" s="347">
        <f t="shared" ca="1" si="64"/>
        <v>0.01</v>
      </c>
      <c r="B141" s="304">
        <f t="shared" ca="1" si="65"/>
        <v>1.370000000000001</v>
      </c>
      <c r="D141" s="306">
        <f t="shared" ca="1" si="66"/>
        <v>15.866905469494803</v>
      </c>
      <c r="E141" s="307">
        <f t="shared" ca="1" si="67"/>
        <v>73.335388230421614</v>
      </c>
      <c r="F141" s="304">
        <f t="shared" ca="1" si="68"/>
        <v>75.032245442106728</v>
      </c>
      <c r="G141" s="306">
        <f t="shared" ca="1" si="69"/>
        <v>44.698421794103794</v>
      </c>
      <c r="H141" s="307">
        <f t="shared" ca="1" si="70"/>
        <v>234.12952809692518</v>
      </c>
      <c r="I141" s="304">
        <f t="shared" ca="1" si="71"/>
        <v>238.35810210222033</v>
      </c>
      <c r="J141" s="306">
        <f t="shared" ca="1" si="72"/>
        <v>43.373908681447375</v>
      </c>
      <c r="K141" s="307">
        <f t="shared" ca="1" si="73"/>
        <v>234.07473844006807</v>
      </c>
      <c r="L141" s="304">
        <f t="shared" ca="1" si="58"/>
        <v>238.05940252401882</v>
      </c>
      <c r="M141" s="306">
        <f t="shared" ca="1" si="74"/>
        <v>1.3821531279661634</v>
      </c>
      <c r="N141" s="304">
        <f t="shared" ca="1" si="75"/>
        <v>79.191540873266362</v>
      </c>
      <c r="P141" s="310">
        <f t="shared" ca="1" si="76"/>
        <v>4</v>
      </c>
      <c r="Q141" s="304">
        <f t="shared" ca="1" si="77"/>
        <v>680.5999999999998</v>
      </c>
      <c r="R141" s="306">
        <f t="shared" ca="1" si="78"/>
        <v>0.34156142967493686</v>
      </c>
      <c r="S141" s="307">
        <f t="shared" ca="1" si="79"/>
        <v>5.5892907961153719</v>
      </c>
      <c r="T141" s="304">
        <f t="shared" ca="1" si="59"/>
        <v>54.830942709891801</v>
      </c>
      <c r="U141" s="311">
        <f t="shared" ca="1" si="60"/>
        <v>0</v>
      </c>
      <c r="V141" s="306">
        <f t="shared" ca="1" si="61"/>
        <v>1.1966575570372546</v>
      </c>
      <c r="W141" s="304">
        <f t="shared" ca="1" si="62"/>
        <v>208.75321066669136</v>
      </c>
      <c r="Y141" s="314" t="str">
        <f t="shared" ca="1" si="80"/>
        <v/>
      </c>
      <c r="Z141" s="315" t="str">
        <f t="shared" ca="1" si="81"/>
        <v/>
      </c>
      <c r="AA141" s="316" t="str">
        <f t="shared" ca="1" si="82"/>
        <v/>
      </c>
      <c r="AC141" s="310" t="e">
        <f t="shared" ca="1" si="83"/>
        <v>#N/A</v>
      </c>
      <c r="AD141" s="323" t="e">
        <f t="shared" ca="1" si="84"/>
        <v>#N/A</v>
      </c>
      <c r="AE141" s="324">
        <f t="shared" ca="1" si="63"/>
        <v>234.07473844006807</v>
      </c>
      <c r="AG141" s="306">
        <f t="shared" ca="1" si="85"/>
        <v>75.009708303570079</v>
      </c>
      <c r="AH141" s="304">
        <f t="shared" ca="1" si="86"/>
        <v>84.645816631215851</v>
      </c>
    </row>
    <row r="142" spans="1:34" x14ac:dyDescent="0.2">
      <c r="A142" s="347">
        <f t="shared" ca="1" si="64"/>
        <v>0.01</v>
      </c>
      <c r="B142" s="304">
        <f t="shared" ca="1" si="65"/>
        <v>1.380000000000001</v>
      </c>
      <c r="D142" s="306">
        <f t="shared" ca="1" si="66"/>
        <v>15.786878202792257</v>
      </c>
      <c r="E142" s="307">
        <f t="shared" ca="1" si="67"/>
        <v>72.881383619073361</v>
      </c>
      <c r="F142" s="304">
        <f t="shared" ca="1" si="68"/>
        <v>74.571587093344959</v>
      </c>
      <c r="G142" s="306">
        <f t="shared" ca="1" si="69"/>
        <v>44.85629057613172</v>
      </c>
      <c r="H142" s="307">
        <f t="shared" ca="1" si="70"/>
        <v>234.85834193311592</v>
      </c>
      <c r="I142" s="304">
        <f t="shared" ca="1" si="71"/>
        <v>239.10359173342161</v>
      </c>
      <c r="J142" s="306">
        <f t="shared" ca="1" si="72"/>
        <v>43.821682243298554</v>
      </c>
      <c r="K142" s="307">
        <f t="shared" ca="1" si="73"/>
        <v>236.41967779021829</v>
      </c>
      <c r="L142" s="304">
        <f t="shared" ca="1" si="58"/>
        <v>240.44667575382127</v>
      </c>
      <c r="M142" s="306">
        <f t="shared" ca="1" si="74"/>
        <v>1.3820761892069016</v>
      </c>
      <c r="N142" s="304">
        <f t="shared" ca="1" si="75"/>
        <v>79.187132607079675</v>
      </c>
      <c r="P142" s="310">
        <f t="shared" ca="1" si="76"/>
        <v>4</v>
      </c>
      <c r="Q142" s="304">
        <f t="shared" ca="1" si="77"/>
        <v>678.99999999999977</v>
      </c>
      <c r="R142" s="306">
        <f t="shared" ca="1" si="78"/>
        <v>0.34075846422168982</v>
      </c>
      <c r="S142" s="307">
        <f t="shared" ca="1" si="79"/>
        <v>5.5858832114731554</v>
      </c>
      <c r="T142" s="304">
        <f t="shared" ca="1" si="59"/>
        <v>54.797514304551655</v>
      </c>
      <c r="U142" s="311">
        <f t="shared" ca="1" si="60"/>
        <v>0</v>
      </c>
      <c r="V142" s="306">
        <f t="shared" ca="1" si="61"/>
        <v>1.1963769421761032</v>
      </c>
      <c r="W142" s="304">
        <f t="shared" ca="1" si="62"/>
        <v>210.01178812846635</v>
      </c>
      <c r="Y142" s="314" t="str">
        <f t="shared" ca="1" si="80"/>
        <v/>
      </c>
      <c r="Z142" s="315" t="str">
        <f t="shared" ca="1" si="81"/>
        <v/>
      </c>
      <c r="AA142" s="316" t="str">
        <f t="shared" ca="1" si="82"/>
        <v/>
      </c>
      <c r="AC142" s="310" t="e">
        <f t="shared" ca="1" si="83"/>
        <v>#N/A</v>
      </c>
      <c r="AD142" s="323" t="e">
        <f t="shared" ca="1" si="84"/>
        <v>#N/A</v>
      </c>
      <c r="AE142" s="324">
        <f t="shared" ca="1" si="63"/>
        <v>236.41967779021829</v>
      </c>
      <c r="AG142" s="306">
        <f t="shared" ca="1" si="85"/>
        <v>74.548892350572402</v>
      </c>
      <c r="AH142" s="304">
        <f t="shared" ca="1" si="86"/>
        <v>84.184858782482678</v>
      </c>
    </row>
    <row r="143" spans="1:34" x14ac:dyDescent="0.2">
      <c r="A143" s="347">
        <f t="shared" ca="1" si="64"/>
        <v>0.01</v>
      </c>
      <c r="B143" s="304">
        <f t="shared" ca="1" si="65"/>
        <v>1.390000000000001</v>
      </c>
      <c r="D143" s="306">
        <f t="shared" ca="1" si="66"/>
        <v>15.706794109697624</v>
      </c>
      <c r="E143" s="307">
        <f t="shared" ca="1" si="67"/>
        <v>72.427554071207268</v>
      </c>
      <c r="F143" s="304">
        <f t="shared" ca="1" si="68"/>
        <v>74.111092084397768</v>
      </c>
      <c r="G143" s="306">
        <f t="shared" ca="1" si="69"/>
        <v>45.013358517228696</v>
      </c>
      <c r="H143" s="307">
        <f t="shared" ca="1" si="70"/>
        <v>235.58261747382801</v>
      </c>
      <c r="I143" s="304">
        <f t="shared" ca="1" si="71"/>
        <v>239.84447481820493</v>
      </c>
      <c r="J143" s="306">
        <f t="shared" ca="1" si="72"/>
        <v>44.271030488765355</v>
      </c>
      <c r="K143" s="307">
        <f t="shared" ca="1" si="73"/>
        <v>238.771882587253</v>
      </c>
      <c r="L143" s="304">
        <f t="shared" ca="1" si="58"/>
        <v>242.84138044163339</v>
      </c>
      <c r="M143" s="306">
        <f t="shared" ca="1" si="74"/>
        <v>1.3819994572019827</v>
      </c>
      <c r="N143" s="304">
        <f t="shared" ca="1" si="75"/>
        <v>79.182736187044256</v>
      </c>
      <c r="P143" s="310">
        <f t="shared" ca="1" si="76"/>
        <v>4</v>
      </c>
      <c r="Q143" s="304">
        <f t="shared" ca="1" si="77"/>
        <v>677.39999999999986</v>
      </c>
      <c r="R143" s="306">
        <f t="shared" ca="1" si="78"/>
        <v>0.33995549876844289</v>
      </c>
      <c r="S143" s="307">
        <f t="shared" ca="1" si="79"/>
        <v>5.5824836564854712</v>
      </c>
      <c r="T143" s="304">
        <f t="shared" ca="1" si="59"/>
        <v>54.764164670122476</v>
      </c>
      <c r="U143" s="311">
        <f t="shared" ca="1" si="60"/>
        <v>0</v>
      </c>
      <c r="V143" s="306">
        <f t="shared" ca="1" si="61"/>
        <v>1.1960955232000969</v>
      </c>
      <c r="W143" s="304">
        <f t="shared" ca="1" si="62"/>
        <v>211.26557689836909</v>
      </c>
      <c r="Y143" s="314" t="str">
        <f t="shared" ca="1" si="80"/>
        <v/>
      </c>
      <c r="Z143" s="315" t="str">
        <f t="shared" ca="1" si="81"/>
        <v/>
      </c>
      <c r="AA143" s="316" t="str">
        <f t="shared" ca="1" si="82"/>
        <v/>
      </c>
      <c r="AC143" s="310" t="e">
        <f t="shared" ca="1" si="83"/>
        <v>#N/A</v>
      </c>
      <c r="AD143" s="323" t="e">
        <f t="shared" ca="1" si="84"/>
        <v>#N/A</v>
      </c>
      <c r="AE143" s="324">
        <f t="shared" ca="1" si="63"/>
        <v>238.771882587253</v>
      </c>
      <c r="AG143" s="306">
        <f t="shared" ca="1" si="85"/>
        <v>74.088237870509431</v>
      </c>
      <c r="AH143" s="304">
        <f t="shared" ca="1" si="86"/>
        <v>83.724062734790721</v>
      </c>
    </row>
    <row r="144" spans="1:34" x14ac:dyDescent="0.2">
      <c r="A144" s="347">
        <f t="shared" ca="1" si="64"/>
        <v>0.01</v>
      </c>
      <c r="B144" s="304">
        <f t="shared" ca="1" si="65"/>
        <v>1.400000000000001</v>
      </c>
      <c r="D144" s="306">
        <f t="shared" ca="1" si="66"/>
        <v>15.626656573162018</v>
      </c>
      <c r="E144" s="307">
        <f t="shared" ca="1" si="67"/>
        <v>71.973914356469962</v>
      </c>
      <c r="F144" s="304">
        <f t="shared" ca="1" si="68"/>
        <v>73.650775579405945</v>
      </c>
      <c r="G144" s="306">
        <f t="shared" ca="1" si="69"/>
        <v>45.169625082960316</v>
      </c>
      <c r="H144" s="307">
        <f t="shared" ca="1" si="70"/>
        <v>236.30235661739272</v>
      </c>
      <c r="I144" s="304">
        <f t="shared" ca="1" si="71"/>
        <v>240.5807531226649</v>
      </c>
      <c r="J144" s="306">
        <f t="shared" ca="1" si="72"/>
        <v>44.721945406766302</v>
      </c>
      <c r="K144" s="307">
        <f t="shared" ca="1" si="73"/>
        <v>241.13130745770911</v>
      </c>
      <c r="L144" s="304">
        <f t="shared" ca="1" si="58"/>
        <v>245.24347052924779</v>
      </c>
      <c r="M144" s="306">
        <f t="shared" ca="1" si="74"/>
        <v>1.3819229292965294</v>
      </c>
      <c r="N144" s="304">
        <f t="shared" ca="1" si="75"/>
        <v>79.178351461046802</v>
      </c>
      <c r="P144" s="310">
        <f t="shared" ca="1" si="76"/>
        <v>4</v>
      </c>
      <c r="Q144" s="304">
        <f t="shared" ca="1" si="77"/>
        <v>675.79999999999984</v>
      </c>
      <c r="R144" s="306">
        <f t="shared" ca="1" si="78"/>
        <v>0.3391525333151959</v>
      </c>
      <c r="S144" s="307">
        <f t="shared" ca="1" si="79"/>
        <v>5.5790921311523194</v>
      </c>
      <c r="T144" s="304">
        <f t="shared" ca="1" si="59"/>
        <v>54.730893806604257</v>
      </c>
      <c r="U144" s="311">
        <f t="shared" ca="1" si="60"/>
        <v>0</v>
      </c>
      <c r="V144" s="306">
        <f t="shared" ca="1" si="61"/>
        <v>1.1958133061192227</v>
      </c>
      <c r="W144" s="304">
        <f t="shared" ca="1" si="62"/>
        <v>212.51450619604842</v>
      </c>
      <c r="Y144" s="314" t="str">
        <f t="shared" ca="1" si="80"/>
        <v/>
      </c>
      <c r="Z144" s="315" t="str">
        <f t="shared" ca="1" si="81"/>
        <v/>
      </c>
      <c r="AA144" s="316" t="str">
        <f t="shared" ca="1" si="82"/>
        <v/>
      </c>
      <c r="AC144" s="310" t="e">
        <f t="shared" ca="1" si="83"/>
        <v>#N/A</v>
      </c>
      <c r="AD144" s="323" t="e">
        <f t="shared" ca="1" si="84"/>
        <v>#N/A</v>
      </c>
      <c r="AE144" s="324">
        <f t="shared" ca="1" si="63"/>
        <v>241.13130745770911</v>
      </c>
      <c r="AG144" s="306">
        <f t="shared" ca="1" si="85"/>
        <v>73.627759997693644</v>
      </c>
      <c r="AH144" s="304">
        <f t="shared" ca="1" si="86"/>
        <v>83.263443617964541</v>
      </c>
    </row>
    <row r="145" spans="1:34" x14ac:dyDescent="0.2">
      <c r="A145" s="347">
        <f t="shared" ca="1" si="64"/>
        <v>0.01</v>
      </c>
      <c r="B145" s="304">
        <f t="shared" ca="1" si="65"/>
        <v>1.410000000000001</v>
      </c>
      <c r="D145" s="306">
        <f t="shared" ca="1" si="66"/>
        <v>15.546468949637829</v>
      </c>
      <c r="E145" s="307">
        <f t="shared" ca="1" si="67"/>
        <v>71.5204791246626</v>
      </c>
      <c r="F145" s="304">
        <f t="shared" ca="1" si="68"/>
        <v>73.190652620559078</v>
      </c>
      <c r="G145" s="306">
        <f t="shared" ca="1" si="69"/>
        <v>45.325089772456693</v>
      </c>
      <c r="H145" s="307">
        <f t="shared" ca="1" si="70"/>
        <v>237.01756140863935</v>
      </c>
      <c r="I145" s="304">
        <f t="shared" ca="1" si="71"/>
        <v>241.31242856301327</v>
      </c>
      <c r="J145" s="306">
        <f t="shared" ca="1" si="72"/>
        <v>45.174418981043388</v>
      </c>
      <c r="K145" s="307">
        <f t="shared" ca="1" si="73"/>
        <v>243.49790704783928</v>
      </c>
      <c r="L145" s="304">
        <f t="shared" ca="1" si="58"/>
        <v>247.65289997686889</v>
      </c>
      <c r="M145" s="306">
        <f t="shared" ca="1" si="74"/>
        <v>1.3818466028711922</v>
      </c>
      <c r="N145" s="304">
        <f t="shared" ca="1" si="75"/>
        <v>79.17397827900966</v>
      </c>
      <c r="P145" s="310">
        <f t="shared" ca="1" si="76"/>
        <v>4</v>
      </c>
      <c r="Q145" s="304">
        <f t="shared" ca="1" si="77"/>
        <v>674.19999999999982</v>
      </c>
      <c r="R145" s="306">
        <f t="shared" ca="1" si="78"/>
        <v>0.33834956786194892</v>
      </c>
      <c r="S145" s="307">
        <f t="shared" ca="1" si="79"/>
        <v>5.5757086354737</v>
      </c>
      <c r="T145" s="304">
        <f t="shared" ca="1" si="59"/>
        <v>54.697701713996999</v>
      </c>
      <c r="U145" s="311">
        <f t="shared" ca="1" si="60"/>
        <v>0</v>
      </c>
      <c r="V145" s="306">
        <f t="shared" ca="1" si="61"/>
        <v>1.1955302969374919</v>
      </c>
      <c r="W145" s="304">
        <f t="shared" ca="1" si="62"/>
        <v>213.75850612188316</v>
      </c>
      <c r="Y145" s="314" t="str">
        <f t="shared" ca="1" si="80"/>
        <v/>
      </c>
      <c r="Z145" s="315" t="str">
        <f t="shared" ca="1" si="81"/>
        <v/>
      </c>
      <c r="AA145" s="316" t="str">
        <f t="shared" ca="1" si="82"/>
        <v/>
      </c>
      <c r="AC145" s="310" t="e">
        <f t="shared" ca="1" si="83"/>
        <v>#N/A</v>
      </c>
      <c r="AD145" s="323" t="e">
        <f t="shared" ca="1" si="84"/>
        <v>#N/A</v>
      </c>
      <c r="AE145" s="324">
        <f t="shared" ca="1" si="63"/>
        <v>243.49790704783928</v>
      </c>
      <c r="AG145" s="306">
        <f t="shared" ca="1" si="85"/>
        <v>73.167473743864946</v>
      </c>
      <c r="AH145" s="304">
        <f t="shared" ca="1" si="86"/>
        <v>82.803016439313566</v>
      </c>
    </row>
    <row r="146" spans="1:34" x14ac:dyDescent="0.2">
      <c r="A146" s="347">
        <f t="shared" ca="1" si="64"/>
        <v>0.01</v>
      </c>
      <c r="B146" s="304">
        <f t="shared" ca="1" si="65"/>
        <v>1.420000000000001</v>
      </c>
      <c r="D146" s="306">
        <f t="shared" ca="1" si="66"/>
        <v>15.46623456901291</v>
      </c>
      <c r="E146" s="307">
        <f t="shared" ca="1" si="67"/>
        <v>71.067262905038248</v>
      </c>
      <c r="F146" s="304">
        <f t="shared" ca="1" si="68"/>
        <v>72.73073812740769</v>
      </c>
      <c r="G146" s="306">
        <f t="shared" ca="1" si="69"/>
        <v>45.47975211814682</v>
      </c>
      <c r="H146" s="307">
        <f t="shared" ca="1" si="70"/>
        <v>237.72823403768973</v>
      </c>
      <c r="I146" s="304">
        <f t="shared" ca="1" si="71"/>
        <v>242.03950320434609</v>
      </c>
      <c r="J146" s="306">
        <f t="shared" ca="1" si="72"/>
        <v>45.628443190496405</v>
      </c>
      <c r="K146" s="307">
        <f t="shared" ca="1" si="73"/>
        <v>245.87163602507093</v>
      </c>
      <c r="L146" s="304">
        <f t="shared" ca="1" si="58"/>
        <v>250.06962276460794</v>
      </c>
      <c r="M146" s="306">
        <f t="shared" ca="1" si="74"/>
        <v>1.3817704753414737</v>
      </c>
      <c r="N146" s="304">
        <f t="shared" ca="1" si="75"/>
        <v>79.169616492852029</v>
      </c>
      <c r="P146" s="310">
        <f t="shared" ca="1" si="76"/>
        <v>4</v>
      </c>
      <c r="Q146" s="304">
        <f t="shared" ca="1" si="77"/>
        <v>672.5999999999998</v>
      </c>
      <c r="R146" s="306">
        <f t="shared" ca="1" si="78"/>
        <v>0.33754660240870188</v>
      </c>
      <c r="S146" s="307">
        <f t="shared" ca="1" si="79"/>
        <v>5.572333169449613</v>
      </c>
      <c r="T146" s="304">
        <f t="shared" ca="1" si="59"/>
        <v>54.664588392300708</v>
      </c>
      <c r="U146" s="311">
        <f t="shared" ca="1" si="60"/>
        <v>0</v>
      </c>
      <c r="V146" s="306">
        <f t="shared" ca="1" si="61"/>
        <v>1.1952465016527347</v>
      </c>
      <c r="W146" s="304">
        <f t="shared" ca="1" si="62"/>
        <v>214.99750765748752</v>
      </c>
      <c r="Y146" s="314" t="str">
        <f t="shared" ca="1" si="80"/>
        <v/>
      </c>
      <c r="Z146" s="315" t="str">
        <f t="shared" ca="1" si="81"/>
        <v/>
      </c>
      <c r="AA146" s="316" t="str">
        <f t="shared" ca="1" si="82"/>
        <v/>
      </c>
      <c r="AC146" s="310" t="e">
        <f t="shared" ca="1" si="83"/>
        <v>#N/A</v>
      </c>
      <c r="AD146" s="323" t="e">
        <f t="shared" ca="1" si="84"/>
        <v>#N/A</v>
      </c>
      <c r="AE146" s="324">
        <f t="shared" ca="1" si="63"/>
        <v>245.87163602507093</v>
      </c>
      <c r="AG146" s="306">
        <f t="shared" ca="1" si="85"/>
        <v>72.707393997486008</v>
      </c>
      <c r="AH146" s="304">
        <f t="shared" ca="1" si="86"/>
        <v>82.342796082926441</v>
      </c>
    </row>
    <row r="147" spans="1:34" x14ac:dyDescent="0.2">
      <c r="A147" s="347">
        <f t="shared" ca="1" si="64"/>
        <v>0.01</v>
      </c>
      <c r="B147" s="304">
        <f t="shared" ca="1" si="65"/>
        <v>1.430000000000001</v>
      </c>
      <c r="D147" s="306">
        <f t="shared" ca="1" si="66"/>
        <v>15.385956734547252</v>
      </c>
      <c r="E147" s="307">
        <f t="shared" ca="1" si="67"/>
        <v>70.614280105624715</v>
      </c>
      <c r="F147" s="304">
        <f t="shared" ca="1" si="68"/>
        <v>72.27104689620171</v>
      </c>
      <c r="G147" s="306">
        <f t="shared" ca="1" si="69"/>
        <v>45.633611685492291</v>
      </c>
      <c r="H147" s="307">
        <f t="shared" ca="1" si="70"/>
        <v>238.43437683874598</v>
      </c>
      <c r="I147" s="304">
        <f t="shared" ca="1" si="71"/>
        <v>242.76197925940426</v>
      </c>
      <c r="J147" s="306">
        <f t="shared" ca="1" si="72"/>
        <v>46.0840100095146</v>
      </c>
      <c r="K147" s="307">
        <f t="shared" ca="1" si="73"/>
        <v>248.2524490794531</v>
      </c>
      <c r="L147" s="304">
        <f t="shared" ca="1" si="58"/>
        <v>252.49359289396534</v>
      </c>
      <c r="M147" s="306">
        <f t="shared" ca="1" si="74"/>
        <v>1.38169454415707</v>
      </c>
      <c r="N147" s="304">
        <f t="shared" ca="1" si="75"/>
        <v>79.165265956452274</v>
      </c>
      <c r="P147" s="310">
        <f t="shared" ca="1" si="76"/>
        <v>4</v>
      </c>
      <c r="Q147" s="304">
        <f t="shared" ca="1" si="77"/>
        <v>670.99999999999977</v>
      </c>
      <c r="R147" s="306">
        <f t="shared" ca="1" si="78"/>
        <v>0.33674363695545489</v>
      </c>
      <c r="S147" s="307">
        <f t="shared" ca="1" si="79"/>
        <v>5.5689657330800584</v>
      </c>
      <c r="T147" s="304">
        <f t="shared" ca="1" si="59"/>
        <v>54.631553841515377</v>
      </c>
      <c r="U147" s="311">
        <f t="shared" ca="1" si="60"/>
        <v>0</v>
      </c>
      <c r="V147" s="306">
        <f t="shared" ca="1" si="61"/>
        <v>1.1949619262563911</v>
      </c>
      <c r="W147" s="304">
        <f t="shared" ca="1" si="62"/>
        <v>216.23144266607093</v>
      </c>
      <c r="Y147" s="314" t="str">
        <f t="shared" ca="1" si="80"/>
        <v/>
      </c>
      <c r="Z147" s="315" t="str">
        <f t="shared" ca="1" si="81"/>
        <v/>
      </c>
      <c r="AA147" s="316" t="str">
        <f t="shared" ca="1" si="82"/>
        <v/>
      </c>
      <c r="AC147" s="310" t="e">
        <f t="shared" ca="1" si="83"/>
        <v>#N/A</v>
      </c>
      <c r="AD147" s="323" t="e">
        <f t="shared" ca="1" si="84"/>
        <v>#N/A</v>
      </c>
      <c r="AE147" s="324">
        <f t="shared" ca="1" si="63"/>
        <v>248.2524490794531</v>
      </c>
      <c r="AG147" s="306">
        <f t="shared" ca="1" si="85"/>
        <v>72.247535523063647</v>
      </c>
      <c r="AH147" s="304">
        <f t="shared" ca="1" si="86"/>
        <v>81.882797308991243</v>
      </c>
    </row>
    <row r="148" spans="1:34" x14ac:dyDescent="0.2">
      <c r="A148" s="347">
        <f t="shared" ca="1" si="64"/>
        <v>0.01</v>
      </c>
      <c r="B148" s="304">
        <f t="shared" ca="1" si="65"/>
        <v>1.4400000000000011</v>
      </c>
      <c r="D148" s="306">
        <f t="shared" ca="1" si="66"/>
        <v>15.305638722812066</v>
      </c>
      <c r="E148" s="307">
        <f t="shared" ca="1" si="67"/>
        <v>70.161545012574152</v>
      </c>
      <c r="F148" s="304">
        <f t="shared" ca="1" si="68"/>
        <v>71.811593599256057</v>
      </c>
      <c r="G148" s="306">
        <f t="shared" ca="1" si="69"/>
        <v>45.78666807272041</v>
      </c>
      <c r="H148" s="307">
        <f t="shared" ca="1" si="70"/>
        <v>239.13599228887171</v>
      </c>
      <c r="I148" s="304">
        <f t="shared" ca="1" si="71"/>
        <v>243.47985908732736</v>
      </c>
      <c r="J148" s="306">
        <f t="shared" ca="1" si="72"/>
        <v>46.54111140830566</v>
      </c>
      <c r="K148" s="307">
        <f t="shared" ca="1" si="73"/>
        <v>250.6403009250912</v>
      </c>
      <c r="L148" s="304">
        <f t="shared" ca="1" si="58"/>
        <v>254.92476438930095</v>
      </c>
      <c r="M148" s="306">
        <f t="shared" ca="1" si="74"/>
        <v>1.3816188068012261</v>
      </c>
      <c r="N148" s="304">
        <f t="shared" ca="1" si="75"/>
        <v>79.160926525610932</v>
      </c>
      <c r="P148" s="310">
        <f t="shared" ca="1" si="76"/>
        <v>4</v>
      </c>
      <c r="Q148" s="304">
        <f t="shared" ca="1" si="77"/>
        <v>669.39999999999986</v>
      </c>
      <c r="R148" s="306">
        <f t="shared" ca="1" si="78"/>
        <v>0.33594067150220797</v>
      </c>
      <c r="S148" s="307">
        <f t="shared" ca="1" si="79"/>
        <v>5.5656063263650362</v>
      </c>
      <c r="T148" s="304">
        <f t="shared" ca="1" si="59"/>
        <v>54.598598061641006</v>
      </c>
      <c r="U148" s="311">
        <f t="shared" ca="1" si="60"/>
        <v>0</v>
      </c>
      <c r="V148" s="306">
        <f t="shared" ca="1" si="61"/>
        <v>1.1946765767333087</v>
      </c>
      <c r="W148" s="304">
        <f t="shared" ca="1" si="62"/>
        <v>217.46024389265614</v>
      </c>
      <c r="Y148" s="314" t="str">
        <f t="shared" ca="1" si="80"/>
        <v/>
      </c>
      <c r="Z148" s="315" t="str">
        <f t="shared" ca="1" si="81"/>
        <v/>
      </c>
      <c r="AA148" s="316" t="str">
        <f t="shared" ca="1" si="82"/>
        <v/>
      </c>
      <c r="AC148" s="310" t="e">
        <f t="shared" ca="1" si="83"/>
        <v>#N/A</v>
      </c>
      <c r="AD148" s="323" t="e">
        <f t="shared" ca="1" si="84"/>
        <v>#N/A</v>
      </c>
      <c r="AE148" s="324">
        <f t="shared" ca="1" si="63"/>
        <v>250.6403009250912</v>
      </c>
      <c r="AG148" s="306">
        <f t="shared" ca="1" si="85"/>
        <v>71.787912960496556</v>
      </c>
      <c r="AH148" s="304">
        <f t="shared" ca="1" si="86"/>
        <v>81.423034753142289</v>
      </c>
    </row>
    <row r="149" spans="1:34" x14ac:dyDescent="0.2">
      <c r="A149" s="347">
        <f t="shared" ca="1" si="64"/>
        <v>0.01</v>
      </c>
      <c r="B149" s="304">
        <f t="shared" ca="1" si="65"/>
        <v>1.4500000000000011</v>
      </c>
      <c r="D149" s="306">
        <f t="shared" ca="1" si="66"/>
        <v>15.225283783631554</v>
      </c>
      <c r="E149" s="307">
        <f t="shared" ca="1" si="67"/>
        <v>69.709071789537916</v>
      </c>
      <c r="F149" s="304">
        <f t="shared" ca="1" si="68"/>
        <v>71.352392784342314</v>
      </c>
      <c r="G149" s="306">
        <f t="shared" ca="1" si="69"/>
        <v>45.938920910556725</v>
      </c>
      <c r="H149" s="307">
        <f t="shared" ca="1" si="70"/>
        <v>239.83308300676708</v>
      </c>
      <c r="I149" s="304">
        <f t="shared" ca="1" si="71"/>
        <v>244.19314519240137</v>
      </c>
      <c r="J149" s="306">
        <f t="shared" ca="1" si="72"/>
        <v>46.999739353222047</v>
      </c>
      <c r="K149" s="307">
        <f t="shared" ca="1" si="73"/>
        <v>253.0351463015694</v>
      </c>
      <c r="L149" s="304">
        <f t="shared" ca="1" si="58"/>
        <v>257.36309129929151</v>
      </c>
      <c r="M149" s="306">
        <f t="shared" ca="1" si="74"/>
        <v>1.3815432607901066</v>
      </c>
      <c r="N149" s="304">
        <f t="shared" ca="1" si="75"/>
        <v>79.156598058014737</v>
      </c>
      <c r="P149" s="310">
        <f t="shared" ca="1" si="76"/>
        <v>4</v>
      </c>
      <c r="Q149" s="304">
        <f t="shared" ca="1" si="77"/>
        <v>667.79999999999984</v>
      </c>
      <c r="R149" s="306">
        <f t="shared" ca="1" si="78"/>
        <v>0.33513770604896098</v>
      </c>
      <c r="S149" s="307">
        <f t="shared" ca="1" si="79"/>
        <v>5.5622549493045463</v>
      </c>
      <c r="T149" s="304">
        <f t="shared" ca="1" si="59"/>
        <v>54.565721052677603</v>
      </c>
      <c r="U149" s="311">
        <f t="shared" ca="1" si="60"/>
        <v>0</v>
      </c>
      <c r="V149" s="306">
        <f t="shared" ca="1" si="61"/>
        <v>1.1943904590615373</v>
      </c>
      <c r="W149" s="304">
        <f t="shared" ca="1" si="62"/>
        <v>218.68384496415518</v>
      </c>
      <c r="Y149" s="314" t="str">
        <f t="shared" ca="1" si="80"/>
        <v/>
      </c>
      <c r="Z149" s="315" t="str">
        <f t="shared" ca="1" si="81"/>
        <v/>
      </c>
      <c r="AA149" s="316" t="str">
        <f t="shared" ca="1" si="82"/>
        <v/>
      </c>
      <c r="AC149" s="310" t="e">
        <f t="shared" ca="1" si="83"/>
        <v>#N/A</v>
      </c>
      <c r="AD149" s="323" t="e">
        <f t="shared" ca="1" si="84"/>
        <v>#N/A</v>
      </c>
      <c r="AE149" s="324">
        <f t="shared" ca="1" si="63"/>
        <v>253.0351463015694</v>
      </c>
      <c r="AG149" s="306">
        <f t="shared" ca="1" si="85"/>
        <v>71.328540824448737</v>
      </c>
      <c r="AH149" s="304">
        <f t="shared" ca="1" si="86"/>
        <v>80.963522925832464</v>
      </c>
    </row>
    <row r="150" spans="1:34" x14ac:dyDescent="0.2">
      <c r="A150" s="347">
        <f t="shared" ca="1" si="64"/>
        <v>0.01</v>
      </c>
      <c r="B150" s="304">
        <f t="shared" ca="1" si="65"/>
        <v>1.4600000000000011</v>
      </c>
      <c r="D150" s="306">
        <f t="shared" ca="1" si="66"/>
        <v>15.144895140027224</v>
      </c>
      <c r="E150" s="307">
        <f t="shared" ca="1" si="67"/>
        <v>69.256874477067754</v>
      </c>
      <c r="F150" s="304">
        <f t="shared" ca="1" si="68"/>
        <v>70.893458874107282</v>
      </c>
      <c r="G150" s="306">
        <f t="shared" ca="1" si="69"/>
        <v>46.090369861956994</v>
      </c>
      <c r="H150" s="307">
        <f t="shared" ca="1" si="70"/>
        <v>240.52565175153777</v>
      </c>
      <c r="I150" s="304">
        <f t="shared" ca="1" si="71"/>
        <v>244.9018402228003</v>
      </c>
      <c r="J150" s="306">
        <f t="shared" ca="1" si="72"/>
        <v>47.459885807084618</v>
      </c>
      <c r="K150" s="307">
        <f t="shared" ca="1" si="73"/>
        <v>255.43693997536093</v>
      </c>
      <c r="L150" s="304">
        <f t="shared" ca="1" si="58"/>
        <v>259.80852769837571</v>
      </c>
      <c r="M150" s="306">
        <f t="shared" ca="1" si="74"/>
        <v>1.3814679036721809</v>
      </c>
      <c r="N150" s="304">
        <f t="shared" ca="1" si="75"/>
        <v>79.152280413201325</v>
      </c>
      <c r="P150" s="310">
        <f t="shared" ca="1" si="76"/>
        <v>4</v>
      </c>
      <c r="Q150" s="304">
        <f t="shared" ca="1" si="77"/>
        <v>666.19999999999982</v>
      </c>
      <c r="R150" s="306">
        <f t="shared" ca="1" si="78"/>
        <v>0.33433474059571394</v>
      </c>
      <c r="S150" s="307">
        <f t="shared" ca="1" si="79"/>
        <v>5.5589116018985889</v>
      </c>
      <c r="T150" s="304">
        <f t="shared" ca="1" si="59"/>
        <v>54.532922814625159</v>
      </c>
      <c r="U150" s="311">
        <f t="shared" ca="1" si="60"/>
        <v>0</v>
      </c>
      <c r="V150" s="306">
        <f t="shared" ca="1" si="61"/>
        <v>1.1941035792121308</v>
      </c>
      <c r="W150" s="304">
        <f t="shared" ca="1" si="62"/>
        <v>219.90218038930698</v>
      </c>
      <c r="Y150" s="314" t="str">
        <f t="shared" ca="1" si="80"/>
        <v/>
      </c>
      <c r="Z150" s="315" t="str">
        <f t="shared" ca="1" si="81"/>
        <v/>
      </c>
      <c r="AA150" s="316" t="str">
        <f t="shared" ca="1" si="82"/>
        <v/>
      </c>
      <c r="AC150" s="310" t="e">
        <f t="shared" ca="1" si="83"/>
        <v>#N/A</v>
      </c>
      <c r="AD150" s="323" t="e">
        <f t="shared" ca="1" si="84"/>
        <v>#N/A</v>
      </c>
      <c r="AE150" s="324">
        <f t="shared" ca="1" si="63"/>
        <v>255.43693997536093</v>
      </c>
      <c r="AG150" s="306">
        <f t="shared" ca="1" si="85"/>
        <v>70.86943350374905</v>
      </c>
      <c r="AH150" s="304">
        <f t="shared" ca="1" si="86"/>
        <v>80.50427621173182</v>
      </c>
    </row>
    <row r="151" spans="1:34" x14ac:dyDescent="0.2">
      <c r="A151" s="347">
        <f t="shared" ca="1" si="64"/>
        <v>0.01</v>
      </c>
      <c r="B151" s="304">
        <f t="shared" ca="1" si="65"/>
        <v>1.4700000000000011</v>
      </c>
      <c r="D151" s="306">
        <f t="shared" ca="1" si="66"/>
        <v>15.064475988164928</v>
      </c>
      <c r="E151" s="307">
        <f t="shared" ca="1" si="67"/>
        <v>68.804966992042111</v>
      </c>
      <c r="F151" s="304">
        <f t="shared" ca="1" si="68"/>
        <v>70.434806165517358</v>
      </c>
      <c r="G151" s="306">
        <f t="shared" ca="1" si="69"/>
        <v>46.241014621838644</v>
      </c>
      <c r="H151" s="307">
        <f t="shared" ca="1" si="70"/>
        <v>241.21370142145818</v>
      </c>
      <c r="I151" s="304">
        <f t="shared" ca="1" si="71"/>
        <v>245.60594696932213</v>
      </c>
      <c r="J151" s="306">
        <f t="shared" ca="1" si="72"/>
        <v>47.921542729503599</v>
      </c>
      <c r="K151" s="307">
        <f t="shared" ca="1" si="73"/>
        <v>257.84563674122592</v>
      </c>
      <c r="L151" s="304">
        <f t="shared" ca="1" si="58"/>
        <v>262.2610276881868</v>
      </c>
      <c r="M151" s="306">
        <f t="shared" ca="1" si="74"/>
        <v>1.3813927330276217</v>
      </c>
      <c r="N151" s="304">
        <f t="shared" ca="1" si="75"/>
        <v>79.147973452524809</v>
      </c>
      <c r="P151" s="310">
        <f t="shared" ca="1" si="76"/>
        <v>4</v>
      </c>
      <c r="Q151" s="304">
        <f t="shared" ca="1" si="77"/>
        <v>664.5999999999998</v>
      </c>
      <c r="R151" s="306">
        <f t="shared" ca="1" si="78"/>
        <v>0.33353177514246696</v>
      </c>
      <c r="S151" s="307">
        <f t="shared" ca="1" si="79"/>
        <v>5.5555762841471639</v>
      </c>
      <c r="T151" s="304">
        <f t="shared" ca="1" si="59"/>
        <v>54.500203347483684</v>
      </c>
      <c r="U151" s="311">
        <f t="shared" ca="1" si="60"/>
        <v>0</v>
      </c>
      <c r="V151" s="306">
        <f t="shared" ca="1" si="61"/>
        <v>1.1938159431489468</v>
      </c>
      <c r="W151" s="304">
        <f t="shared" ca="1" si="62"/>
        <v>221.11518555847573</v>
      </c>
      <c r="Y151" s="314" t="str">
        <f t="shared" ca="1" si="80"/>
        <v/>
      </c>
      <c r="Z151" s="315" t="str">
        <f t="shared" ca="1" si="81"/>
        <v/>
      </c>
      <c r="AA151" s="316" t="str">
        <f t="shared" ca="1" si="82"/>
        <v/>
      </c>
      <c r="AC151" s="310" t="e">
        <f t="shared" ca="1" si="83"/>
        <v>#N/A</v>
      </c>
      <c r="AD151" s="323" t="e">
        <f t="shared" ca="1" si="84"/>
        <v>#N/A</v>
      </c>
      <c r="AE151" s="324">
        <f t="shared" ca="1" si="63"/>
        <v>257.84563674122592</v>
      </c>
      <c r="AG151" s="306">
        <f t="shared" ca="1" si="85"/>
        <v>70.410605260816155</v>
      </c>
      <c r="AH151" s="304">
        <f t="shared" ca="1" si="86"/>
        <v>80.045308869151526</v>
      </c>
    </row>
    <row r="152" spans="1:34" x14ac:dyDescent="0.2">
      <c r="A152" s="347">
        <f t="shared" ca="1" si="64"/>
        <v>0.01</v>
      </c>
      <c r="B152" s="304">
        <f t="shared" ca="1" si="65"/>
        <v>1.4800000000000011</v>
      </c>
      <c r="D152" s="306">
        <f t="shared" ca="1" si="66"/>
        <v>14.984029497304551</v>
      </c>
      <c r="E152" s="307">
        <f t="shared" ca="1" si="67"/>
        <v>68.353363127117859</v>
      </c>
      <c r="F152" s="304">
        <f t="shared" ca="1" si="68"/>
        <v>69.9764488293292</v>
      </c>
      <c r="G152" s="306">
        <f t="shared" ca="1" si="69"/>
        <v>46.390854916811691</v>
      </c>
      <c r="H152" s="307">
        <f t="shared" ca="1" si="70"/>
        <v>241.89723505272937</v>
      </c>
      <c r="I152" s="304">
        <f t="shared" ca="1" si="71"/>
        <v>246.30546836411912</v>
      </c>
      <c r="J152" s="306">
        <f t="shared" ca="1" si="72"/>
        <v>48.384702077196849</v>
      </c>
      <c r="K152" s="307">
        <f t="shared" ca="1" si="73"/>
        <v>260.26119142359687</v>
      </c>
      <c r="L152" s="304">
        <f t="shared" ca="1" si="58"/>
        <v>264.72054539897204</v>
      </c>
      <c r="M152" s="306">
        <f t="shared" ca="1" si="74"/>
        <v>1.3813177464677193</v>
      </c>
      <c r="N152" s="304">
        <f t="shared" ca="1" si="75"/>
        <v>79.143677039122196</v>
      </c>
      <c r="P152" s="310">
        <f t="shared" ca="1" si="76"/>
        <v>4</v>
      </c>
      <c r="Q152" s="304">
        <f t="shared" ca="1" si="77"/>
        <v>662.99999999999977</v>
      </c>
      <c r="R152" s="306">
        <f t="shared" ca="1" si="78"/>
        <v>0.33272880968921997</v>
      </c>
      <c r="S152" s="307">
        <f t="shared" ca="1" si="79"/>
        <v>5.5522489960502721</v>
      </c>
      <c r="T152" s="304">
        <f t="shared" ca="1" si="59"/>
        <v>54.467562651253175</v>
      </c>
      <c r="U152" s="311">
        <f t="shared" ca="1" si="60"/>
        <v>0</v>
      </c>
      <c r="V152" s="306">
        <f t="shared" ca="1" si="61"/>
        <v>1.1935275568284516</v>
      </c>
      <c r="W152" s="304">
        <f t="shared" ca="1" si="62"/>
        <v>222.32279674331403</v>
      </c>
      <c r="Y152" s="314" t="str">
        <f t="shared" ca="1" si="80"/>
        <v/>
      </c>
      <c r="Z152" s="315" t="str">
        <f t="shared" ca="1" si="81"/>
        <v/>
      </c>
      <c r="AA152" s="316" t="str">
        <f t="shared" ca="1" si="82"/>
        <v/>
      </c>
      <c r="AC152" s="310" t="e">
        <f t="shared" ca="1" si="83"/>
        <v>#N/A</v>
      </c>
      <c r="AD152" s="323" t="e">
        <f t="shared" ca="1" si="84"/>
        <v>#N/A</v>
      </c>
      <c r="AE152" s="324">
        <f t="shared" ca="1" si="63"/>
        <v>260.26119142359687</v>
      </c>
      <c r="AG152" s="306">
        <f t="shared" ca="1" si="85"/>
        <v>69.952070231108948</v>
      </c>
      <c r="AH152" s="304">
        <f t="shared" ca="1" si="86"/>
        <v>79.58663502949338</v>
      </c>
    </row>
    <row r="153" spans="1:34" x14ac:dyDescent="0.2">
      <c r="A153" s="347">
        <f t="shared" ca="1" si="64"/>
        <v>0.01</v>
      </c>
      <c r="B153" s="304">
        <f t="shared" ca="1" si="65"/>
        <v>1.4900000000000011</v>
      </c>
      <c r="D153" s="306">
        <f t="shared" ca="1" si="66"/>
        <v>14.903558809752383</v>
      </c>
      <c r="E153" s="307">
        <f t="shared" ca="1" si="67"/>
        <v>67.902076550207667</v>
      </c>
      <c r="F153" s="304">
        <f t="shared" ca="1" si="68"/>
        <v>69.518400909586589</v>
      </c>
      <c r="G153" s="306">
        <f t="shared" ca="1" si="69"/>
        <v>46.539890504909216</v>
      </c>
      <c r="H153" s="307">
        <f t="shared" ca="1" si="70"/>
        <v>242.57625581823146</v>
      </c>
      <c r="I153" s="304">
        <f t="shared" ca="1" si="71"/>
        <v>247.00040747942302</v>
      </c>
      <c r="J153" s="306">
        <f t="shared" ca="1" si="72"/>
        <v>48.849355804305453</v>
      </c>
      <c r="K153" s="307">
        <f t="shared" ca="1" si="73"/>
        <v>262.68355887795167</v>
      </c>
      <c r="L153" s="304">
        <f t="shared" ca="1" si="58"/>
        <v>267.18703499100013</v>
      </c>
      <c r="M153" s="306">
        <f t="shared" ca="1" si="74"/>
        <v>1.3812429416343062</v>
      </c>
      <c r="N153" s="304">
        <f t="shared" ca="1" si="75"/>
        <v>79.139391037880443</v>
      </c>
      <c r="P153" s="310">
        <f t="shared" ca="1" si="76"/>
        <v>4</v>
      </c>
      <c r="Q153" s="304">
        <f t="shared" ca="1" si="77"/>
        <v>661.39999999999986</v>
      </c>
      <c r="R153" s="306">
        <f t="shared" ca="1" si="78"/>
        <v>0.33192584423597304</v>
      </c>
      <c r="S153" s="307">
        <f t="shared" ca="1" si="79"/>
        <v>5.5489297376079127</v>
      </c>
      <c r="T153" s="304">
        <f t="shared" ca="1" si="59"/>
        <v>54.435000725933627</v>
      </c>
      <c r="U153" s="311">
        <f t="shared" ca="1" si="60"/>
        <v>0</v>
      </c>
      <c r="V153" s="306">
        <f t="shared" ca="1" si="61"/>
        <v>1.1932384261995248</v>
      </c>
      <c r="W153" s="304">
        <f t="shared" ca="1" si="62"/>
        <v>223.52495109629035</v>
      </c>
      <c r="Y153" s="314" t="str">
        <f t="shared" ca="1" si="80"/>
        <v/>
      </c>
      <c r="Z153" s="315" t="str">
        <f t="shared" ca="1" si="81"/>
        <v/>
      </c>
      <c r="AA153" s="316" t="str">
        <f t="shared" ca="1" si="82"/>
        <v/>
      </c>
      <c r="AC153" s="310" t="e">
        <f t="shared" ca="1" si="83"/>
        <v>#N/A</v>
      </c>
      <c r="AD153" s="323" t="e">
        <f t="shared" ca="1" si="84"/>
        <v>#N/A</v>
      </c>
      <c r="AE153" s="324">
        <f t="shared" ca="1" si="63"/>
        <v>262.68355887795167</v>
      </c>
      <c r="AG153" s="306">
        <f t="shared" ca="1" si="85"/>
        <v>69.493842422602512</v>
      </c>
      <c r="AH153" s="304">
        <f t="shared" ca="1" si="86"/>
        <v>79.128268696724845</v>
      </c>
    </row>
    <row r="154" spans="1:34" x14ac:dyDescent="0.2">
      <c r="A154" s="347">
        <f t="shared" ca="1" si="64"/>
        <v>0.01</v>
      </c>
      <c r="B154" s="304">
        <f t="shared" ca="1" si="65"/>
        <v>1.5000000000000011</v>
      </c>
      <c r="D154" s="306">
        <f t="shared" ca="1" si="66"/>
        <v>14.823067040816403</v>
      </c>
      <c r="E154" s="307">
        <f t="shared" ca="1" si="67"/>
        <v>67.451120803981752</v>
      </c>
      <c r="F154" s="304">
        <f t="shared" ca="1" si="68"/>
        <v>69.060676323142658</v>
      </c>
      <c r="G154" s="306">
        <f t="shared" ca="1" si="69"/>
        <v>46.688121175317377</v>
      </c>
      <c r="H154" s="307">
        <f t="shared" ca="1" si="70"/>
        <v>243.25076702627129</v>
      </c>
      <c r="I154" s="304">
        <f t="shared" ca="1" si="71"/>
        <v>247.69076752626538</v>
      </c>
      <c r="J154" s="306">
        <f t="shared" ca="1" si="72"/>
        <v>49.315495862706584</v>
      </c>
      <c r="K154" s="307">
        <f t="shared" ca="1" si="73"/>
        <v>265.11269399217417</v>
      </c>
      <c r="L154" s="304">
        <f t="shared" ca="1" si="58"/>
        <v>269.66045065595517</v>
      </c>
      <c r="M154" s="306">
        <f t="shared" ca="1" si="74"/>
        <v>1.3811683161991968</v>
      </c>
      <c r="N154" s="304">
        <f t="shared" ca="1" si="75"/>
        <v>79.135115315404349</v>
      </c>
      <c r="P154" s="310">
        <f t="shared" ca="1" si="76"/>
        <v>4</v>
      </c>
      <c r="Q154" s="304">
        <f t="shared" ca="1" si="77"/>
        <v>659.79999999999984</v>
      </c>
      <c r="R154" s="306">
        <f t="shared" ca="1" si="78"/>
        <v>0.331122878782726</v>
      </c>
      <c r="S154" s="307">
        <f t="shared" ca="1" si="79"/>
        <v>5.5456185088200858</v>
      </c>
      <c r="T154" s="304">
        <f t="shared" ca="1" si="59"/>
        <v>54.402517571525046</v>
      </c>
      <c r="U154" s="311">
        <f t="shared" ca="1" si="60"/>
        <v>0</v>
      </c>
      <c r="V154" s="306">
        <f t="shared" ca="1" si="61"/>
        <v>1.1929485572032676</v>
      </c>
      <c r="W154" s="304">
        <f t="shared" ca="1" si="62"/>
        <v>224.72158665008456</v>
      </c>
      <c r="Y154" s="314" t="str">
        <f t="shared" ca="1" si="80"/>
        <v/>
      </c>
      <c r="Z154" s="315" t="str">
        <f t="shared" ca="1" si="81"/>
        <v/>
      </c>
      <c r="AA154" s="316" t="str">
        <f t="shared" ca="1" si="82"/>
        <v/>
      </c>
      <c r="AC154" s="310" t="e">
        <f t="shared" ca="1" si="83"/>
        <v>#N/A</v>
      </c>
      <c r="AD154" s="323" t="e">
        <f t="shared" ca="1" si="84"/>
        <v>#N/A</v>
      </c>
      <c r="AE154" s="324">
        <f t="shared" ca="1" si="63"/>
        <v>265.11269399217417</v>
      </c>
      <c r="AG154" s="306">
        <f t="shared" ca="1" si="85"/>
        <v>69.035935715289</v>
      </c>
      <c r="AH154" s="304">
        <f t="shared" ca="1" si="86"/>
        <v>78.670223746878975</v>
      </c>
    </row>
    <row r="155" spans="1:34" x14ac:dyDescent="0.2">
      <c r="A155" s="347">
        <f t="shared" ca="1" si="64"/>
        <v>0.01</v>
      </c>
      <c r="B155" s="304">
        <f t="shared" ca="1" si="65"/>
        <v>1.5100000000000011</v>
      </c>
      <c r="D155" s="306">
        <f t="shared" ca="1" si="66"/>
        <v>14.74493890633196</v>
      </c>
      <c r="E155" s="307">
        <f t="shared" ca="1" si="67"/>
        <v>67.012917873528579</v>
      </c>
      <c r="F155" s="304">
        <f t="shared" ca="1" si="68"/>
        <v>68.615919328358117</v>
      </c>
      <c r="G155" s="306">
        <f t="shared" ca="1" si="69"/>
        <v>46.835570564380696</v>
      </c>
      <c r="H155" s="307">
        <f t="shared" ca="1" si="70"/>
        <v>243.92089620500658</v>
      </c>
      <c r="I155" s="304">
        <f t="shared" ca="1" si="71"/>
        <v>248.37667820378121</v>
      </c>
      <c r="J155" s="306">
        <f t="shared" ca="1" si="72"/>
        <v>49.783114321405073</v>
      </c>
      <c r="K155" s="307">
        <f t="shared" ca="1" si="73"/>
        <v>267.54855230833056</v>
      </c>
      <c r="L155" s="304">
        <f t="shared" ca="1" si="58"/>
        <v>272.140747250061</v>
      </c>
      <c r="M155" s="306">
        <f t="shared" ca="1" si="74"/>
        <v>1.3810938679015115</v>
      </c>
      <c r="N155" s="304">
        <f t="shared" ca="1" si="75"/>
        <v>79.13084974215505</v>
      </c>
      <c r="P155" s="310">
        <f t="shared" ca="1" si="76"/>
        <v>5</v>
      </c>
      <c r="Q155" s="304">
        <f t="shared" ca="1" si="77"/>
        <v>658.26999999999987</v>
      </c>
      <c r="R155" s="306">
        <f t="shared" ca="1" si="78"/>
        <v>0.33035504306805863</v>
      </c>
      <c r="S155" s="307">
        <f t="shared" ca="1" si="79"/>
        <v>5.5423149583894054</v>
      </c>
      <c r="T155" s="304">
        <f t="shared" ca="1" si="59"/>
        <v>54.370109741800071</v>
      </c>
      <c r="U155" s="311">
        <f t="shared" ca="1" si="60"/>
        <v>0</v>
      </c>
      <c r="V155" s="306">
        <f t="shared" ca="1" si="61"/>
        <v>1.1926579556988035</v>
      </c>
      <c r="W155" s="304">
        <f t="shared" ca="1" si="62"/>
        <v>225.91287214902601</v>
      </c>
      <c r="Y155" s="314" t="str">
        <f t="shared" ca="1" si="80"/>
        <v/>
      </c>
      <c r="Z155" s="315" t="str">
        <f t="shared" ca="1" si="81"/>
        <v/>
      </c>
      <c r="AA155" s="316" t="str">
        <f t="shared" ca="1" si="82"/>
        <v/>
      </c>
      <c r="AC155" s="310" t="e">
        <f t="shared" ca="1" si="83"/>
        <v>#N/A</v>
      </c>
      <c r="AD155" s="323" t="e">
        <f t="shared" ca="1" si="84"/>
        <v>#N/A</v>
      </c>
      <c r="AE155" s="324">
        <f t="shared" ca="1" si="63"/>
        <v>267.54855230833056</v>
      </c>
      <c r="AG155" s="306">
        <f t="shared" ca="1" si="85"/>
        <v>68.590998919587364</v>
      </c>
      <c r="AH155" s="304">
        <f t="shared" ca="1" si="86"/>
        <v>78.225148986463296</v>
      </c>
    </row>
    <row r="156" spans="1:34" x14ac:dyDescent="0.2">
      <c r="A156" s="347">
        <f t="shared" ca="1" si="64"/>
        <v>0.01</v>
      </c>
      <c r="B156" s="304">
        <f t="shared" ca="1" si="65"/>
        <v>1.5200000000000011</v>
      </c>
      <c r="D156" s="306">
        <f t="shared" ca="1" si="66"/>
        <v>14.669177578710221</v>
      </c>
      <c r="E156" s="307">
        <f t="shared" ca="1" si="67"/>
        <v>66.587466679110136</v>
      </c>
      <c r="F156" s="304">
        <f t="shared" ca="1" si="68"/>
        <v>68.184129308639982</v>
      </c>
      <c r="G156" s="306">
        <f t="shared" ca="1" si="69"/>
        <v>46.9822623401678</v>
      </c>
      <c r="H156" s="307">
        <f t="shared" ca="1" si="70"/>
        <v>244.58677087179768</v>
      </c>
      <c r="I156" s="304">
        <f t="shared" ca="1" si="71"/>
        <v>249.05826920641204</v>
      </c>
      <c r="J156" s="306">
        <f t="shared" ca="1" si="72"/>
        <v>50.252203485927815</v>
      </c>
      <c r="K156" s="307">
        <f t="shared" ca="1" si="73"/>
        <v>269.99109064371459</v>
      </c>
      <c r="L156" s="304">
        <f t="shared" ca="1" si="58"/>
        <v>274.62788092648861</v>
      </c>
      <c r="M156" s="306">
        <f t="shared" ca="1" si="74"/>
        <v>1.3810195945463428</v>
      </c>
      <c r="N156" s="304">
        <f t="shared" ca="1" si="75"/>
        <v>79.126594192373602</v>
      </c>
      <c r="P156" s="310">
        <f t="shared" ca="1" si="76"/>
        <v>5</v>
      </c>
      <c r="Q156" s="304">
        <f t="shared" ca="1" si="77"/>
        <v>656.80999999999983</v>
      </c>
      <c r="R156" s="306">
        <f t="shared" ca="1" si="78"/>
        <v>0.3296223370919707</v>
      </c>
      <c r="S156" s="307">
        <f t="shared" ca="1" si="79"/>
        <v>5.5390187350184856</v>
      </c>
      <c r="T156" s="304">
        <f t="shared" ca="1" si="59"/>
        <v>54.337773790531344</v>
      </c>
      <c r="U156" s="311">
        <f t="shared" ca="1" si="60"/>
        <v>0</v>
      </c>
      <c r="V156" s="306">
        <f t="shared" ca="1" si="61"/>
        <v>1.1923666273892726</v>
      </c>
      <c r="W156" s="304">
        <f t="shared" ca="1" si="62"/>
        <v>227.09897922766689</v>
      </c>
      <c r="Y156" s="314" t="str">
        <f t="shared" ca="1" si="80"/>
        <v/>
      </c>
      <c r="Z156" s="315" t="str">
        <f t="shared" ca="1" si="81"/>
        <v/>
      </c>
      <c r="AA156" s="316" t="str">
        <f t="shared" ca="1" si="82"/>
        <v/>
      </c>
      <c r="AC156" s="310" t="e">
        <f t="shared" ca="1" si="83"/>
        <v>#N/A</v>
      </c>
      <c r="AD156" s="323" t="e">
        <f t="shared" ca="1" si="84"/>
        <v>#N/A</v>
      </c>
      <c r="AE156" s="324">
        <f t="shared" ca="1" si="63"/>
        <v>269.99109064371459</v>
      </c>
      <c r="AG156" s="306">
        <f t="shared" ca="1" si="85"/>
        <v>68.159031566196973</v>
      </c>
      <c r="AH156" s="304">
        <f t="shared" ca="1" si="86"/>
        <v>77.793043942382653</v>
      </c>
    </row>
    <row r="157" spans="1:34" x14ac:dyDescent="0.2">
      <c r="A157" s="347">
        <f t="shared" ca="1" si="64"/>
        <v>0.01</v>
      </c>
      <c r="B157" s="304">
        <f t="shared" ca="1" si="65"/>
        <v>1.5300000000000011</v>
      </c>
      <c r="D157" s="306">
        <f t="shared" ca="1" si="66"/>
        <v>14.593399770314688</v>
      </c>
      <c r="E157" s="307">
        <f t="shared" ca="1" si="67"/>
        <v>66.162342498519067</v>
      </c>
      <c r="F157" s="304">
        <f t="shared" ca="1" si="68"/>
        <v>67.752659591691028</v>
      </c>
      <c r="G157" s="306">
        <f t="shared" ca="1" si="69"/>
        <v>47.128196337870946</v>
      </c>
      <c r="H157" s="307">
        <f t="shared" ca="1" si="70"/>
        <v>245.24839429678286</v>
      </c>
      <c r="I157" s="304">
        <f t="shared" ca="1" si="71"/>
        <v>249.73554371617027</v>
      </c>
      <c r="J157" s="306">
        <f t="shared" ca="1" si="72"/>
        <v>50.722755779318007</v>
      </c>
      <c r="K157" s="307">
        <f t="shared" ca="1" si="73"/>
        <v>272.44026646955751</v>
      </c>
      <c r="L157" s="304">
        <f t="shared" ca="1" si="58"/>
        <v>277.12180850278065</v>
      </c>
      <c r="M157" s="306">
        <f t="shared" ca="1" si="74"/>
        <v>1.3809454939659283</v>
      </c>
      <c r="N157" s="304">
        <f t="shared" ca="1" si="75"/>
        <v>79.122348541856383</v>
      </c>
      <c r="P157" s="310">
        <f t="shared" ca="1" si="76"/>
        <v>5</v>
      </c>
      <c r="Q157" s="304">
        <f t="shared" ca="1" si="77"/>
        <v>655.3499999999998</v>
      </c>
      <c r="R157" s="306">
        <f t="shared" ca="1" si="78"/>
        <v>0.32888963111588282</v>
      </c>
      <c r="S157" s="307">
        <f t="shared" ca="1" si="79"/>
        <v>5.5357298387073266</v>
      </c>
      <c r="T157" s="304">
        <f t="shared" ca="1" si="59"/>
        <v>54.305509717718877</v>
      </c>
      <c r="U157" s="311">
        <f t="shared" ca="1" si="60"/>
        <v>0</v>
      </c>
      <c r="V157" s="306">
        <f t="shared" ca="1" si="61"/>
        <v>1.19207457789606</v>
      </c>
      <c r="W157" s="304">
        <f t="shared" ca="1" si="62"/>
        <v>228.27985109943154</v>
      </c>
      <c r="Y157" s="314" t="str">
        <f t="shared" ca="1" si="80"/>
        <v/>
      </c>
      <c r="Z157" s="315" t="str">
        <f t="shared" ca="1" si="81"/>
        <v/>
      </c>
      <c r="AA157" s="316" t="str">
        <f t="shared" ca="1" si="82"/>
        <v/>
      </c>
      <c r="AC157" s="310" t="e">
        <f t="shared" ca="1" si="83"/>
        <v>#N/A</v>
      </c>
      <c r="AD157" s="323" t="e">
        <f t="shared" ca="1" si="84"/>
        <v>#N/A</v>
      </c>
      <c r="AE157" s="324">
        <f t="shared" ca="1" si="63"/>
        <v>272.44026646955751</v>
      </c>
      <c r="AG157" s="306">
        <f t="shared" ca="1" si="85"/>
        <v>67.727382412229034</v>
      </c>
      <c r="AH157" s="304">
        <f t="shared" ca="1" si="86"/>
        <v>77.361257368068337</v>
      </c>
    </row>
    <row r="158" spans="1:34" x14ac:dyDescent="0.2">
      <c r="A158" s="347">
        <f t="shared" ca="1" si="64"/>
        <v>0.01</v>
      </c>
      <c r="B158" s="304">
        <f t="shared" ca="1" si="65"/>
        <v>1.5400000000000011</v>
      </c>
      <c r="D158" s="306">
        <f t="shared" ca="1" si="66"/>
        <v>14.51760830695944</v>
      </c>
      <c r="E158" s="307">
        <f t="shared" ca="1" si="67"/>
        <v>65.737557576490218</v>
      </c>
      <c r="F158" s="304">
        <f t="shared" ca="1" si="68"/>
        <v>67.321522762610357</v>
      </c>
      <c r="G158" s="306">
        <f t="shared" ca="1" si="69"/>
        <v>47.273372420940539</v>
      </c>
      <c r="H158" s="307">
        <f t="shared" ca="1" si="70"/>
        <v>245.90576987254775</v>
      </c>
      <c r="I158" s="304">
        <f t="shared" ca="1" si="71"/>
        <v>250.40850504058236</v>
      </c>
      <c r="J158" s="306">
        <f t="shared" ca="1" si="72"/>
        <v>51.194763623112067</v>
      </c>
      <c r="K158" s="307">
        <f t="shared" ca="1" si="73"/>
        <v>274.89603729040419</v>
      </c>
      <c r="L158" s="304">
        <f t="shared" ca="1" si="58"/>
        <v>279.62248682892732</v>
      </c>
      <c r="M158" s="306">
        <f t="shared" ca="1" si="74"/>
        <v>1.380871564019168</v>
      </c>
      <c r="N158" s="304">
        <f t="shared" ca="1" si="75"/>
        <v>79.118112667927392</v>
      </c>
      <c r="P158" s="310">
        <f t="shared" ca="1" si="76"/>
        <v>5</v>
      </c>
      <c r="Q158" s="304">
        <f t="shared" ca="1" si="77"/>
        <v>653.88999999999987</v>
      </c>
      <c r="R158" s="306">
        <f t="shared" ca="1" si="78"/>
        <v>0.328156925139795</v>
      </c>
      <c r="S158" s="307">
        <f t="shared" ca="1" si="79"/>
        <v>5.5324482694559283</v>
      </c>
      <c r="T158" s="304">
        <f t="shared" ca="1" si="59"/>
        <v>54.273317523362657</v>
      </c>
      <c r="U158" s="311">
        <f t="shared" ca="1" si="60"/>
        <v>0</v>
      </c>
      <c r="V158" s="306">
        <f t="shared" ca="1" si="61"/>
        <v>1.1917818128328368</v>
      </c>
      <c r="W158" s="304">
        <f t="shared" ca="1" si="62"/>
        <v>229.45543177591566</v>
      </c>
      <c r="Y158" s="314" t="str">
        <f t="shared" ca="1" si="80"/>
        <v/>
      </c>
      <c r="Z158" s="315" t="str">
        <f t="shared" ca="1" si="81"/>
        <v/>
      </c>
      <c r="AA158" s="316" t="str">
        <f t="shared" ca="1" si="82"/>
        <v/>
      </c>
      <c r="AC158" s="310" t="e">
        <f t="shared" ca="1" si="83"/>
        <v>#N/A</v>
      </c>
      <c r="AD158" s="323" t="e">
        <f t="shared" ca="1" si="84"/>
        <v>#N/A</v>
      </c>
      <c r="AE158" s="324">
        <f t="shared" ca="1" si="63"/>
        <v>274.89603729040419</v>
      </c>
      <c r="AG158" s="306">
        <f t="shared" ca="1" si="85"/>
        <v>67.296064009109784</v>
      </c>
      <c r="AH158" s="304">
        <f t="shared" ca="1" si="86"/>
        <v>76.929801811309787</v>
      </c>
    </row>
    <row r="159" spans="1:34" x14ac:dyDescent="0.2">
      <c r="A159" s="347">
        <f t="shared" ca="1" si="64"/>
        <v>0.01</v>
      </c>
      <c r="B159" s="304">
        <f t="shared" ca="1" si="65"/>
        <v>1.5500000000000012</v>
      </c>
      <c r="D159" s="306">
        <f t="shared" ca="1" si="66"/>
        <v>14.441805989956435</v>
      </c>
      <c r="E159" s="307">
        <f t="shared" ca="1" si="67"/>
        <v>65.313124043020224</v>
      </c>
      <c r="F159" s="304">
        <f t="shared" ca="1" si="68"/>
        <v>66.890731289996282</v>
      </c>
      <c r="G159" s="306">
        <f t="shared" ca="1" si="69"/>
        <v>47.417790480840104</v>
      </c>
      <c r="H159" s="307">
        <f t="shared" ca="1" si="70"/>
        <v>246.55890111297796</v>
      </c>
      <c r="I159" s="304">
        <f t="shared" ca="1" si="71"/>
        <v>251.07715661151673</v>
      </c>
      <c r="J159" s="306">
        <f t="shared" ca="1" si="72"/>
        <v>51.668219437620969</v>
      </c>
      <c r="K159" s="307">
        <f t="shared" ca="1" si="73"/>
        <v>277.3583606453318</v>
      </c>
      <c r="L159" s="304">
        <f t="shared" ca="1" si="58"/>
        <v>282.12987278861499</v>
      </c>
      <c r="M159" s="306">
        <f t="shared" ca="1" si="74"/>
        <v>1.3807978025911576</v>
      </c>
      <c r="N159" s="304">
        <f t="shared" ca="1" si="75"/>
        <v>79.113886449411538</v>
      </c>
      <c r="P159" s="310">
        <f t="shared" ca="1" si="76"/>
        <v>5</v>
      </c>
      <c r="Q159" s="304">
        <f t="shared" ca="1" si="77"/>
        <v>652.42999999999984</v>
      </c>
      <c r="R159" s="306">
        <f t="shared" ca="1" si="78"/>
        <v>0.32742421916370706</v>
      </c>
      <c r="S159" s="307">
        <f t="shared" ca="1" si="79"/>
        <v>5.5291740272642915</v>
      </c>
      <c r="T159" s="304">
        <f t="shared" ca="1" si="59"/>
        <v>54.241197207462704</v>
      </c>
      <c r="U159" s="311">
        <f t="shared" ca="1" si="60"/>
        <v>0</v>
      </c>
      <c r="V159" s="306">
        <f t="shared" ca="1" si="61"/>
        <v>1.1914883378053869</v>
      </c>
      <c r="W159" s="304">
        <f t="shared" ca="1" si="62"/>
        <v>230.62566606600254</v>
      </c>
      <c r="Y159" s="314" t="str">
        <f t="shared" ca="1" si="80"/>
        <v/>
      </c>
      <c r="Z159" s="315" t="str">
        <f t="shared" ca="1" si="81"/>
        <v/>
      </c>
      <c r="AA159" s="316" t="str">
        <f t="shared" ca="1" si="82"/>
        <v/>
      </c>
      <c r="AC159" s="310" t="e">
        <f t="shared" ca="1" si="83"/>
        <v>#N/A</v>
      </c>
      <c r="AD159" s="323" t="e">
        <f t="shared" ca="1" si="84"/>
        <v>#N/A</v>
      </c>
      <c r="AE159" s="324">
        <f t="shared" ca="1" si="63"/>
        <v>277.3583606453318</v>
      </c>
      <c r="AG159" s="306">
        <f t="shared" ca="1" si="85"/>
        <v>66.865088791056579</v>
      </c>
      <c r="AH159" s="304">
        <f t="shared" ca="1" si="86"/>
        <v>76.498689702729848</v>
      </c>
    </row>
    <row r="160" spans="1:34" x14ac:dyDescent="0.2">
      <c r="A160" s="347">
        <f t="shared" ca="1" si="64"/>
        <v>0.01</v>
      </c>
      <c r="B160" s="304">
        <f t="shared" ca="1" si="65"/>
        <v>1.5600000000000012</v>
      </c>
      <c r="D160" s="306">
        <f t="shared" ca="1" si="66"/>
        <v>14.365995596084195</v>
      </c>
      <c r="E160" s="307">
        <f t="shared" ca="1" si="67"/>
        <v>64.88905391301661</v>
      </c>
      <c r="F160" s="304">
        <f t="shared" ca="1" si="68"/>
        <v>66.46029752561364</v>
      </c>
      <c r="G160" s="306">
        <f t="shared" ca="1" si="69"/>
        <v>47.561450436800946</v>
      </c>
      <c r="H160" s="307">
        <f t="shared" ca="1" si="70"/>
        <v>247.20779165210814</v>
      </c>
      <c r="I160" s="304">
        <f t="shared" ca="1" si="71"/>
        <v>251.74150198400815</v>
      </c>
      <c r="J160" s="306">
        <f t="shared" ca="1" si="72"/>
        <v>52.143115642209175</v>
      </c>
      <c r="K160" s="307">
        <f t="shared" ca="1" si="73"/>
        <v>279.82719410915723</v>
      </c>
      <c r="L160" s="304">
        <f t="shared" ca="1" si="58"/>
        <v>284.64392330046456</v>
      </c>
      <c r="M160" s="306">
        <f t="shared" ca="1" si="74"/>
        <v>1.3807242075927262</v>
      </c>
      <c r="N160" s="304">
        <f t="shared" ca="1" si="75"/>
        <v>79.10966976660815</v>
      </c>
      <c r="P160" s="310">
        <f t="shared" ca="1" si="76"/>
        <v>5</v>
      </c>
      <c r="Q160" s="304">
        <f t="shared" ca="1" si="77"/>
        <v>650.9699999999998</v>
      </c>
      <c r="R160" s="306">
        <f t="shared" ca="1" si="78"/>
        <v>0.32669151318761919</v>
      </c>
      <c r="S160" s="307">
        <f t="shared" ca="1" si="79"/>
        <v>5.5259071121324155</v>
      </c>
      <c r="T160" s="304">
        <f t="shared" ca="1" si="59"/>
        <v>54.209148770018999</v>
      </c>
      <c r="U160" s="311">
        <f t="shared" ca="1" si="60"/>
        <v>0</v>
      </c>
      <c r="V160" s="306">
        <f t="shared" ca="1" si="61"/>
        <v>1.1911941584114394</v>
      </c>
      <c r="W160" s="304">
        <f t="shared" ca="1" si="62"/>
        <v>231.79049957486811</v>
      </c>
      <c r="Y160" s="314" t="str">
        <f t="shared" ca="1" si="80"/>
        <v/>
      </c>
      <c r="Z160" s="315" t="str">
        <f t="shared" ca="1" si="81"/>
        <v/>
      </c>
      <c r="AA160" s="316" t="str">
        <f t="shared" ca="1" si="82"/>
        <v/>
      </c>
      <c r="AC160" s="310" t="e">
        <f t="shared" ca="1" si="83"/>
        <v>#N/A</v>
      </c>
      <c r="AD160" s="323" t="e">
        <f t="shared" ca="1" si="84"/>
        <v>#N/A</v>
      </c>
      <c r="AE160" s="324">
        <f t="shared" ca="1" si="63"/>
        <v>279.82719410915723</v>
      </c>
      <c r="AG160" s="306">
        <f t="shared" ca="1" si="85"/>
        <v>66.434469074726024</v>
      </c>
      <c r="AH160" s="304">
        <f t="shared" ca="1" si="86"/>
        <v>76.067933355432189</v>
      </c>
    </row>
    <row r="161" spans="1:34" x14ac:dyDescent="0.2">
      <c r="A161" s="347">
        <f t="shared" ca="1" si="64"/>
        <v>0.01</v>
      </c>
      <c r="B161" s="304">
        <f t="shared" ca="1" si="65"/>
        <v>1.5700000000000012</v>
      </c>
      <c r="D161" s="306">
        <f t="shared" ca="1" si="66"/>
        <v>14.290179877559311</v>
      </c>
      <c r="E161" s="307">
        <f t="shared" ca="1" si="67"/>
        <v>64.465359085967393</v>
      </c>
      <c r="F161" s="304">
        <f t="shared" ca="1" si="68"/>
        <v>66.030233704082249</v>
      </c>
      <c r="G161" s="306">
        <f t="shared" ca="1" si="69"/>
        <v>47.704352235576536</v>
      </c>
      <c r="H161" s="307">
        <f t="shared" ca="1" si="70"/>
        <v>247.8524452429678</v>
      </c>
      <c r="I161" s="304">
        <f t="shared" ca="1" si="71"/>
        <v>252.40154483507882</v>
      </c>
      <c r="J161" s="306">
        <f t="shared" ca="1" si="72"/>
        <v>52.619444655571058</v>
      </c>
      <c r="K161" s="307">
        <f t="shared" ca="1" si="73"/>
        <v>282.3024952936326</v>
      </c>
      <c r="L161" s="304">
        <f t="shared" ca="1" si="58"/>
        <v>287.16459531925619</v>
      </c>
      <c r="M161" s="306">
        <f t="shared" ca="1" si="74"/>
        <v>1.3806507769599883</v>
      </c>
      <c r="N161" s="304">
        <f t="shared" ca="1" si="75"/>
        <v>79.105462501265293</v>
      </c>
      <c r="P161" s="310">
        <f t="shared" ca="1" si="76"/>
        <v>5</v>
      </c>
      <c r="Q161" s="304">
        <f t="shared" ca="1" si="77"/>
        <v>649.50999999999976</v>
      </c>
      <c r="R161" s="306">
        <f t="shared" ca="1" si="78"/>
        <v>0.32595880721153131</v>
      </c>
      <c r="S161" s="307">
        <f t="shared" ca="1" si="79"/>
        <v>5.5226475240603001</v>
      </c>
      <c r="T161" s="304">
        <f t="shared" ca="1" si="59"/>
        <v>54.177172211031547</v>
      </c>
      <c r="U161" s="311">
        <f t="shared" ca="1" si="60"/>
        <v>0</v>
      </c>
      <c r="V161" s="306">
        <f t="shared" ca="1" si="61"/>
        <v>1.190899280240501</v>
      </c>
      <c r="W161" s="304">
        <f t="shared" ca="1" si="62"/>
        <v>232.94987870287667</v>
      </c>
      <c r="Y161" s="314" t="str">
        <f t="shared" ca="1" si="80"/>
        <v/>
      </c>
      <c r="Z161" s="315" t="str">
        <f t="shared" ca="1" si="81"/>
        <v/>
      </c>
      <c r="AA161" s="316" t="str">
        <f t="shared" ca="1" si="82"/>
        <v/>
      </c>
      <c r="AC161" s="310" t="e">
        <f t="shared" ca="1" si="83"/>
        <v>#N/A</v>
      </c>
      <c r="AD161" s="323" t="e">
        <f t="shared" ca="1" si="84"/>
        <v>#N/A</v>
      </c>
      <c r="AE161" s="324">
        <f t="shared" ca="1" si="63"/>
        <v>282.3024952936326</v>
      </c>
      <c r="AG161" s="306">
        <f t="shared" ca="1" si="85"/>
        <v>66.004217058882887</v>
      </c>
      <c r="AH161" s="304">
        <f t="shared" ca="1" si="86"/>
        <v>75.637544964669502</v>
      </c>
    </row>
    <row r="162" spans="1:34" x14ac:dyDescent="0.2">
      <c r="A162" s="347">
        <f t="shared" ca="1" si="64"/>
        <v>0.01</v>
      </c>
      <c r="B162" s="304">
        <f t="shared" ca="1" si="65"/>
        <v>1.5800000000000012</v>
      </c>
      <c r="D162" s="306">
        <f t="shared" ca="1" si="66"/>
        <v>14.214361562010343</v>
      </c>
      <c r="E162" s="307">
        <f t="shared" ca="1" si="67"/>
        <v>64.042051345632061</v>
      </c>
      <c r="F162" s="304">
        <f t="shared" ca="1" si="68"/>
        <v>65.600551942587572</v>
      </c>
      <c r="G162" s="306">
        <f t="shared" ca="1" si="69"/>
        <v>47.846495851196643</v>
      </c>
      <c r="H162" s="307">
        <f t="shared" ca="1" si="70"/>
        <v>248.49286575642412</v>
      </c>
      <c r="I162" s="304">
        <f t="shared" ca="1" si="71"/>
        <v>253.05728896255647</v>
      </c>
      <c r="J162" s="306">
        <f t="shared" ca="1" si="72"/>
        <v>53.097198896004926</v>
      </c>
      <c r="K162" s="307">
        <f t="shared" ca="1" si="73"/>
        <v>284.78422184862956</v>
      </c>
      <c r="L162" s="304">
        <f t="shared" ca="1" si="58"/>
        <v>289.6918458371436</v>
      </c>
      <c r="M162" s="306">
        <f t="shared" ca="1" si="74"/>
        <v>1.3805775086539027</v>
      </c>
      <c r="N162" s="304">
        <f t="shared" ca="1" si="75"/>
        <v>79.10126453655451</v>
      </c>
      <c r="P162" s="310">
        <f t="shared" ca="1" si="76"/>
        <v>5</v>
      </c>
      <c r="Q162" s="304">
        <f t="shared" ca="1" si="77"/>
        <v>648.04999999999984</v>
      </c>
      <c r="R162" s="306">
        <f t="shared" ca="1" si="78"/>
        <v>0.32522610123544349</v>
      </c>
      <c r="S162" s="307">
        <f t="shared" ca="1" si="79"/>
        <v>5.5193952630479455</v>
      </c>
      <c r="T162" s="304">
        <f t="shared" ca="1" si="59"/>
        <v>54.145267530500348</v>
      </c>
      <c r="U162" s="311">
        <f t="shared" ca="1" si="60"/>
        <v>0</v>
      </c>
      <c r="V162" s="306">
        <f t="shared" ca="1" si="61"/>
        <v>1.1906037088736872</v>
      </c>
      <c r="W162" s="304">
        <f t="shared" ca="1" si="62"/>
        <v>234.10375064436786</v>
      </c>
      <c r="Y162" s="314" t="str">
        <f t="shared" ca="1" si="80"/>
        <v/>
      </c>
      <c r="Z162" s="315" t="str">
        <f t="shared" ca="1" si="81"/>
        <v/>
      </c>
      <c r="AA162" s="316" t="str">
        <f t="shared" ca="1" si="82"/>
        <v/>
      </c>
      <c r="AC162" s="310" t="e">
        <f t="shared" ca="1" si="83"/>
        <v>#N/A</v>
      </c>
      <c r="AD162" s="323" t="e">
        <f t="shared" ca="1" si="84"/>
        <v>#N/A</v>
      </c>
      <c r="AE162" s="324">
        <f t="shared" ca="1" si="63"/>
        <v>284.78422184862956</v>
      </c>
      <c r="AG162" s="306">
        <f t="shared" ca="1" si="85"/>
        <v>65.574344824090446</v>
      </c>
      <c r="AH162" s="304">
        <f t="shared" ca="1" si="86"/>
        <v>75.2075366075331</v>
      </c>
    </row>
    <row r="163" spans="1:34" x14ac:dyDescent="0.2">
      <c r="A163" s="347">
        <f t="shared" ca="1" si="64"/>
        <v>0.01</v>
      </c>
      <c r="B163" s="304">
        <f t="shared" ca="1" si="65"/>
        <v>1.5900000000000012</v>
      </c>
      <c r="D163" s="306">
        <f t="shared" ca="1" si="66"/>
        <v>14.138543352454432</v>
      </c>
      <c r="E163" s="307">
        <f t="shared" ca="1" si="67"/>
        <v>63.619142359752828</v>
      </c>
      <c r="F163" s="304">
        <f t="shared" ca="1" si="68"/>
        <v>65.171264240612444</v>
      </c>
      <c r="G163" s="306">
        <f t="shared" ca="1" si="69"/>
        <v>47.98788128472119</v>
      </c>
      <c r="H163" s="307">
        <f t="shared" ca="1" si="70"/>
        <v>249.12905718002165</v>
      </c>
      <c r="I163" s="304">
        <f t="shared" ca="1" si="71"/>
        <v>253.7087382838892</v>
      </c>
      <c r="J163" s="306">
        <f t="shared" ca="1" si="72"/>
        <v>53.576370781684517</v>
      </c>
      <c r="K163" s="307">
        <f t="shared" ca="1" si="73"/>
        <v>287.27233146331179</v>
      </c>
      <c r="L163" s="304">
        <f t="shared" ca="1" si="58"/>
        <v>292.22563188485606</v>
      </c>
      <c r="M163" s="306">
        <f t="shared" ca="1" si="74"/>
        <v>1.3805044006598426</v>
      </c>
      <c r="N163" s="304">
        <f t="shared" ca="1" si="75"/>
        <v>79.097075757046198</v>
      </c>
      <c r="P163" s="310">
        <f t="shared" ca="1" si="76"/>
        <v>5</v>
      </c>
      <c r="Q163" s="304">
        <f t="shared" ca="1" si="77"/>
        <v>646.5899999999998</v>
      </c>
      <c r="R163" s="306">
        <f t="shared" ca="1" si="78"/>
        <v>0.32449339525935555</v>
      </c>
      <c r="S163" s="307">
        <f t="shared" ca="1" si="79"/>
        <v>5.5161503290953515</v>
      </c>
      <c r="T163" s="304">
        <f t="shared" ca="1" si="59"/>
        <v>54.113434728425403</v>
      </c>
      <c r="U163" s="311">
        <f t="shared" ca="1" si="60"/>
        <v>0</v>
      </c>
      <c r="V163" s="306">
        <f t="shared" ca="1" si="61"/>
        <v>1.1903074498835624</v>
      </c>
      <c r="W163" s="304">
        <f t="shared" ca="1" si="62"/>
        <v>235.25206338633782</v>
      </c>
      <c r="Y163" s="314" t="str">
        <f t="shared" ca="1" si="80"/>
        <v/>
      </c>
      <c r="Z163" s="315" t="str">
        <f t="shared" ca="1" si="81"/>
        <v/>
      </c>
      <c r="AA163" s="316" t="str">
        <f t="shared" ca="1" si="82"/>
        <v/>
      </c>
      <c r="AC163" s="310" t="e">
        <f t="shared" ca="1" si="83"/>
        <v>#N/A</v>
      </c>
      <c r="AD163" s="323" t="e">
        <f t="shared" ca="1" si="84"/>
        <v>#N/A</v>
      </c>
      <c r="AE163" s="324">
        <f t="shared" ca="1" si="63"/>
        <v>287.27233146331179</v>
      </c>
      <c r="AG163" s="306">
        <f t="shared" ca="1" si="85"/>
        <v>65.144864332421292</v>
      </c>
      <c r="AH163" s="304">
        <f t="shared" ca="1" si="86"/>
        <v>74.777920242663086</v>
      </c>
    </row>
    <row r="164" spans="1:34" x14ac:dyDescent="0.2">
      <c r="A164" s="347">
        <f t="shared" ca="1" si="64"/>
        <v>0.01</v>
      </c>
      <c r="B164" s="304">
        <f t="shared" ca="1" si="65"/>
        <v>1.6000000000000012</v>
      </c>
      <c r="D164" s="306">
        <f t="shared" ca="1" si="66"/>
        <v>14.062727927276473</v>
      </c>
      <c r="E164" s="307">
        <f t="shared" ca="1" si="67"/>
        <v>63.196643679786774</v>
      </c>
      <c r="F164" s="304">
        <f t="shared" ca="1" si="68"/>
        <v>64.742382479690505</v>
      </c>
      <c r="G164" s="306">
        <f t="shared" ca="1" si="69"/>
        <v>48.128508563993954</v>
      </c>
      <c r="H164" s="307">
        <f t="shared" ca="1" si="70"/>
        <v>249.76102361681953</v>
      </c>
      <c r="I164" s="304">
        <f t="shared" ca="1" si="71"/>
        <v>254.35589683495826</v>
      </c>
      <c r="J164" s="306">
        <f t="shared" ca="1" si="72"/>
        <v>54.056952730928096</v>
      </c>
      <c r="K164" s="307">
        <f t="shared" ca="1" si="73"/>
        <v>289.766781867296</v>
      </c>
      <c r="L164" s="304">
        <f t="shared" ca="1" si="58"/>
        <v>294.76591053288865</v>
      </c>
      <c r="M164" s="306">
        <f t="shared" ca="1" si="74"/>
        <v>1.3804314509871727</v>
      </c>
      <c r="N164" s="304">
        <f t="shared" ca="1" si="75"/>
        <v>79.092896048685347</v>
      </c>
      <c r="P164" s="310">
        <f t="shared" ca="1" si="76"/>
        <v>5</v>
      </c>
      <c r="Q164" s="304">
        <f t="shared" ca="1" si="77"/>
        <v>645.12999999999977</v>
      </c>
      <c r="R164" s="306">
        <f t="shared" ca="1" si="78"/>
        <v>0.32376068928326768</v>
      </c>
      <c r="S164" s="307">
        <f t="shared" ca="1" si="79"/>
        <v>5.5129127222025192</v>
      </c>
      <c r="T164" s="304">
        <f t="shared" ca="1" si="59"/>
        <v>54.081673804806712</v>
      </c>
      <c r="U164" s="311">
        <f t="shared" ca="1" si="60"/>
        <v>0</v>
      </c>
      <c r="V164" s="306">
        <f t="shared" ca="1" si="61"/>
        <v>1.1900105088339741</v>
      </c>
      <c r="W164" s="304">
        <f t="shared" ca="1" si="62"/>
        <v>236.39476570701433</v>
      </c>
      <c r="Y164" s="314" t="str">
        <f t="shared" ca="1" si="80"/>
        <v/>
      </c>
      <c r="Z164" s="315" t="str">
        <f t="shared" ca="1" si="81"/>
        <v/>
      </c>
      <c r="AA164" s="316" t="str">
        <f t="shared" ca="1" si="82"/>
        <v/>
      </c>
      <c r="AC164" s="310" t="e">
        <f t="shared" ca="1" si="83"/>
        <v>#N/A</v>
      </c>
      <c r="AD164" s="323" t="e">
        <f t="shared" ca="1" si="84"/>
        <v>#N/A</v>
      </c>
      <c r="AE164" s="324">
        <f t="shared" ca="1" si="63"/>
        <v>289.766781867296</v>
      </c>
      <c r="AG164" s="306">
        <f t="shared" ca="1" si="85"/>
        <v>64.715787427189113</v>
      </c>
      <c r="AH164" s="304">
        <f t="shared" ca="1" si="86"/>
        <v>74.348707709979408</v>
      </c>
    </row>
    <row r="165" spans="1:34" x14ac:dyDescent="0.2">
      <c r="A165" s="347">
        <f t="shared" ca="1" si="64"/>
        <v>0.01</v>
      </c>
      <c r="B165" s="304">
        <f t="shared" ca="1" si="65"/>
        <v>1.6100000000000012</v>
      </c>
      <c r="D165" s="306">
        <f t="shared" ca="1" si="66"/>
        <v>13.986917940210976</v>
      </c>
      <c r="E165" s="307">
        <f t="shared" ca="1" si="67"/>
        <v>62.774566740658017</v>
      </c>
      <c r="F165" s="304">
        <f t="shared" ca="1" si="68"/>
        <v>64.313918423180553</v>
      </c>
      <c r="G165" s="306">
        <f t="shared" ca="1" si="69"/>
        <v>48.268377743396066</v>
      </c>
      <c r="H165" s="307">
        <f t="shared" ca="1" si="70"/>
        <v>250.3887692842261</v>
      </c>
      <c r="I165" s="304">
        <f t="shared" ca="1" si="71"/>
        <v>254.99876876888757</v>
      </c>
      <c r="J165" s="306">
        <f t="shared" ca="1" si="72"/>
        <v>54.538937162465047</v>
      </c>
      <c r="K165" s="307">
        <f t="shared" ca="1" si="73"/>
        <v>292.26753083180125</v>
      </c>
      <c r="L165" s="304">
        <f t="shared" ca="1" si="58"/>
        <v>297.31263889268013</v>
      </c>
      <c r="M165" s="306">
        <f t="shared" ca="1" si="74"/>
        <v>1.3803586576688371</v>
      </c>
      <c r="N165" s="304">
        <f t="shared" ca="1" si="75"/>
        <v>79.088725298767969</v>
      </c>
      <c r="P165" s="310">
        <f t="shared" ca="1" si="76"/>
        <v>5</v>
      </c>
      <c r="Q165" s="304">
        <f t="shared" ca="1" si="77"/>
        <v>643.66999999999985</v>
      </c>
      <c r="R165" s="306">
        <f t="shared" ca="1" si="78"/>
        <v>0.32302798330717986</v>
      </c>
      <c r="S165" s="307">
        <f t="shared" ca="1" si="79"/>
        <v>5.5096824423694475</v>
      </c>
      <c r="T165" s="304">
        <f t="shared" ca="1" si="59"/>
        <v>54.049984759644282</v>
      </c>
      <c r="U165" s="311">
        <f t="shared" ca="1" si="60"/>
        <v>0</v>
      </c>
      <c r="V165" s="306">
        <f t="shared" ca="1" si="61"/>
        <v>1.1897128912798951</v>
      </c>
      <c r="W165" s="304">
        <f t="shared" ca="1" si="62"/>
        <v>237.53180717432903</v>
      </c>
      <c r="Y165" s="314" t="str">
        <f t="shared" ca="1" si="80"/>
        <v/>
      </c>
      <c r="Z165" s="315" t="str">
        <f t="shared" ca="1" si="81"/>
        <v/>
      </c>
      <c r="AA165" s="316" t="str">
        <f t="shared" ca="1" si="82"/>
        <v/>
      </c>
      <c r="AC165" s="310" t="e">
        <f t="shared" ca="1" si="83"/>
        <v>#N/A</v>
      </c>
      <c r="AD165" s="323" t="e">
        <f t="shared" ca="1" si="84"/>
        <v>#N/A</v>
      </c>
      <c r="AE165" s="324">
        <f t="shared" ca="1" si="63"/>
        <v>292.26753083180125</v>
      </c>
      <c r="AG165" s="306">
        <f t="shared" ca="1" si="85"/>
        <v>64.287125832700809</v>
      </c>
      <c r="AH165" s="304">
        <f t="shared" ca="1" si="86"/>
        <v>73.919910730433344</v>
      </c>
    </row>
    <row r="166" spans="1:34" x14ac:dyDescent="0.2">
      <c r="A166" s="347">
        <f t="shared" ca="1" si="64"/>
        <v>0.01</v>
      </c>
      <c r="B166" s="304">
        <f t="shared" ca="1" si="65"/>
        <v>1.6200000000000012</v>
      </c>
      <c r="D166" s="306">
        <f t="shared" ca="1" si="66"/>
        <v>13.911116020326473</v>
      </c>
      <c r="E166" s="307">
        <f t="shared" ca="1" si="67"/>
        <v>62.352922860530256</v>
      </c>
      <c r="F166" s="304">
        <f t="shared" ca="1" si="68"/>
        <v>63.885883716062189</v>
      </c>
      <c r="G166" s="306">
        <f t="shared" ca="1" si="69"/>
        <v>48.407488903599329</v>
      </c>
      <c r="H166" s="307">
        <f t="shared" ca="1" si="70"/>
        <v>251.01229851283139</v>
      </c>
      <c r="I166" s="304">
        <f t="shared" ca="1" si="71"/>
        <v>255.6373583548517</v>
      </c>
      <c r="J166" s="306">
        <f t="shared" ca="1" si="72"/>
        <v>55.022316495700025</v>
      </c>
      <c r="K166" s="307">
        <f t="shared" ca="1" si="73"/>
        <v>294.77453617078652</v>
      </c>
      <c r="L166" s="304">
        <f t="shared" ca="1" si="58"/>
        <v>299.86577411777978</v>
      </c>
      <c r="M166" s="306">
        <f t="shared" ca="1" si="74"/>
        <v>1.3802860187609554</v>
      </c>
      <c r="N166" s="304">
        <f t="shared" ca="1" si="75"/>
        <v>79.084563395917911</v>
      </c>
      <c r="P166" s="310">
        <f t="shared" ca="1" si="76"/>
        <v>5</v>
      </c>
      <c r="Q166" s="304">
        <f t="shared" ca="1" si="77"/>
        <v>642.20999999999981</v>
      </c>
      <c r="R166" s="306">
        <f t="shared" ca="1" si="78"/>
        <v>0.32229527733109198</v>
      </c>
      <c r="S166" s="307">
        <f t="shared" ca="1" si="79"/>
        <v>5.5064594895961365</v>
      </c>
      <c r="T166" s="304">
        <f t="shared" ca="1" si="59"/>
        <v>54.018367592938105</v>
      </c>
      <c r="U166" s="311">
        <f t="shared" ca="1" si="60"/>
        <v>0</v>
      </c>
      <c r="V166" s="306">
        <f t="shared" ca="1" si="61"/>
        <v>1.1894146027672654</v>
      </c>
      <c r="W166" s="304">
        <f t="shared" ca="1" si="62"/>
        <v>238.66313814428787</v>
      </c>
      <c r="Y166" s="314" t="str">
        <f t="shared" ca="1" si="80"/>
        <v/>
      </c>
      <c r="Z166" s="315" t="str">
        <f t="shared" ca="1" si="81"/>
        <v/>
      </c>
      <c r="AA166" s="316" t="str">
        <f t="shared" ca="1" si="82"/>
        <v/>
      </c>
      <c r="AC166" s="310" t="e">
        <f t="shared" ca="1" si="83"/>
        <v>#N/A</v>
      </c>
      <c r="AD166" s="323" t="e">
        <f t="shared" ca="1" si="84"/>
        <v>#N/A</v>
      </c>
      <c r="AE166" s="324">
        <f t="shared" ca="1" si="63"/>
        <v>294.77453617078652</v>
      </c>
      <c r="AG166" s="306">
        <f t="shared" ca="1" si="85"/>
        <v>63.858891154028939</v>
      </c>
      <c r="AH166" s="304">
        <f t="shared" ca="1" si="86"/>
        <v>73.491540905779246</v>
      </c>
    </row>
    <row r="167" spans="1:34" x14ac:dyDescent="0.2">
      <c r="A167" s="347">
        <f t="shared" ca="1" si="64"/>
        <v>0.01</v>
      </c>
      <c r="B167" s="304">
        <f t="shared" ca="1" si="65"/>
        <v>1.6300000000000012</v>
      </c>
      <c r="D167" s="306">
        <f t="shared" ca="1" si="66"/>
        <v>13.835324772012569</v>
      </c>
      <c r="E167" s="307">
        <f t="shared" ca="1" si="67"/>
        <v>61.931723240598956</v>
      </c>
      <c r="F167" s="304">
        <f t="shared" ca="1" si="68"/>
        <v>63.458289884751935</v>
      </c>
      <c r="G167" s="306">
        <f t="shared" ca="1" si="69"/>
        <v>48.545842151319455</v>
      </c>
      <c r="H167" s="307">
        <f t="shared" ca="1" si="70"/>
        <v>251.63161574523738</v>
      </c>
      <c r="I167" s="304">
        <f t="shared" ca="1" si="71"/>
        <v>256.27166997688141</v>
      </c>
      <c r="J167" s="306">
        <f t="shared" ca="1" si="72"/>
        <v>55.507083150974616</v>
      </c>
      <c r="K167" s="307">
        <f t="shared" ca="1" si="73"/>
        <v>297.28775574207685</v>
      </c>
      <c r="L167" s="304">
        <f t="shared" ca="1" si="58"/>
        <v>302.42527340500158</v>
      </c>
      <c r="M167" s="306">
        <f t="shared" ca="1" si="74"/>
        <v>1.3802135323424261</v>
      </c>
      <c r="N167" s="304">
        <f t="shared" ca="1" si="75"/>
        <v>79.08041023006416</v>
      </c>
      <c r="P167" s="310">
        <f t="shared" ca="1" si="76"/>
        <v>5</v>
      </c>
      <c r="Q167" s="304">
        <f t="shared" ca="1" si="77"/>
        <v>640.74999999999977</v>
      </c>
      <c r="R167" s="306">
        <f t="shared" ca="1" si="78"/>
        <v>0.32156257135500405</v>
      </c>
      <c r="S167" s="307">
        <f t="shared" ca="1" si="79"/>
        <v>5.5032438638825862</v>
      </c>
      <c r="T167" s="304">
        <f t="shared" ca="1" si="59"/>
        <v>53.986822304688175</v>
      </c>
      <c r="U167" s="311">
        <f t="shared" ca="1" si="60"/>
        <v>0</v>
      </c>
      <c r="V167" s="306">
        <f t="shared" ca="1" si="61"/>
        <v>1.1891156488328332</v>
      </c>
      <c r="W167" s="304">
        <f t="shared" ca="1" si="62"/>
        <v>239.78870975923974</v>
      </c>
      <c r="Y167" s="314" t="str">
        <f t="shared" ca="1" si="80"/>
        <v/>
      </c>
      <c r="Z167" s="315" t="str">
        <f t="shared" ca="1" si="81"/>
        <v/>
      </c>
      <c r="AA167" s="316" t="str">
        <f t="shared" ca="1" si="82"/>
        <v/>
      </c>
      <c r="AC167" s="310" t="e">
        <f t="shared" ca="1" si="83"/>
        <v>#N/A</v>
      </c>
      <c r="AD167" s="323" t="e">
        <f t="shared" ca="1" si="84"/>
        <v>#N/A</v>
      </c>
      <c r="AE167" s="324">
        <f t="shared" ca="1" si="63"/>
        <v>297.28775574207685</v>
      </c>
      <c r="AG167" s="306">
        <f t="shared" ca="1" si="85"/>
        <v>63.431094876804131</v>
      </c>
      <c r="AH167" s="304">
        <f t="shared" ca="1" si="86"/>
        <v>73.063609718366379</v>
      </c>
    </row>
    <row r="168" spans="1:34" x14ac:dyDescent="0.2">
      <c r="A168" s="347">
        <f t="shared" ca="1" si="64"/>
        <v>0.01</v>
      </c>
      <c r="B168" s="304">
        <f t="shared" ca="1" si="65"/>
        <v>1.6400000000000012</v>
      </c>
      <c r="D168" s="306">
        <f t="shared" ca="1" si="66"/>
        <v>13.759546774969682</v>
      </c>
      <c r="E168" s="307">
        <f t="shared" ca="1" si="67"/>
        <v>61.510978964903742</v>
      </c>
      <c r="F168" s="304">
        <f t="shared" ca="1" si="68"/>
        <v>63.031148336940596</v>
      </c>
      <c r="G168" s="306">
        <f t="shared" ca="1" si="69"/>
        <v>48.683437619069153</v>
      </c>
      <c r="H168" s="307">
        <f t="shared" ca="1" si="70"/>
        <v>252.24672553488642</v>
      </c>
      <c r="I168" s="304">
        <f t="shared" ca="1" si="71"/>
        <v>256.90170813266718</v>
      </c>
      <c r="J168" s="306">
        <f t="shared" ca="1" si="72"/>
        <v>55.993229549826559</v>
      </c>
      <c r="K168" s="307">
        <f t="shared" ca="1" si="73"/>
        <v>299.80714744847745</v>
      </c>
      <c r="L168" s="304">
        <f t="shared" ca="1" si="58"/>
        <v>304.99109399556681</v>
      </c>
      <c r="M168" s="306">
        <f t="shared" ca="1" si="74"/>
        <v>1.3801411965145391</v>
      </c>
      <c r="N168" s="304">
        <f t="shared" ca="1" si="75"/>
        <v>79.076265692418659</v>
      </c>
      <c r="P168" s="310">
        <f t="shared" ca="1" si="76"/>
        <v>5</v>
      </c>
      <c r="Q168" s="304">
        <f t="shared" ca="1" si="77"/>
        <v>639.28999999999985</v>
      </c>
      <c r="R168" s="306">
        <f t="shared" ca="1" si="78"/>
        <v>0.32082986537891622</v>
      </c>
      <c r="S168" s="307">
        <f t="shared" ca="1" si="79"/>
        <v>5.5000355652287967</v>
      </c>
      <c r="T168" s="304">
        <f t="shared" ca="1" si="59"/>
        <v>53.955348894894499</v>
      </c>
      <c r="U168" s="311">
        <f t="shared" ca="1" si="60"/>
        <v>0</v>
      </c>
      <c r="V168" s="306">
        <f t="shared" ca="1" si="61"/>
        <v>1.1888160350040027</v>
      </c>
      <c r="W168" s="304">
        <f t="shared" ca="1" si="62"/>
        <v>240.90847394604728</v>
      </c>
      <c r="Y168" s="314" t="str">
        <f t="shared" ca="1" si="80"/>
        <v/>
      </c>
      <c r="Z168" s="315" t="str">
        <f t="shared" ca="1" si="81"/>
        <v/>
      </c>
      <c r="AA168" s="316" t="str">
        <f t="shared" ca="1" si="82"/>
        <v/>
      </c>
      <c r="AC168" s="310" t="e">
        <f t="shared" ca="1" si="83"/>
        <v>#N/A</v>
      </c>
      <c r="AD168" s="323" t="e">
        <f t="shared" ca="1" si="84"/>
        <v>#N/A</v>
      </c>
      <c r="AE168" s="324">
        <f t="shared" ca="1" si="63"/>
        <v>299.80714744847745</v>
      </c>
      <c r="AG168" s="306">
        <f t="shared" ca="1" si="85"/>
        <v>63.00374836702774</v>
      </c>
      <c r="AH168" s="304">
        <f t="shared" ca="1" si="86"/>
        <v>72.636128530950913</v>
      </c>
    </row>
    <row r="169" spans="1:34" x14ac:dyDescent="0.2">
      <c r="A169" s="347">
        <f t="shared" ca="1" si="64"/>
        <v>0.01</v>
      </c>
      <c r="B169" s="304">
        <f t="shared" ca="1" si="65"/>
        <v>1.6500000000000012</v>
      </c>
      <c r="D169" s="306">
        <f t="shared" ca="1" si="66"/>
        <v>13.683784584201364</v>
      </c>
      <c r="E169" s="307">
        <f t="shared" ca="1" si="67"/>
        <v>61.090701000159797</v>
      </c>
      <c r="F169" s="304">
        <f t="shared" ca="1" si="68"/>
        <v>62.604470361450645</v>
      </c>
      <c r="G169" s="306">
        <f t="shared" ca="1" si="69"/>
        <v>48.82027546491117</v>
      </c>
      <c r="H169" s="307">
        <f t="shared" ca="1" si="70"/>
        <v>252.85763254488802</v>
      </c>
      <c r="I169" s="304">
        <f t="shared" ca="1" si="71"/>
        <v>257.52747743236142</v>
      </c>
      <c r="J169" s="306">
        <f t="shared" ca="1" si="72"/>
        <v>56.480748115246463</v>
      </c>
      <c r="K169" s="307">
        <f t="shared" ca="1" si="73"/>
        <v>302.33266923887635</v>
      </c>
      <c r="L169" s="304">
        <f t="shared" ca="1" si="58"/>
        <v>307.56319317623445</v>
      </c>
      <c r="M169" s="306">
        <f t="shared" ca="1" si="74"/>
        <v>1.380069009400597</v>
      </c>
      <c r="N169" s="304">
        <f t="shared" ca="1" si="75"/>
        <v>79.072129675454534</v>
      </c>
      <c r="P169" s="310">
        <f t="shared" ca="1" si="76"/>
        <v>5</v>
      </c>
      <c r="Q169" s="304">
        <f t="shared" ca="1" si="77"/>
        <v>637.82999999999981</v>
      </c>
      <c r="R169" s="306">
        <f t="shared" ca="1" si="78"/>
        <v>0.32009715940282835</v>
      </c>
      <c r="S169" s="307">
        <f t="shared" ca="1" si="79"/>
        <v>5.4968345936347687</v>
      </c>
      <c r="T169" s="304">
        <f t="shared" ca="1" si="59"/>
        <v>53.923947363557083</v>
      </c>
      <c r="U169" s="311">
        <f t="shared" ca="1" si="60"/>
        <v>0</v>
      </c>
      <c r="V169" s="306">
        <f t="shared" ca="1" si="61"/>
        <v>1.1885157667986821</v>
      </c>
      <c r="W169" s="304">
        <f t="shared" ca="1" si="62"/>
        <v>242.02238341416029</v>
      </c>
      <c r="Y169" s="314" t="str">
        <f t="shared" ca="1" si="80"/>
        <v/>
      </c>
      <c r="Z169" s="315" t="str">
        <f t="shared" ca="1" si="81"/>
        <v/>
      </c>
      <c r="AA169" s="316" t="str">
        <f t="shared" ca="1" si="82"/>
        <v/>
      </c>
      <c r="AC169" s="310" t="e">
        <f t="shared" ca="1" si="83"/>
        <v>#N/A</v>
      </c>
      <c r="AD169" s="323" t="e">
        <f t="shared" ca="1" si="84"/>
        <v>#N/A</v>
      </c>
      <c r="AE169" s="324">
        <f t="shared" ca="1" si="63"/>
        <v>302.33266923887635</v>
      </c>
      <c r="AG169" s="306">
        <f t="shared" ca="1" si="85"/>
        <v>62.576862870903803</v>
      </c>
      <c r="AH169" s="304">
        <f t="shared" ca="1" si="86"/>
        <v>72.209108586527279</v>
      </c>
    </row>
    <row r="170" spans="1:34" x14ac:dyDescent="0.2">
      <c r="A170" s="347">
        <f t="shared" ca="1" si="64"/>
        <v>0.01</v>
      </c>
      <c r="B170" s="304">
        <f t="shared" ca="1" si="65"/>
        <v>1.6600000000000013</v>
      </c>
      <c r="D170" s="306">
        <f t="shared" ca="1" si="66"/>
        <v>13.608040730009254</v>
      </c>
      <c r="E170" s="307">
        <f t="shared" ca="1" si="67"/>
        <v>60.670900195609093</v>
      </c>
      <c r="F170" s="304">
        <f t="shared" ca="1" si="68"/>
        <v>62.178267128114392</v>
      </c>
      <c r="G170" s="306">
        <f t="shared" ca="1" si="69"/>
        <v>48.956355872211262</v>
      </c>
      <c r="H170" s="307">
        <f t="shared" ca="1" si="70"/>
        <v>253.46434154684411</v>
      </c>
      <c r="I170" s="304">
        <f t="shared" ca="1" si="71"/>
        <v>258.1489825973789</v>
      </c>
      <c r="J170" s="306">
        <f t="shared" ca="1" si="72"/>
        <v>56.969631271932073</v>
      </c>
      <c r="K170" s="307">
        <f t="shared" ca="1" si="73"/>
        <v>304.86427910933503</v>
      </c>
      <c r="L170" s="304">
        <f t="shared" ca="1" si="58"/>
        <v>310.14152828041978</v>
      </c>
      <c r="M170" s="306">
        <f t="shared" ca="1" si="74"/>
        <v>1.3799969691455429</v>
      </c>
      <c r="N170" s="304">
        <f t="shared" ca="1" si="75"/>
        <v>79.068002072884894</v>
      </c>
      <c r="P170" s="310">
        <f t="shared" ca="1" si="76"/>
        <v>5</v>
      </c>
      <c r="Q170" s="304">
        <f t="shared" ca="1" si="77"/>
        <v>636.36999999999978</v>
      </c>
      <c r="R170" s="306">
        <f t="shared" ca="1" si="78"/>
        <v>0.31936445342674041</v>
      </c>
      <c r="S170" s="307">
        <f t="shared" ca="1" si="79"/>
        <v>5.4936409491005014</v>
      </c>
      <c r="T170" s="304">
        <f t="shared" ca="1" si="59"/>
        <v>53.892617710675921</v>
      </c>
      <c r="U170" s="311">
        <f t="shared" ca="1" si="60"/>
        <v>0</v>
      </c>
      <c r="V170" s="306">
        <f t="shared" ca="1" si="61"/>
        <v>1.1882148497251306</v>
      </c>
      <c r="W170" s="304">
        <f t="shared" ca="1" si="62"/>
        <v>243.13039165359203</v>
      </c>
      <c r="Y170" s="314" t="str">
        <f t="shared" ca="1" si="80"/>
        <v/>
      </c>
      <c r="Z170" s="315" t="str">
        <f t="shared" ca="1" si="81"/>
        <v/>
      </c>
      <c r="AA170" s="316" t="str">
        <f t="shared" ca="1" si="82"/>
        <v/>
      </c>
      <c r="AC170" s="310" t="e">
        <f t="shared" ca="1" si="83"/>
        <v>#N/A</v>
      </c>
      <c r="AD170" s="323" t="e">
        <f t="shared" ca="1" si="84"/>
        <v>#N/A</v>
      </c>
      <c r="AE170" s="324">
        <f t="shared" ca="1" si="63"/>
        <v>304.86427910933503</v>
      </c>
      <c r="AG170" s="306">
        <f t="shared" ca="1" si="85"/>
        <v>62.150449514690919</v>
      </c>
      <c r="AH170" s="304">
        <f t="shared" ca="1" si="86"/>
        <v>71.782561008179428</v>
      </c>
    </row>
    <row r="171" spans="1:34" x14ac:dyDescent="0.2">
      <c r="A171" s="347">
        <f t="shared" ca="1" si="64"/>
        <v>0.01</v>
      </c>
      <c r="B171" s="304">
        <f t="shared" ca="1" si="65"/>
        <v>1.6700000000000013</v>
      </c>
      <c r="D171" s="306">
        <f t="shared" ca="1" si="66"/>
        <v>13.532317717990628</v>
      </c>
      <c r="E171" s="307">
        <f t="shared" ca="1" si="67"/>
        <v>60.251587282890682</v>
      </c>
      <c r="F171" s="304">
        <f t="shared" ca="1" si="68"/>
        <v>61.752549687672307</v>
      </c>
      <c r="G171" s="306">
        <f t="shared" ca="1" si="69"/>
        <v>49.091679049391168</v>
      </c>
      <c r="H171" s="307">
        <f t="shared" ca="1" si="70"/>
        <v>254.06685741967303</v>
      </c>
      <c r="I171" s="304">
        <f t="shared" ca="1" si="71"/>
        <v>258.76622845919616</v>
      </c>
      <c r="J171" s="306">
        <f t="shared" ca="1" si="72"/>
        <v>57.459871446540085</v>
      </c>
      <c r="K171" s="307">
        <f t="shared" ca="1" si="73"/>
        <v>307.40193510416759</v>
      </c>
      <c r="L171" s="304">
        <f t="shared" ca="1" si="58"/>
        <v>312.72605668930078</v>
      </c>
      <c r="M171" s="306">
        <f t="shared" ca="1" si="74"/>
        <v>1.3799250739155957</v>
      </c>
      <c r="N171" s="304">
        <f t="shared" ca="1" si="75"/>
        <v>79.063882779641801</v>
      </c>
      <c r="P171" s="310">
        <f t="shared" ca="1" si="76"/>
        <v>5</v>
      </c>
      <c r="Q171" s="304">
        <f t="shared" ca="1" si="77"/>
        <v>634.90999999999985</v>
      </c>
      <c r="R171" s="306">
        <f t="shared" ca="1" si="78"/>
        <v>0.31863174745065259</v>
      </c>
      <c r="S171" s="307">
        <f t="shared" ca="1" si="79"/>
        <v>5.4904546316259948</v>
      </c>
      <c r="T171" s="304">
        <f t="shared" ca="1" si="59"/>
        <v>53.861359936251013</v>
      </c>
      <c r="U171" s="311">
        <f t="shared" ca="1" si="60"/>
        <v>0</v>
      </c>
      <c r="V171" s="306">
        <f t="shared" ca="1" si="61"/>
        <v>1.1879132892818105</v>
      </c>
      <c r="W171" s="304">
        <f t="shared" ca="1" si="62"/>
        <v>244.23245293280269</v>
      </c>
      <c r="Y171" s="314" t="str">
        <f t="shared" ca="1" si="80"/>
        <v/>
      </c>
      <c r="Z171" s="315" t="str">
        <f t="shared" ca="1" si="81"/>
        <v/>
      </c>
      <c r="AA171" s="316" t="str">
        <f t="shared" ca="1" si="82"/>
        <v/>
      </c>
      <c r="AC171" s="310" t="e">
        <f t="shared" ca="1" si="83"/>
        <v>#N/A</v>
      </c>
      <c r="AD171" s="323" t="e">
        <f t="shared" ca="1" si="84"/>
        <v>#N/A</v>
      </c>
      <c r="AE171" s="324">
        <f t="shared" ca="1" si="63"/>
        <v>307.40193510416759</v>
      </c>
      <c r="AG171" s="306">
        <f t="shared" ca="1" si="85"/>
        <v>61.724519304573306</v>
      </c>
      <c r="AH171" s="304">
        <f t="shared" ca="1" si="86"/>
        <v>71.356496798951341</v>
      </c>
    </row>
    <row r="172" spans="1:34" x14ac:dyDescent="0.2">
      <c r="A172" s="347">
        <f t="shared" ca="1" si="64"/>
        <v>0.01</v>
      </c>
      <c r="B172" s="304">
        <f t="shared" ca="1" si="65"/>
        <v>1.6800000000000013</v>
      </c>
      <c r="D172" s="306">
        <f t="shared" ca="1" si="66"/>
        <v>13.456618029038701</v>
      </c>
      <c r="E172" s="307">
        <f t="shared" ca="1" si="67"/>
        <v>59.832772875929535</v>
      </c>
      <c r="F172" s="304">
        <f t="shared" ca="1" si="68"/>
        <v>61.327328971691067</v>
      </c>
      <c r="G172" s="306">
        <f t="shared" ca="1" si="69"/>
        <v>49.226245229681552</v>
      </c>
      <c r="H172" s="307">
        <f t="shared" ca="1" si="70"/>
        <v>254.66518514843233</v>
      </c>
      <c r="I172" s="304">
        <f t="shared" ca="1" si="71"/>
        <v>259.37921995814946</v>
      </c>
      <c r="J172" s="306">
        <f t="shared" ca="1" si="72"/>
        <v>57.951461067935448</v>
      </c>
      <c r="K172" s="307">
        <f t="shared" ca="1" si="73"/>
        <v>309.9455953170081</v>
      </c>
      <c r="L172" s="304">
        <f t="shared" ca="1" si="58"/>
        <v>315.31673583291291</v>
      </c>
      <c r="M172" s="306">
        <f t="shared" ca="1" si="74"/>
        <v>1.3798533218978941</v>
      </c>
      <c r="N172" s="304">
        <f t="shared" ca="1" si="75"/>
        <v>79.059771691855943</v>
      </c>
      <c r="P172" s="310">
        <f t="shared" ca="1" si="76"/>
        <v>5</v>
      </c>
      <c r="Q172" s="304">
        <f t="shared" ca="1" si="77"/>
        <v>633.44999999999982</v>
      </c>
      <c r="R172" s="306">
        <f t="shared" ca="1" si="78"/>
        <v>0.31789904147456471</v>
      </c>
      <c r="S172" s="307">
        <f t="shared" ca="1" si="79"/>
        <v>5.4872756412112489</v>
      </c>
      <c r="T172" s="304">
        <f t="shared" ca="1" si="59"/>
        <v>53.830174040282351</v>
      </c>
      <c r="U172" s="311">
        <f t="shared" ca="1" si="60"/>
        <v>0</v>
      </c>
      <c r="V172" s="306">
        <f t="shared" ca="1" si="61"/>
        <v>1.1876110909572422</v>
      </c>
      <c r="W172" s="304">
        <f t="shared" ca="1" si="62"/>
        <v>245.3285222964893</v>
      </c>
      <c r="Y172" s="314" t="str">
        <f t="shared" ca="1" si="80"/>
        <v/>
      </c>
      <c r="Z172" s="315" t="str">
        <f t="shared" ca="1" si="81"/>
        <v/>
      </c>
      <c r="AA172" s="316" t="str">
        <f t="shared" ca="1" si="82"/>
        <v/>
      </c>
      <c r="AC172" s="310" t="e">
        <f t="shared" ca="1" si="83"/>
        <v>#N/A</v>
      </c>
      <c r="AD172" s="323" t="e">
        <f t="shared" ca="1" si="84"/>
        <v>#N/A</v>
      </c>
      <c r="AE172" s="324">
        <f t="shared" ca="1" si="63"/>
        <v>309.9455953170081</v>
      </c>
      <c r="AG172" s="306">
        <f t="shared" ca="1" si="85"/>
        <v>61.299083126550755</v>
      </c>
      <c r="AH172" s="304">
        <f t="shared" ca="1" si="86"/>
        <v>70.930926841736365</v>
      </c>
    </row>
    <row r="173" spans="1:34" x14ac:dyDescent="0.2">
      <c r="A173" s="347">
        <f t="shared" ca="1" si="64"/>
        <v>0.01</v>
      </c>
      <c r="B173" s="304">
        <f t="shared" ca="1" si="65"/>
        <v>1.6900000000000013</v>
      </c>
      <c r="D173" s="306">
        <f t="shared" ca="1" si="66"/>
        <v>13.380944119345381</v>
      </c>
      <c r="E173" s="307">
        <f t="shared" ca="1" si="67"/>
        <v>59.414467470844784</v>
      </c>
      <c r="F173" s="304">
        <f t="shared" ca="1" si="68"/>
        <v>60.902615792502019</v>
      </c>
      <c r="G173" s="306">
        <f t="shared" ca="1" si="69"/>
        <v>49.360054670875009</v>
      </c>
      <c r="H173" s="307">
        <f t="shared" ca="1" si="70"/>
        <v>255.25932982314077</v>
      </c>
      <c r="I173" s="304">
        <f t="shared" ca="1" si="71"/>
        <v>259.98796214223211</v>
      </c>
      <c r="J173" s="306">
        <f t="shared" ca="1" si="72"/>
        <v>58.444392567438229</v>
      </c>
      <c r="K173" s="307">
        <f t="shared" ca="1" si="73"/>
        <v>312.49521789186599</v>
      </c>
      <c r="L173" s="304">
        <f t="shared" ca="1" si="58"/>
        <v>317.91352319123143</v>
      </c>
      <c r="M173" s="306">
        <f t="shared" ca="1" si="74"/>
        <v>1.3797817113001467</v>
      </c>
      <c r="N173" s="304">
        <f t="shared" ca="1" si="75"/>
        <v>79.055668706836613</v>
      </c>
      <c r="P173" s="310">
        <f t="shared" ca="1" si="76"/>
        <v>5</v>
      </c>
      <c r="Q173" s="304">
        <f t="shared" ca="1" si="77"/>
        <v>631.98999999999978</v>
      </c>
      <c r="R173" s="306">
        <f t="shared" ca="1" si="78"/>
        <v>0.31716633549847684</v>
      </c>
      <c r="S173" s="307">
        <f t="shared" ca="1" si="79"/>
        <v>5.4841039778562637</v>
      </c>
      <c r="T173" s="304">
        <f t="shared" ca="1" si="59"/>
        <v>53.79906002276995</v>
      </c>
      <c r="U173" s="311">
        <f t="shared" ca="1" si="60"/>
        <v>0</v>
      </c>
      <c r="V173" s="306">
        <f t="shared" ca="1" si="61"/>
        <v>1.1873082602298564</v>
      </c>
      <c r="W173" s="304">
        <f t="shared" ca="1" si="62"/>
        <v>246.4185555632838</v>
      </c>
      <c r="Y173" s="314" t="str">
        <f t="shared" ca="1" si="80"/>
        <v/>
      </c>
      <c r="Z173" s="315" t="str">
        <f t="shared" ca="1" si="81"/>
        <v/>
      </c>
      <c r="AA173" s="316" t="str">
        <f t="shared" ca="1" si="82"/>
        <v/>
      </c>
      <c r="AC173" s="310" t="e">
        <f t="shared" ca="1" si="83"/>
        <v>#N/A</v>
      </c>
      <c r="AD173" s="323" t="e">
        <f t="shared" ca="1" si="84"/>
        <v>#N/A</v>
      </c>
      <c r="AE173" s="324">
        <f t="shared" ca="1" si="63"/>
        <v>312.49521789186599</v>
      </c>
      <c r="AG173" s="306">
        <f t="shared" ca="1" si="85"/>
        <v>60.874151746347984</v>
      </c>
      <c r="AH173" s="304">
        <f t="shared" ca="1" si="86"/>
        <v>70.50586189918603</v>
      </c>
    </row>
    <row r="174" spans="1:34" x14ac:dyDescent="0.2">
      <c r="A174" s="347">
        <f t="shared" ca="1" si="64"/>
        <v>0.01</v>
      </c>
      <c r="B174" s="304">
        <f t="shared" ca="1" si="65"/>
        <v>1.7000000000000013</v>
      </c>
      <c r="D174" s="306">
        <f t="shared" ca="1" si="66"/>
        <v>13.305298420406769</v>
      </c>
      <c r="E174" s="307">
        <f t="shared" ca="1" si="67"/>
        <v>58.996681445876064</v>
      </c>
      <c r="F174" s="304">
        <f t="shared" ca="1" si="68"/>
        <v>60.478420843159057</v>
      </c>
      <c r="G174" s="306">
        <f t="shared" ca="1" si="69"/>
        <v>49.493107655079079</v>
      </c>
      <c r="H174" s="307">
        <f t="shared" ca="1" si="70"/>
        <v>255.84929663759954</v>
      </c>
      <c r="I174" s="304">
        <f t="shared" ca="1" si="71"/>
        <v>260.59246016589128</v>
      </c>
      <c r="J174" s="306">
        <f t="shared" ca="1" si="72"/>
        <v>58.938658379068002</v>
      </c>
      <c r="K174" s="307">
        <f t="shared" ca="1" si="73"/>
        <v>315.05076102416967</v>
      </c>
      <c r="L174" s="304">
        <f t="shared" ca="1" si="58"/>
        <v>320.51637629524163</v>
      </c>
      <c r="M174" s="306">
        <f t="shared" ca="1" si="74"/>
        <v>1.3797102403502901</v>
      </c>
      <c r="N174" s="304">
        <f t="shared" ca="1" si="75"/>
        <v>79.051573723052044</v>
      </c>
      <c r="P174" s="310">
        <f t="shared" ca="1" si="76"/>
        <v>5</v>
      </c>
      <c r="Q174" s="304">
        <f t="shared" ca="1" si="77"/>
        <v>630.52999999999975</v>
      </c>
      <c r="R174" s="306">
        <f t="shared" ca="1" si="78"/>
        <v>0.3164336295223889</v>
      </c>
      <c r="S174" s="307">
        <f t="shared" ca="1" si="79"/>
        <v>5.4809396415610401</v>
      </c>
      <c r="T174" s="304">
        <f t="shared" ca="1" si="59"/>
        <v>53.768017883713803</v>
      </c>
      <c r="U174" s="311">
        <f t="shared" ca="1" si="60"/>
        <v>0</v>
      </c>
      <c r="V174" s="306">
        <f t="shared" ca="1" si="61"/>
        <v>1.1870048025678523</v>
      </c>
      <c r="W174" s="304">
        <f t="shared" ca="1" si="62"/>
        <v>247.50250932336348</v>
      </c>
      <c r="Y174" s="314" t="str">
        <f t="shared" ca="1" si="80"/>
        <v/>
      </c>
      <c r="Z174" s="315" t="str">
        <f t="shared" ca="1" si="81"/>
        <v/>
      </c>
      <c r="AA174" s="316" t="str">
        <f t="shared" ca="1" si="82"/>
        <v/>
      </c>
      <c r="AC174" s="310" t="e">
        <f t="shared" ca="1" si="83"/>
        <v>#N/A</v>
      </c>
      <c r="AD174" s="323" t="e">
        <f t="shared" ca="1" si="84"/>
        <v>#N/A</v>
      </c>
      <c r="AE174" s="324">
        <f t="shared" ca="1" si="63"/>
        <v>315.05076102416967</v>
      </c>
      <c r="AG174" s="306">
        <f t="shared" ca="1" si="85"/>
        <v>60.449735809342357</v>
      </c>
      <c r="AH174" s="304">
        <f t="shared" ca="1" si="86"/>
        <v>70.081312613637209</v>
      </c>
    </row>
    <row r="175" spans="1:34" x14ac:dyDescent="0.2">
      <c r="A175" s="347">
        <f t="shared" ca="1" si="64"/>
        <v>0.01</v>
      </c>
      <c r="B175" s="304">
        <f t="shared" ca="1" si="65"/>
        <v>1.7100000000000013</v>
      </c>
      <c r="D175" s="306">
        <f t="shared" ca="1" si="66"/>
        <v>13.229683339031133</v>
      </c>
      <c r="E175" s="307">
        <f t="shared" ca="1" si="67"/>
        <v>58.57942506132828</v>
      </c>
      <c r="F175" s="304">
        <f t="shared" ca="1" si="68"/>
        <v>60.054754697416037</v>
      </c>
      <c r="G175" s="306">
        <f t="shared" ca="1" si="69"/>
        <v>49.625404488469393</v>
      </c>
      <c r="H175" s="307">
        <f t="shared" ca="1" si="70"/>
        <v>256.43509088821281</v>
      </c>
      <c r="I175" s="304">
        <f t="shared" ca="1" si="71"/>
        <v>261.19271928882353</v>
      </c>
      <c r="J175" s="306">
        <f t="shared" ca="1" si="72"/>
        <v>59.434250939785741</v>
      </c>
      <c r="K175" s="307">
        <f t="shared" ca="1" si="73"/>
        <v>317.61218296179874</v>
      </c>
      <c r="L175" s="304">
        <f t="shared" ca="1" si="58"/>
        <v>323.12525272799792</v>
      </c>
      <c r="M175" s="306">
        <f t="shared" ca="1" si="74"/>
        <v>1.3796389072961528</v>
      </c>
      <c r="N175" s="304">
        <f t="shared" ca="1" si="75"/>
        <v>79.047486640110193</v>
      </c>
      <c r="P175" s="310">
        <f t="shared" ca="1" si="76"/>
        <v>5</v>
      </c>
      <c r="Q175" s="304">
        <f t="shared" ca="1" si="77"/>
        <v>629.06999999999982</v>
      </c>
      <c r="R175" s="306">
        <f t="shared" ca="1" si="78"/>
        <v>0.31570092354630108</v>
      </c>
      <c r="S175" s="307">
        <f t="shared" ca="1" si="79"/>
        <v>5.4777826323255772</v>
      </c>
      <c r="T175" s="304">
        <f t="shared" ca="1" si="59"/>
        <v>53.737047623113916</v>
      </c>
      <c r="U175" s="311">
        <f t="shared" ca="1" si="60"/>
        <v>0</v>
      </c>
      <c r="V175" s="306">
        <f t="shared" ca="1" si="61"/>
        <v>1.1867007234290574</v>
      </c>
      <c r="W175" s="304">
        <f t="shared" ca="1" si="62"/>
        <v>248.58034093597092</v>
      </c>
      <c r="Y175" s="314" t="str">
        <f t="shared" ca="1" si="80"/>
        <v/>
      </c>
      <c r="Z175" s="315" t="str">
        <f t="shared" ca="1" si="81"/>
        <v/>
      </c>
      <c r="AA175" s="316" t="str">
        <f t="shared" ca="1" si="82"/>
        <v/>
      </c>
      <c r="AC175" s="310" t="e">
        <f t="shared" ca="1" si="83"/>
        <v>#N/A</v>
      </c>
      <c r="AD175" s="323" t="e">
        <f t="shared" ca="1" si="84"/>
        <v>#N/A</v>
      </c>
      <c r="AE175" s="324">
        <f t="shared" ca="1" si="63"/>
        <v>317.61218296179874</v>
      </c>
      <c r="AG175" s="306">
        <f t="shared" ca="1" si="85"/>
        <v>60.025845840510208</v>
      </c>
      <c r="AH175" s="304">
        <f t="shared" ca="1" si="86"/>
        <v>69.657289507057882</v>
      </c>
    </row>
    <row r="176" spans="1:34" x14ac:dyDescent="0.2">
      <c r="A176" s="347">
        <f t="shared" ca="1" si="64"/>
        <v>0.01</v>
      </c>
      <c r="B176" s="304">
        <f t="shared" ca="1" si="65"/>
        <v>1.7200000000000013</v>
      </c>
      <c r="D176" s="306">
        <f t="shared" ca="1" si="66"/>
        <v>13.154101257349623</v>
      </c>
      <c r="E176" s="307">
        <f t="shared" ca="1" si="67"/>
        <v>58.162708459534514</v>
      </c>
      <c r="F176" s="304">
        <f t="shared" ca="1" si="68"/>
        <v>59.63162780972371</v>
      </c>
      <c r="G176" s="306">
        <f t="shared" ca="1" si="69"/>
        <v>49.756945501042885</v>
      </c>
      <c r="H176" s="307">
        <f t="shared" ca="1" si="70"/>
        <v>257.01671797280818</v>
      </c>
      <c r="I176" s="304">
        <f t="shared" ca="1" si="71"/>
        <v>261.78874487477066</v>
      </c>
      <c r="J176" s="306">
        <f t="shared" ca="1" si="72"/>
        <v>59.931162689733306</v>
      </c>
      <c r="K176" s="307">
        <f t="shared" ca="1" si="73"/>
        <v>320.17944200610384</v>
      </c>
      <c r="L176" s="304">
        <f t="shared" ca="1" si="58"/>
        <v>325.7401101256695</v>
      </c>
      <c r="M176" s="306">
        <f t="shared" ca="1" si="74"/>
        <v>1.3795677104051263</v>
      </c>
      <c r="N176" s="304">
        <f t="shared" ca="1" si="75"/>
        <v>79.043407358739927</v>
      </c>
      <c r="P176" s="310">
        <f t="shared" ca="1" si="76"/>
        <v>5</v>
      </c>
      <c r="Q176" s="304">
        <f t="shared" ca="1" si="77"/>
        <v>627.60999999999979</v>
      </c>
      <c r="R176" s="306">
        <f t="shared" ca="1" si="78"/>
        <v>0.3149682175702132</v>
      </c>
      <c r="S176" s="307">
        <f t="shared" ca="1" si="79"/>
        <v>5.4746329501498749</v>
      </c>
      <c r="T176" s="304">
        <f t="shared" ca="1" si="59"/>
        <v>53.706149240970277</v>
      </c>
      <c r="U176" s="311">
        <f t="shared" ca="1" si="60"/>
        <v>0</v>
      </c>
      <c r="V176" s="306">
        <f t="shared" ca="1" si="61"/>
        <v>1.1863960282607864</v>
      </c>
      <c r="W176" s="304">
        <f t="shared" ca="1" si="62"/>
        <v>249.65200852684862</v>
      </c>
      <c r="Y176" s="314" t="str">
        <f t="shared" ca="1" si="80"/>
        <v/>
      </c>
      <c r="Z176" s="315" t="str">
        <f t="shared" ca="1" si="81"/>
        <v/>
      </c>
      <c r="AA176" s="316" t="str">
        <f t="shared" ca="1" si="82"/>
        <v/>
      </c>
      <c r="AC176" s="310" t="e">
        <f t="shared" ca="1" si="83"/>
        <v>#N/A</v>
      </c>
      <c r="AD176" s="323" t="e">
        <f t="shared" ca="1" si="84"/>
        <v>#N/A</v>
      </c>
      <c r="AE176" s="324">
        <f t="shared" ca="1" si="63"/>
        <v>320.17944200610384</v>
      </c>
      <c r="AG176" s="306">
        <f t="shared" ca="1" si="85"/>
        <v>59.602492244391449</v>
      </c>
      <c r="AH176" s="304">
        <f t="shared" ca="1" si="86"/>
        <v>69.233802981011252</v>
      </c>
    </row>
    <row r="177" spans="1:34" x14ac:dyDescent="0.2">
      <c r="A177" s="347">
        <f t="shared" ca="1" si="64"/>
        <v>0.01</v>
      </c>
      <c r="B177" s="304">
        <f t="shared" ca="1" si="65"/>
        <v>1.7300000000000013</v>
      </c>
      <c r="D177" s="306">
        <f t="shared" ca="1" si="66"/>
        <v>13.0785545328295</v>
      </c>
      <c r="E177" s="307">
        <f t="shared" ca="1" si="67"/>
        <v>57.746541664837039</v>
      </c>
      <c r="F177" s="304">
        <f t="shared" ca="1" si="68"/>
        <v>59.20905051524602</v>
      </c>
      <c r="G177" s="306">
        <f t="shared" ca="1" si="69"/>
        <v>49.887731046371179</v>
      </c>
      <c r="H177" s="307">
        <f t="shared" ca="1" si="70"/>
        <v>257.59418338945653</v>
      </c>
      <c r="I177" s="304">
        <f t="shared" ca="1" si="71"/>
        <v>262.38054239031527</v>
      </c>
      <c r="J177" s="306">
        <f t="shared" ca="1" si="72"/>
        <v>60.429386072470379</v>
      </c>
      <c r="K177" s="307">
        <f t="shared" ca="1" si="73"/>
        <v>322.75249651291517</v>
      </c>
      <c r="L177" s="304">
        <f t="shared" ca="1" si="58"/>
        <v>328.36090617857508</v>
      </c>
      <c r="M177" s="306">
        <f t="shared" ca="1" si="74"/>
        <v>1.3794966479638437</v>
      </c>
      <c r="N177" s="304">
        <f t="shared" ca="1" si="75"/>
        <v>79.039335780772532</v>
      </c>
      <c r="P177" s="310">
        <f t="shared" ca="1" si="76"/>
        <v>5</v>
      </c>
      <c r="Q177" s="304">
        <f t="shared" ca="1" si="77"/>
        <v>626.14999999999975</v>
      </c>
      <c r="R177" s="306">
        <f t="shared" ca="1" si="78"/>
        <v>0.31423551159412527</v>
      </c>
      <c r="S177" s="307">
        <f t="shared" ca="1" si="79"/>
        <v>5.4714905950339334</v>
      </c>
      <c r="T177" s="304">
        <f t="shared" ca="1" si="59"/>
        <v>53.67532273728289</v>
      </c>
      <c r="U177" s="311">
        <f t="shared" ca="1" si="60"/>
        <v>0</v>
      </c>
      <c r="V177" s="306">
        <f t="shared" ca="1" si="61"/>
        <v>1.1860907224997046</v>
      </c>
      <c r="W177" s="304">
        <f t="shared" ca="1" si="62"/>
        <v>250.71747098558913</v>
      </c>
      <c r="Y177" s="314" t="str">
        <f t="shared" ca="1" si="80"/>
        <v/>
      </c>
      <c r="Z177" s="315" t="str">
        <f t="shared" ca="1" si="81"/>
        <v/>
      </c>
      <c r="AA177" s="316" t="str">
        <f t="shared" ca="1" si="82"/>
        <v/>
      </c>
      <c r="AC177" s="310" t="e">
        <f t="shared" ca="1" si="83"/>
        <v>#N/A</v>
      </c>
      <c r="AD177" s="323" t="e">
        <f t="shared" ca="1" si="84"/>
        <v>#N/A</v>
      </c>
      <c r="AE177" s="324">
        <f t="shared" ca="1" si="63"/>
        <v>322.75249651291517</v>
      </c>
      <c r="AG177" s="306">
        <f t="shared" ca="1" si="85"/>
        <v>59.179685305072546</v>
      </c>
      <c r="AH177" s="304">
        <f t="shared" ca="1" si="86"/>
        <v>68.810863316638148</v>
      </c>
    </row>
    <row r="178" spans="1:34" x14ac:dyDescent="0.2">
      <c r="A178" s="347">
        <f t="shared" ca="1" si="64"/>
        <v>0.01</v>
      </c>
      <c r="B178" s="304">
        <f t="shared" ca="1" si="65"/>
        <v>1.7400000000000013</v>
      </c>
      <c r="D178" s="306">
        <f t="shared" ca="1" si="66"/>
        <v>13.003045498289856</v>
      </c>
      <c r="E178" s="307">
        <f t="shared" ca="1" si="67"/>
        <v>57.330934583585659</v>
      </c>
      <c r="F178" s="304">
        <f t="shared" ca="1" si="68"/>
        <v>58.787033029895078</v>
      </c>
      <c r="G178" s="306">
        <f t="shared" ca="1" si="69"/>
        <v>50.01776150135408</v>
      </c>
      <c r="H178" s="307">
        <f t="shared" ca="1" si="70"/>
        <v>258.1674927352924</v>
      </c>
      <c r="I178" s="304">
        <f t="shared" ca="1" si="71"/>
        <v>262.9681174036761</v>
      </c>
      <c r="J178" s="306">
        <f t="shared" ca="1" si="72"/>
        <v>60.928913535209006</v>
      </c>
      <c r="K178" s="307">
        <f t="shared" ca="1" si="73"/>
        <v>325.33130489353891</v>
      </c>
      <c r="L178" s="304">
        <f t="shared" ca="1" si="58"/>
        <v>330.98759863220516</v>
      </c>
      <c r="M178" s="306">
        <f t="shared" ca="1" si="74"/>
        <v>1.3794257182778631</v>
      </c>
      <c r="N178" s="304">
        <f t="shared" ca="1" si="75"/>
        <v>79.035271809123657</v>
      </c>
      <c r="P178" s="310">
        <f t="shared" ca="1" si="76"/>
        <v>5</v>
      </c>
      <c r="Q178" s="304">
        <f t="shared" ca="1" si="77"/>
        <v>624.68999999999983</v>
      </c>
      <c r="R178" s="306">
        <f t="shared" ca="1" si="78"/>
        <v>0.31350280561803745</v>
      </c>
      <c r="S178" s="307">
        <f t="shared" ca="1" si="79"/>
        <v>5.4683555669777535</v>
      </c>
      <c r="T178" s="304">
        <f t="shared" ca="1" si="59"/>
        <v>53.644568112051765</v>
      </c>
      <c r="U178" s="311">
        <f t="shared" ca="1" si="60"/>
        <v>0</v>
      </c>
      <c r="V178" s="306">
        <f t="shared" ca="1" si="61"/>
        <v>1.1857848115716931</v>
      </c>
      <c r="W178" s="304">
        <f t="shared" ca="1" si="62"/>
        <v>251.77668796290052</v>
      </c>
      <c r="Y178" s="314" t="str">
        <f t="shared" ca="1" si="80"/>
        <v/>
      </c>
      <c r="Z178" s="315" t="str">
        <f t="shared" ca="1" si="81"/>
        <v/>
      </c>
      <c r="AA178" s="316" t="str">
        <f t="shared" ca="1" si="82"/>
        <v/>
      </c>
      <c r="AC178" s="310" t="e">
        <f t="shared" ca="1" si="83"/>
        <v>#N/A</v>
      </c>
      <c r="AD178" s="323" t="e">
        <f t="shared" ca="1" si="84"/>
        <v>#N/A</v>
      </c>
      <c r="AE178" s="324">
        <f t="shared" ca="1" si="63"/>
        <v>325.33130489353891</v>
      </c>
      <c r="AG178" s="306">
        <f t="shared" ca="1" si="85"/>
        <v>58.757435186186889</v>
      </c>
      <c r="AH178" s="304">
        <f t="shared" ca="1" si="86"/>
        <v>68.388480674656932</v>
      </c>
    </row>
    <row r="179" spans="1:34" x14ac:dyDescent="0.2">
      <c r="A179" s="347">
        <f t="shared" ca="1" si="64"/>
        <v>0.01</v>
      </c>
      <c r="B179" s="304">
        <f t="shared" ca="1" si="65"/>
        <v>1.7500000000000013</v>
      </c>
      <c r="D179" s="306">
        <f t="shared" ca="1" si="66"/>
        <v>12.92757646192006</v>
      </c>
      <c r="E179" s="307">
        <f t="shared" ca="1" si="67"/>
        <v>56.915897004153834</v>
      </c>
      <c r="F179" s="304">
        <f t="shared" ca="1" si="68"/>
        <v>58.365585450385375</v>
      </c>
      <c r="G179" s="306">
        <f t="shared" ca="1" si="69"/>
        <v>50.147037265973282</v>
      </c>
      <c r="H179" s="307">
        <f t="shared" ca="1" si="70"/>
        <v>258.73665170533394</v>
      </c>
      <c r="I179" s="304">
        <f t="shared" ca="1" si="71"/>
        <v>263.55147558350382</v>
      </c>
      <c r="J179" s="306">
        <f t="shared" ca="1" si="72"/>
        <v>61.429737529045646</v>
      </c>
      <c r="K179" s="307">
        <f t="shared" ca="1" si="73"/>
        <v>327.91582561574205</v>
      </c>
      <c r="L179" s="304">
        <f t="shared" ca="1" si="58"/>
        <v>333.62014528823227</v>
      </c>
      <c r="M179" s="306">
        <f t="shared" ca="1" si="74"/>
        <v>1.3793549196713579</v>
      </c>
      <c r="N179" s="304">
        <f t="shared" ca="1" si="75"/>
        <v>79.0312153477755</v>
      </c>
      <c r="P179" s="310">
        <f t="shared" ca="1" si="76"/>
        <v>5</v>
      </c>
      <c r="Q179" s="304">
        <f t="shared" ca="1" si="77"/>
        <v>623.22999999999979</v>
      </c>
      <c r="R179" s="306">
        <f t="shared" ca="1" si="78"/>
        <v>0.31277009964194957</v>
      </c>
      <c r="S179" s="307">
        <f t="shared" ca="1" si="79"/>
        <v>5.4652278659813343</v>
      </c>
      <c r="T179" s="304">
        <f t="shared" ca="1" si="59"/>
        <v>53.613885365276893</v>
      </c>
      <c r="U179" s="311">
        <f t="shared" ca="1" si="60"/>
        <v>0</v>
      </c>
      <c r="V179" s="306">
        <f t="shared" ca="1" si="61"/>
        <v>1.1854783008917131</v>
      </c>
      <c r="W179" s="304">
        <f t="shared" ca="1" si="62"/>
        <v>252.82961986779137</v>
      </c>
      <c r="Y179" s="314" t="str">
        <f t="shared" ca="1" si="80"/>
        <v/>
      </c>
      <c r="Z179" s="315" t="str">
        <f t="shared" ca="1" si="81"/>
        <v/>
      </c>
      <c r="AA179" s="316" t="str">
        <f t="shared" ca="1" si="82"/>
        <v/>
      </c>
      <c r="AC179" s="310" t="e">
        <f t="shared" ca="1" si="83"/>
        <v>#N/A</v>
      </c>
      <c r="AD179" s="323" t="e">
        <f t="shared" ca="1" si="84"/>
        <v>#N/A</v>
      </c>
      <c r="AE179" s="324">
        <f t="shared" ca="1" si="63"/>
        <v>327.91582561574205</v>
      </c>
      <c r="AG179" s="306">
        <f t="shared" ca="1" si="85"/>
        <v>58.335751930933206</v>
      </c>
      <c r="AH179" s="304">
        <f t="shared" ca="1" si="86"/>
        <v>67.966665095381387</v>
      </c>
    </row>
    <row r="180" spans="1:34" x14ac:dyDescent="0.2">
      <c r="A180" s="347">
        <f t="shared" ca="1" si="64"/>
        <v>0.01</v>
      </c>
      <c r="B180" s="304">
        <f t="shared" ca="1" si="65"/>
        <v>1.7600000000000013</v>
      </c>
      <c r="D180" s="306">
        <f t="shared" ca="1" si="66"/>
        <v>12.852149707300631</v>
      </c>
      <c r="E180" s="307">
        <f t="shared" ca="1" si="67"/>
        <v>56.501438596971994</v>
      </c>
      <c r="F180" s="304">
        <f t="shared" ca="1" si="68"/>
        <v>57.944717754306687</v>
      </c>
      <c r="G180" s="306">
        <f t="shared" ca="1" si="69"/>
        <v>50.275558763046291</v>
      </c>
      <c r="H180" s="307">
        <f t="shared" ca="1" si="70"/>
        <v>259.30166609130367</v>
      </c>
      <c r="I180" s="304">
        <f t="shared" ca="1" si="71"/>
        <v>264.13062269767676</v>
      </c>
      <c r="J180" s="306">
        <f t="shared" ca="1" si="72"/>
        <v>61.931850509190745</v>
      </c>
      <c r="K180" s="307">
        <f t="shared" ca="1" si="73"/>
        <v>330.50601720472525</v>
      </c>
      <c r="L180" s="304">
        <f t="shared" ca="1" si="58"/>
        <v>336.258504005509</v>
      </c>
      <c r="M180" s="306">
        <f t="shared" ca="1" si="74"/>
        <v>1.3792842504868137</v>
      </c>
      <c r="N180" s="304">
        <f t="shared" ca="1" si="75"/>
        <v>79.027166301759493</v>
      </c>
      <c r="P180" s="310">
        <f t="shared" ca="1" si="76"/>
        <v>5</v>
      </c>
      <c r="Q180" s="304">
        <f t="shared" ca="1" si="77"/>
        <v>621.76999999999975</v>
      </c>
      <c r="R180" s="306">
        <f t="shared" ca="1" si="78"/>
        <v>0.3120373936658617</v>
      </c>
      <c r="S180" s="307">
        <f t="shared" ca="1" si="79"/>
        <v>5.4621074920446757</v>
      </c>
      <c r="T180" s="304">
        <f t="shared" ca="1" si="59"/>
        <v>53.583274496958275</v>
      </c>
      <c r="U180" s="311">
        <f t="shared" ca="1" si="60"/>
        <v>0</v>
      </c>
      <c r="V180" s="306">
        <f t="shared" ca="1" si="61"/>
        <v>1.1851711958636773</v>
      </c>
      <c r="W180" s="304">
        <f t="shared" ca="1" si="62"/>
        <v>253.87622786467381</v>
      </c>
      <c r="Y180" s="314" t="str">
        <f t="shared" ca="1" si="80"/>
        <v/>
      </c>
      <c r="Z180" s="315" t="str">
        <f t="shared" ca="1" si="81"/>
        <v/>
      </c>
      <c r="AA180" s="316" t="str">
        <f t="shared" ca="1" si="82"/>
        <v/>
      </c>
      <c r="AC180" s="310" t="e">
        <f t="shared" ca="1" si="83"/>
        <v>#N/A</v>
      </c>
      <c r="AD180" s="323" t="e">
        <f t="shared" ca="1" si="84"/>
        <v>#N/A</v>
      </c>
      <c r="AE180" s="324">
        <f t="shared" ca="1" si="63"/>
        <v>330.50601720472525</v>
      </c>
      <c r="AG180" s="306">
        <f t="shared" ca="1" si="85"/>
        <v>57.91464546211138</v>
      </c>
      <c r="AH180" s="304">
        <f t="shared" ca="1" si="86"/>
        <v>67.545426498756044</v>
      </c>
    </row>
    <row r="181" spans="1:34" x14ac:dyDescent="0.2">
      <c r="A181" s="347">
        <f t="shared" ca="1" si="64"/>
        <v>0.01</v>
      </c>
      <c r="B181" s="304">
        <f t="shared" ca="1" si="65"/>
        <v>1.7700000000000014</v>
      </c>
      <c r="D181" s="306">
        <f t="shared" ca="1" si="66"/>
        <v>12.776767493426714</v>
      </c>
      <c r="E181" s="307">
        <f t="shared" ca="1" si="67"/>
        <v>56.087568914578</v>
      </c>
      <c r="F181" s="304">
        <f t="shared" ca="1" si="68"/>
        <v>57.524439800215539</v>
      </c>
      <c r="G181" s="306">
        <f t="shared" ca="1" si="69"/>
        <v>50.40332643798056</v>
      </c>
      <c r="H181" s="307">
        <f t="shared" ca="1" si="70"/>
        <v>259.86254178044948</v>
      </c>
      <c r="I181" s="304">
        <f t="shared" ca="1" si="71"/>
        <v>264.70556461209782</v>
      </c>
      <c r="J181" s="306">
        <f t="shared" ca="1" si="72"/>
        <v>62.435244935195882</v>
      </c>
      <c r="K181" s="307">
        <f t="shared" ca="1" si="73"/>
        <v>333.10183824408404</v>
      </c>
      <c r="L181" s="304">
        <f t="shared" ca="1" si="58"/>
        <v>338.90263270105447</v>
      </c>
      <c r="M181" s="306">
        <f t="shared" ca="1" si="74"/>
        <v>1.3792137090847303</v>
      </c>
      <c r="N181" s="304">
        <f t="shared" ca="1" si="75"/>
        <v>79.023124577139171</v>
      </c>
      <c r="P181" s="310">
        <f t="shared" ca="1" si="76"/>
        <v>5</v>
      </c>
      <c r="Q181" s="304">
        <f t="shared" ca="1" si="77"/>
        <v>620.30999999999983</v>
      </c>
      <c r="R181" s="306">
        <f t="shared" ca="1" si="78"/>
        <v>0.31130468768977382</v>
      </c>
      <c r="S181" s="307">
        <f t="shared" ca="1" si="79"/>
        <v>5.4589944451677779</v>
      </c>
      <c r="T181" s="304">
        <f t="shared" ca="1" si="59"/>
        <v>53.552735507095903</v>
      </c>
      <c r="U181" s="311">
        <f t="shared" ca="1" si="60"/>
        <v>0</v>
      </c>
      <c r="V181" s="306">
        <f t="shared" ca="1" si="61"/>
        <v>1.1848635018803171</v>
      </c>
      <c r="W181" s="304">
        <f t="shared" ca="1" si="62"/>
        <v>254.91647387039038</v>
      </c>
      <c r="Y181" s="314" t="str">
        <f t="shared" ca="1" si="80"/>
        <v/>
      </c>
      <c r="Z181" s="315" t="str">
        <f t="shared" ca="1" si="81"/>
        <v/>
      </c>
      <c r="AA181" s="316" t="str">
        <f t="shared" ca="1" si="82"/>
        <v/>
      </c>
      <c r="AC181" s="310" t="e">
        <f t="shared" ca="1" si="83"/>
        <v>#N/A</v>
      </c>
      <c r="AD181" s="323" t="e">
        <f t="shared" ca="1" si="84"/>
        <v>#N/A</v>
      </c>
      <c r="AE181" s="324">
        <f t="shared" ca="1" si="63"/>
        <v>333.10183824408404</v>
      </c>
      <c r="AG181" s="306">
        <f t="shared" ca="1" si="85"/>
        <v>57.494125582175499</v>
      </c>
      <c r="AH181" s="304">
        <f t="shared" ca="1" si="86"/>
        <v>67.124774684408749</v>
      </c>
    </row>
    <row r="182" spans="1:34" x14ac:dyDescent="0.2">
      <c r="A182" s="347">
        <f t="shared" ca="1" si="64"/>
        <v>0.01</v>
      </c>
      <c r="B182" s="304">
        <f t="shared" ca="1" si="65"/>
        <v>1.7800000000000014</v>
      </c>
      <c r="D182" s="306">
        <f t="shared" ca="1" si="66"/>
        <v>12.701432054733962</v>
      </c>
      <c r="E182" s="307">
        <f t="shared" ca="1" si="67"/>
        <v>55.674297391683908</v>
      </c>
      <c r="F182" s="304">
        <f t="shared" ca="1" si="68"/>
        <v>57.104761327744683</v>
      </c>
      <c r="G182" s="306">
        <f t="shared" ca="1" si="69"/>
        <v>50.530340758527899</v>
      </c>
      <c r="H182" s="307">
        <f t="shared" ca="1" si="70"/>
        <v>260.41928475436629</v>
      </c>
      <c r="I182" s="304">
        <f t="shared" ca="1" si="71"/>
        <v>265.2763072894914</v>
      </c>
      <c r="J182" s="306">
        <f t="shared" ca="1" si="72"/>
        <v>62.939913271178426</v>
      </c>
      <c r="K182" s="307">
        <f t="shared" ca="1" si="73"/>
        <v>335.7032473767581</v>
      </c>
      <c r="L182" s="304">
        <f t="shared" ca="1" si="58"/>
        <v>341.55248935102827</v>
      </c>
      <c r="M182" s="306">
        <f t="shared" ca="1" si="74"/>
        <v>1.3791432938433308</v>
      </c>
      <c r="N182" s="304">
        <f t="shared" ca="1" si="75"/>
        <v>79.019090080993593</v>
      </c>
      <c r="P182" s="310">
        <f t="shared" ca="1" si="76"/>
        <v>5</v>
      </c>
      <c r="Q182" s="304">
        <f t="shared" ca="1" si="77"/>
        <v>618.8499999999998</v>
      </c>
      <c r="R182" s="306">
        <f t="shared" ca="1" si="78"/>
        <v>0.31057198171368594</v>
      </c>
      <c r="S182" s="307">
        <f t="shared" ca="1" si="79"/>
        <v>5.4558887253506407</v>
      </c>
      <c r="T182" s="304">
        <f t="shared" ca="1" si="59"/>
        <v>53.522268395689785</v>
      </c>
      <c r="U182" s="311">
        <f t="shared" ca="1" si="60"/>
        <v>0</v>
      </c>
      <c r="V182" s="306">
        <f t="shared" ca="1" si="61"/>
        <v>1.1845552243230559</v>
      </c>
      <c r="W182" s="304">
        <f t="shared" ca="1" si="62"/>
        <v>255.95032055116064</v>
      </c>
      <c r="Y182" s="314" t="str">
        <f t="shared" ca="1" si="80"/>
        <v/>
      </c>
      <c r="Z182" s="315" t="str">
        <f t="shared" ca="1" si="81"/>
        <v/>
      </c>
      <c r="AA182" s="316" t="str">
        <f t="shared" ca="1" si="82"/>
        <v/>
      </c>
      <c r="AC182" s="310" t="e">
        <f t="shared" ca="1" si="83"/>
        <v>#N/A</v>
      </c>
      <c r="AD182" s="323" t="e">
        <f t="shared" ca="1" si="84"/>
        <v>#N/A</v>
      </c>
      <c r="AE182" s="324">
        <f t="shared" ca="1" si="63"/>
        <v>335.7032473767581</v>
      </c>
      <c r="AG182" s="306">
        <f t="shared" ca="1" si="85"/>
        <v>57.074201973303516</v>
      </c>
      <c r="AH182" s="304">
        <f t="shared" ca="1" si="86"/>
        <v>66.704719331719872</v>
      </c>
    </row>
    <row r="183" spans="1:34" x14ac:dyDescent="0.2">
      <c r="A183" s="347">
        <f t="shared" ca="1" si="64"/>
        <v>0.01</v>
      </c>
      <c r="B183" s="304">
        <f t="shared" ca="1" si="65"/>
        <v>1.7900000000000014</v>
      </c>
      <c r="D183" s="306">
        <f t="shared" ca="1" si="66"/>
        <v>12.626145601127044</v>
      </c>
      <c r="E183" s="307">
        <f t="shared" ca="1" si="67"/>
        <v>55.26163334526035</v>
      </c>
      <c r="F183" s="304">
        <f t="shared" ca="1" si="68"/>
        <v>56.68569195773172</v>
      </c>
      <c r="G183" s="306">
        <f t="shared" ca="1" si="69"/>
        <v>50.65660221453917</v>
      </c>
      <c r="H183" s="307">
        <f t="shared" ca="1" si="70"/>
        <v>260.97190108781888</v>
      </c>
      <c r="I183" s="304">
        <f t="shared" ca="1" si="71"/>
        <v>265.84285678820186</v>
      </c>
      <c r="J183" s="306">
        <f t="shared" ca="1" si="72"/>
        <v>63.445847986043759</v>
      </c>
      <c r="K183" s="307">
        <f t="shared" ca="1" si="73"/>
        <v>338.31020330596903</v>
      </c>
      <c r="L183" s="304">
        <f t="shared" ca="1" si="58"/>
        <v>344.20803199169291</v>
      </c>
      <c r="M183" s="306">
        <f t="shared" ca="1" si="74"/>
        <v>1.3790730031582743</v>
      </c>
      <c r="N183" s="304">
        <f t="shared" ca="1" si="75"/>
        <v>79.015062721400767</v>
      </c>
      <c r="P183" s="310">
        <f t="shared" ca="1" si="76"/>
        <v>5</v>
      </c>
      <c r="Q183" s="304">
        <f t="shared" ca="1" si="77"/>
        <v>617.38999999999976</v>
      </c>
      <c r="R183" s="306">
        <f t="shared" ca="1" si="78"/>
        <v>0.30983927573759806</v>
      </c>
      <c r="S183" s="307">
        <f t="shared" ca="1" si="79"/>
        <v>5.4527903325932652</v>
      </c>
      <c r="T183" s="304">
        <f t="shared" ca="1" si="59"/>
        <v>53.491873162739935</v>
      </c>
      <c r="U183" s="311">
        <f t="shared" ca="1" si="60"/>
        <v>0</v>
      </c>
      <c r="V183" s="306">
        <f t="shared" ca="1" si="61"/>
        <v>1.1842463685618831</v>
      </c>
      <c r="W183" s="304">
        <f t="shared" ca="1" si="62"/>
        <v>256.97773131945507</v>
      </c>
      <c r="Y183" s="314" t="str">
        <f t="shared" ca="1" si="80"/>
        <v/>
      </c>
      <c r="Z183" s="315" t="str">
        <f t="shared" ca="1" si="81"/>
        <v/>
      </c>
      <c r="AA183" s="316" t="str">
        <f t="shared" ca="1" si="82"/>
        <v/>
      </c>
      <c r="AC183" s="310" t="e">
        <f t="shared" ca="1" si="83"/>
        <v>#N/A</v>
      </c>
      <c r="AD183" s="323" t="e">
        <f t="shared" ca="1" si="84"/>
        <v>#N/A</v>
      </c>
      <c r="AE183" s="324">
        <f t="shared" ca="1" si="63"/>
        <v>338.31020330596903</v>
      </c>
      <c r="AG183" s="306">
        <f t="shared" ca="1" si="85"/>
        <v>56.654884197484613</v>
      </c>
      <c r="AH183" s="304">
        <f t="shared" ca="1" si="86"/>
        <v>66.285269999909175</v>
      </c>
    </row>
    <row r="184" spans="1:34" x14ac:dyDescent="0.2">
      <c r="A184" s="347">
        <f t="shared" ca="1" si="64"/>
        <v>0.01</v>
      </c>
      <c r="B184" s="304">
        <f t="shared" ca="1" si="65"/>
        <v>1.8000000000000014</v>
      </c>
      <c r="D184" s="306">
        <f t="shared" ca="1" si="66"/>
        <v>12.550910318010596</v>
      </c>
      <c r="E184" s="307">
        <f t="shared" ca="1" si="67"/>
        <v>54.849585974636312</v>
      </c>
      <c r="F184" s="304">
        <f t="shared" ca="1" si="68"/>
        <v>56.267241192364899</v>
      </c>
      <c r="G184" s="306">
        <f t="shared" ca="1" si="69"/>
        <v>50.782111317719277</v>
      </c>
      <c r="H184" s="307">
        <f t="shared" ca="1" si="70"/>
        <v>261.52039694756525</v>
      </c>
      <c r="I184" s="304">
        <f t="shared" ca="1" si="71"/>
        <v>266.40521926099217</v>
      </c>
      <c r="J184" s="306">
        <f t="shared" ca="1" si="72"/>
        <v>63.953041553705049</v>
      </c>
      <c r="K184" s="307">
        <f t="shared" ca="1" si="73"/>
        <v>340.92266479614597</v>
      </c>
      <c r="L184" s="304">
        <f t="shared" ca="1" si="58"/>
        <v>346.86921872036328</v>
      </c>
      <c r="M184" s="306">
        <f t="shared" ca="1" si="74"/>
        <v>1.3790028354423758</v>
      </c>
      <c r="N184" s="304">
        <f t="shared" ca="1" si="75"/>
        <v>79.011042407421712</v>
      </c>
      <c r="P184" s="310">
        <f t="shared" ca="1" si="76"/>
        <v>5</v>
      </c>
      <c r="Q184" s="304">
        <f t="shared" ca="1" si="77"/>
        <v>615.92999999999984</v>
      </c>
      <c r="R184" s="306">
        <f t="shared" ca="1" si="78"/>
        <v>0.30910656976151019</v>
      </c>
      <c r="S184" s="307">
        <f t="shared" ca="1" si="79"/>
        <v>5.4496992668956503</v>
      </c>
      <c r="T184" s="304">
        <f t="shared" ca="1" si="59"/>
        <v>53.461549808246332</v>
      </c>
      <c r="U184" s="311">
        <f t="shared" ca="1" si="60"/>
        <v>0</v>
      </c>
      <c r="V184" s="306">
        <f t="shared" ca="1" si="61"/>
        <v>1.1839369399552293</v>
      </c>
      <c r="W184" s="304">
        <f t="shared" ca="1" si="62"/>
        <v>257.99867033079272</v>
      </c>
      <c r="Y184" s="314" t="str">
        <f t="shared" ca="1" si="80"/>
        <v/>
      </c>
      <c r="Z184" s="315" t="str">
        <f t="shared" ca="1" si="81"/>
        <v/>
      </c>
      <c r="AA184" s="316" t="str">
        <f t="shared" ca="1" si="82"/>
        <v/>
      </c>
      <c r="AC184" s="310" t="e">
        <f t="shared" ca="1" si="83"/>
        <v>#N/A</v>
      </c>
      <c r="AD184" s="323" t="e">
        <f t="shared" ca="1" si="84"/>
        <v>#N/A</v>
      </c>
      <c r="AE184" s="324">
        <f t="shared" ca="1" si="63"/>
        <v>340.92266479614597</v>
      </c>
      <c r="AG184" s="306">
        <f t="shared" ca="1" si="85"/>
        <v>56.236181696622175</v>
      </c>
      <c r="AH184" s="304">
        <f t="shared" ca="1" si="86"/>
        <v>65.866436128138361</v>
      </c>
    </row>
    <row r="185" spans="1:34" x14ac:dyDescent="0.2">
      <c r="A185" s="347">
        <f t="shared" ca="1" si="64"/>
        <v>0.01</v>
      </c>
      <c r="B185" s="304">
        <f t="shared" ca="1" si="65"/>
        <v>1.8100000000000014</v>
      </c>
      <c r="D185" s="306">
        <f t="shared" ca="1" si="66"/>
        <v>12.475728366322606</v>
      </c>
      <c r="E185" s="307">
        <f t="shared" ca="1" si="67"/>
        <v>54.43816436161562</v>
      </c>
      <c r="F185" s="304">
        <f t="shared" ca="1" si="68"/>
        <v>55.84941841534738</v>
      </c>
      <c r="G185" s="306">
        <f t="shared" ca="1" si="69"/>
        <v>50.906868601382506</v>
      </c>
      <c r="H185" s="307">
        <f t="shared" ca="1" si="70"/>
        <v>262.06477859118138</v>
      </c>
      <c r="I185" s="304">
        <f t="shared" ca="1" si="71"/>
        <v>266.96340095384488</v>
      </c>
      <c r="J185" s="306">
        <f t="shared" ca="1" si="72"/>
        <v>64.461486453300552</v>
      </c>
      <c r="K185" s="307">
        <f t="shared" ca="1" si="73"/>
        <v>343.54059067383969</v>
      </c>
      <c r="L185" s="304">
        <f t="shared" ca="1" si="58"/>
        <v>349.53600769634551</v>
      </c>
      <c r="M185" s="306">
        <f t="shared" ca="1" si="74"/>
        <v>1.3789327891253311</v>
      </c>
      <c r="N185" s="304">
        <f t="shared" ca="1" si="75"/>
        <v>79.007029049084608</v>
      </c>
      <c r="P185" s="310">
        <f t="shared" ca="1" si="76"/>
        <v>5</v>
      </c>
      <c r="Q185" s="304">
        <f t="shared" ca="1" si="77"/>
        <v>614.4699999999998</v>
      </c>
      <c r="R185" s="306">
        <f t="shared" ca="1" si="78"/>
        <v>0.30837386378542231</v>
      </c>
      <c r="S185" s="307">
        <f t="shared" ca="1" si="79"/>
        <v>5.4466155282577962</v>
      </c>
      <c r="T185" s="304">
        <f t="shared" ca="1" si="59"/>
        <v>53.431298332208982</v>
      </c>
      <c r="U185" s="311">
        <f t="shared" ca="1" si="60"/>
        <v>0</v>
      </c>
      <c r="V185" s="306">
        <f t="shared" ca="1" si="61"/>
        <v>1.1836269438498452</v>
      </c>
      <c r="W185" s="304">
        <f t="shared" ca="1" si="62"/>
        <v>259.01310248046889</v>
      </c>
      <c r="Y185" s="314" t="str">
        <f t="shared" ca="1" si="80"/>
        <v/>
      </c>
      <c r="Z185" s="315" t="str">
        <f t="shared" ca="1" si="81"/>
        <v/>
      </c>
      <c r="AA185" s="316" t="str">
        <f t="shared" ca="1" si="82"/>
        <v/>
      </c>
      <c r="AC185" s="310" t="e">
        <f t="shared" ca="1" si="83"/>
        <v>#N/A</v>
      </c>
      <c r="AD185" s="323" t="e">
        <f t="shared" ca="1" si="84"/>
        <v>#N/A</v>
      </c>
      <c r="AE185" s="324">
        <f t="shared" ca="1" si="63"/>
        <v>343.54059067383969</v>
      </c>
      <c r="AG185" s="306">
        <f t="shared" ca="1" si="85"/>
        <v>55.818103792653737</v>
      </c>
      <c r="AH185" s="304">
        <f t="shared" ca="1" si="86"/>
        <v>65.448227035630552</v>
      </c>
    </row>
    <row r="186" spans="1:34" x14ac:dyDescent="0.2">
      <c r="A186" s="347">
        <f t="shared" ca="1" si="64"/>
        <v>0.01</v>
      </c>
      <c r="B186" s="304">
        <f t="shared" ca="1" si="65"/>
        <v>1.8200000000000014</v>
      </c>
      <c r="D186" s="306">
        <f t="shared" ca="1" si="66"/>
        <v>12.400601882570237</v>
      </c>
      <c r="E186" s="307">
        <f t="shared" ca="1" si="67"/>
        <v>54.027377470609125</v>
      </c>
      <c r="F186" s="304">
        <f t="shared" ca="1" si="68"/>
        <v>55.432232892079014</v>
      </c>
      <c r="G186" s="306">
        <f t="shared" ca="1" si="69"/>
        <v>51.030874620208209</v>
      </c>
      <c r="H186" s="307">
        <f t="shared" ca="1" si="70"/>
        <v>262.60505236588745</v>
      </c>
      <c r="I186" s="304">
        <f t="shared" ca="1" si="71"/>
        <v>267.51740820476317</v>
      </c>
      <c r="J186" s="306">
        <f t="shared" ca="1" si="72"/>
        <v>64.971175169408511</v>
      </c>
      <c r="K186" s="307">
        <f t="shared" ca="1" si="73"/>
        <v>346.16393982862502</v>
      </c>
      <c r="L186" s="304">
        <f t="shared" ca="1" si="58"/>
        <v>352.20835714186268</v>
      </c>
      <c r="M186" s="306">
        <f t="shared" ca="1" si="74"/>
        <v>1.3788628626534476</v>
      </c>
      <c r="N186" s="304">
        <f t="shared" ca="1" si="75"/>
        <v>79.003022557369448</v>
      </c>
      <c r="P186" s="310">
        <f t="shared" ca="1" si="76"/>
        <v>5</v>
      </c>
      <c r="Q186" s="304">
        <f t="shared" ca="1" si="77"/>
        <v>613.00999999999976</v>
      </c>
      <c r="R186" s="306">
        <f t="shared" ca="1" si="78"/>
        <v>0.30764115780933443</v>
      </c>
      <c r="S186" s="307">
        <f t="shared" ca="1" si="79"/>
        <v>5.4435391166797027</v>
      </c>
      <c r="T186" s="304">
        <f t="shared" ca="1" si="59"/>
        <v>53.401118734627886</v>
      </c>
      <c r="U186" s="311">
        <f t="shared" ca="1" si="60"/>
        <v>0</v>
      </c>
      <c r="V186" s="306">
        <f t="shared" ca="1" si="61"/>
        <v>1.1833163855806781</v>
      </c>
      <c r="W186" s="304">
        <f t="shared" ca="1" si="62"/>
        <v>260.020993400208</v>
      </c>
      <c r="Y186" s="314" t="str">
        <f t="shared" ca="1" si="80"/>
        <v/>
      </c>
      <c r="Z186" s="315" t="str">
        <f t="shared" ca="1" si="81"/>
        <v/>
      </c>
      <c r="AA186" s="316" t="str">
        <f t="shared" ca="1" si="82"/>
        <v/>
      </c>
      <c r="AC186" s="310" t="e">
        <f t="shared" ca="1" si="83"/>
        <v>#N/A</v>
      </c>
      <c r="AD186" s="323" t="e">
        <f t="shared" ca="1" si="84"/>
        <v>#N/A</v>
      </c>
      <c r="AE186" s="324">
        <f t="shared" ca="1" si="63"/>
        <v>346.16393982862502</v>
      </c>
      <c r="AG186" s="306">
        <f t="shared" ca="1" si="85"/>
        <v>55.400659687686726</v>
      </c>
      <c r="AH186" s="304">
        <f t="shared" ca="1" si="86"/>
        <v>65.0306519218056</v>
      </c>
    </row>
    <row r="187" spans="1:34" x14ac:dyDescent="0.2">
      <c r="A187" s="347">
        <f t="shared" ca="1" si="64"/>
        <v>0.01</v>
      </c>
      <c r="B187" s="304">
        <f t="shared" ca="1" si="65"/>
        <v>1.8300000000000014</v>
      </c>
      <c r="D187" s="306">
        <f t="shared" ca="1" si="66"/>
        <v>12.325532978868122</v>
      </c>
      <c r="E187" s="307">
        <f t="shared" ca="1" si="67"/>
        <v>53.617234148783055</v>
      </c>
      <c r="F187" s="304">
        <f t="shared" ca="1" si="68"/>
        <v>55.015693769856192</v>
      </c>
      <c r="G187" s="306">
        <f t="shared" ca="1" si="69"/>
        <v>51.154129949996893</v>
      </c>
      <c r="H187" s="307">
        <f t="shared" ca="1" si="70"/>
        <v>263.14122470737527</v>
      </c>
      <c r="I187" s="304">
        <f t="shared" ca="1" si="71"/>
        <v>268.06724744257463</v>
      </c>
      <c r="J187" s="306">
        <f t="shared" ca="1" si="72"/>
        <v>65.482100192259537</v>
      </c>
      <c r="K187" s="307">
        <f t="shared" ca="1" si="73"/>
        <v>348.79267121399135</v>
      </c>
      <c r="L187" s="304">
        <f t="shared" ca="1" si="58"/>
        <v>354.886225342969</v>
      </c>
      <c r="M187" s="306">
        <f t="shared" ca="1" si="74"/>
        <v>1.3787930544893776</v>
      </c>
      <c r="N187" s="304">
        <f t="shared" ca="1" si="75"/>
        <v>78.99902284419268</v>
      </c>
      <c r="P187" s="310">
        <f t="shared" ca="1" si="76"/>
        <v>5</v>
      </c>
      <c r="Q187" s="304">
        <f t="shared" ca="1" si="77"/>
        <v>611.54999999999973</v>
      </c>
      <c r="R187" s="306">
        <f t="shared" ca="1" si="78"/>
        <v>0.30690845183324655</v>
      </c>
      <c r="S187" s="307">
        <f t="shared" ca="1" si="79"/>
        <v>5.4404700321613699</v>
      </c>
      <c r="T187" s="304">
        <f t="shared" ca="1" si="59"/>
        <v>53.371011015503043</v>
      </c>
      <c r="U187" s="311">
        <f t="shared" ca="1" si="60"/>
        <v>0</v>
      </c>
      <c r="V187" s="306">
        <f t="shared" ca="1" si="61"/>
        <v>1.1830052704707568</v>
      </c>
      <c r="W187" s="304">
        <f t="shared" ca="1" si="62"/>
        <v>261.02230945475208</v>
      </c>
      <c r="Y187" s="314" t="str">
        <f t="shared" ca="1" si="80"/>
        <v/>
      </c>
      <c r="Z187" s="315" t="str">
        <f t="shared" ca="1" si="81"/>
        <v/>
      </c>
      <c r="AA187" s="316" t="str">
        <f t="shared" ca="1" si="82"/>
        <v/>
      </c>
      <c r="AC187" s="310" t="e">
        <f t="shared" ca="1" si="83"/>
        <v>#N/A</v>
      </c>
      <c r="AD187" s="323" t="e">
        <f t="shared" ca="1" si="84"/>
        <v>#N/A</v>
      </c>
      <c r="AE187" s="324">
        <f t="shared" ca="1" si="63"/>
        <v>348.79267121399135</v>
      </c>
      <c r="AG187" s="306">
        <f t="shared" ca="1" si="85"/>
        <v>54.983858464150543</v>
      </c>
      <c r="AH187" s="304">
        <f t="shared" ca="1" si="86"/>
        <v>64.613719866431751</v>
      </c>
    </row>
    <row r="188" spans="1:34" x14ac:dyDescent="0.2">
      <c r="A188" s="347">
        <f t="shared" ca="1" si="64"/>
        <v>0.01</v>
      </c>
      <c r="B188" s="304">
        <f t="shared" ca="1" si="65"/>
        <v>1.8400000000000014</v>
      </c>
      <c r="D188" s="306">
        <f t="shared" ca="1" si="66"/>
        <v>12.250523742979057</v>
      </c>
      <c r="E188" s="307">
        <f t="shared" ca="1" si="67"/>
        <v>53.20774312622207</v>
      </c>
      <c r="F188" s="304">
        <f t="shared" ca="1" si="68"/>
        <v>54.599810078088417</v>
      </c>
      <c r="G188" s="306">
        <f t="shared" ca="1" si="69"/>
        <v>51.276635187426685</v>
      </c>
      <c r="H188" s="307">
        <f t="shared" ca="1" si="70"/>
        <v>263.6733021386375</v>
      </c>
      <c r="I188" s="304">
        <f t="shared" ca="1" si="71"/>
        <v>268.61292518573572</v>
      </c>
      <c r="J188" s="306">
        <f t="shared" ca="1" si="72"/>
        <v>65.994254017946659</v>
      </c>
      <c r="K188" s="307">
        <f t="shared" ca="1" si="73"/>
        <v>351.42674384822141</v>
      </c>
      <c r="L188" s="304">
        <f t="shared" ca="1" si="58"/>
        <v>357.56957065045214</v>
      </c>
      <c r="M188" s="306">
        <f t="shared" ca="1" si="74"/>
        <v>1.3787233631118607</v>
      </c>
      <c r="N188" s="304">
        <f t="shared" ca="1" si="75"/>
        <v>78.99502982239251</v>
      </c>
      <c r="P188" s="310">
        <f t="shared" ca="1" si="76"/>
        <v>5</v>
      </c>
      <c r="Q188" s="304">
        <f t="shared" ca="1" si="77"/>
        <v>610.0899999999998</v>
      </c>
      <c r="R188" s="306">
        <f t="shared" ca="1" si="78"/>
        <v>0.30617574585715868</v>
      </c>
      <c r="S188" s="307">
        <f t="shared" ca="1" si="79"/>
        <v>5.4374082747027987</v>
      </c>
      <c r="T188" s="304">
        <f t="shared" ca="1" si="59"/>
        <v>53.340975174834462</v>
      </c>
      <c r="U188" s="311">
        <f t="shared" ca="1" si="60"/>
        <v>0</v>
      </c>
      <c r="V188" s="306">
        <f t="shared" ca="1" si="61"/>
        <v>1.1826936038310731</v>
      </c>
      <c r="W188" s="304">
        <f t="shared" ca="1" si="62"/>
        <v>262.01701773837704</v>
      </c>
      <c r="Y188" s="314" t="str">
        <f t="shared" ca="1" si="80"/>
        <v/>
      </c>
      <c r="Z188" s="315" t="str">
        <f t="shared" ca="1" si="81"/>
        <v/>
      </c>
      <c r="AA188" s="316" t="str">
        <f t="shared" ca="1" si="82"/>
        <v/>
      </c>
      <c r="AC188" s="310" t="e">
        <f t="shared" ca="1" si="83"/>
        <v>#N/A</v>
      </c>
      <c r="AD188" s="323" t="e">
        <f t="shared" ca="1" si="84"/>
        <v>#N/A</v>
      </c>
      <c r="AE188" s="324">
        <f t="shared" ca="1" si="63"/>
        <v>351.42674384822141</v>
      </c>
      <c r="AG188" s="306">
        <f t="shared" ca="1" si="85"/>
        <v>54.567709084963646</v>
      </c>
      <c r="AH188" s="304">
        <f t="shared" ca="1" si="86"/>
        <v>64.197439829792302</v>
      </c>
    </row>
    <row r="189" spans="1:34" x14ac:dyDescent="0.2">
      <c r="A189" s="347">
        <f t="shared" ca="1" si="64"/>
        <v>0.01</v>
      </c>
      <c r="B189" s="304">
        <f t="shared" ca="1" si="65"/>
        <v>1.8500000000000014</v>
      </c>
      <c r="D189" s="306">
        <f t="shared" ca="1" si="66"/>
        <v>12.175576238356992</v>
      </c>
      <c r="E189" s="307">
        <f t="shared" ca="1" si="67"/>
        <v>52.798913016108351</v>
      </c>
      <c r="F189" s="304">
        <f t="shared" ca="1" si="68"/>
        <v>54.184590728532953</v>
      </c>
      <c r="G189" s="306">
        <f t="shared" ca="1" si="69"/>
        <v>51.398390949810256</v>
      </c>
      <c r="H189" s="307">
        <f t="shared" ca="1" si="70"/>
        <v>264.20129126879857</v>
      </c>
      <c r="I189" s="304">
        <f t="shared" ca="1" si="71"/>
        <v>269.15444804113878</v>
      </c>
      <c r="J189" s="306">
        <f t="shared" ca="1" si="72"/>
        <v>66.507629148632844</v>
      </c>
      <c r="K189" s="307">
        <f t="shared" ca="1" si="73"/>
        <v>354.06611681525857</v>
      </c>
      <c r="L189" s="304">
        <f t="shared" ca="1" si="58"/>
        <v>360.25835148072338</v>
      </c>
      <c r="M189" s="306">
        <f t="shared" ca="1" si="74"/>
        <v>1.3786537870154676</v>
      </c>
      <c r="N189" s="304">
        <f t="shared" ca="1" si="75"/>
        <v>78.991043405714194</v>
      </c>
      <c r="P189" s="310">
        <f t="shared" ca="1" si="76"/>
        <v>5</v>
      </c>
      <c r="Q189" s="304">
        <f t="shared" ca="1" si="77"/>
        <v>608.62999999999977</v>
      </c>
      <c r="R189" s="306">
        <f t="shared" ca="1" si="78"/>
        <v>0.3054430398810708</v>
      </c>
      <c r="S189" s="307">
        <f t="shared" ca="1" si="79"/>
        <v>5.4343538443039883</v>
      </c>
      <c r="T189" s="304">
        <f t="shared" ca="1" si="59"/>
        <v>53.311011212622127</v>
      </c>
      <c r="U189" s="311">
        <f t="shared" ca="1" si="60"/>
        <v>0</v>
      </c>
      <c r="V189" s="306">
        <f t="shared" ca="1" si="61"/>
        <v>1.1823813909604657</v>
      </c>
      <c r="W189" s="304">
        <f t="shared" ca="1" si="62"/>
        <v>263.00508607134515</v>
      </c>
      <c r="Y189" s="314" t="str">
        <f t="shared" ca="1" si="80"/>
        <v/>
      </c>
      <c r="Z189" s="315" t="str">
        <f t="shared" ca="1" si="81"/>
        <v/>
      </c>
      <c r="AA189" s="316" t="str">
        <f t="shared" ca="1" si="82"/>
        <v/>
      </c>
      <c r="AC189" s="310" t="e">
        <f t="shared" ca="1" si="83"/>
        <v>#N/A</v>
      </c>
      <c r="AD189" s="323" t="e">
        <f t="shared" ca="1" si="84"/>
        <v>#N/A</v>
      </c>
      <c r="AE189" s="324">
        <f t="shared" ca="1" si="63"/>
        <v>354.06611681525857</v>
      </c>
      <c r="AG189" s="306">
        <f t="shared" ca="1" si="85"/>
        <v>54.152220393716753</v>
      </c>
      <c r="AH189" s="304">
        <f t="shared" ca="1" si="86"/>
        <v>63.781820652868369</v>
      </c>
    </row>
    <row r="190" spans="1:34" x14ac:dyDescent="0.2">
      <c r="A190" s="347">
        <f t="shared" ca="1" si="64"/>
        <v>0.01</v>
      </c>
      <c r="B190" s="304">
        <f t="shared" ca="1" si="65"/>
        <v>1.8600000000000014</v>
      </c>
      <c r="D190" s="306">
        <f t="shared" ca="1" si="66"/>
        <v>12.100692504192521</v>
      </c>
      <c r="E190" s="307">
        <f t="shared" ca="1" si="67"/>
        <v>52.39075231491536</v>
      </c>
      <c r="F190" s="304">
        <f t="shared" ca="1" si="68"/>
        <v>53.770044515546296</v>
      </c>
      <c r="G190" s="306">
        <f t="shared" ca="1" si="69"/>
        <v>51.519397874852181</v>
      </c>
      <c r="H190" s="307">
        <f t="shared" ca="1" si="70"/>
        <v>264.72519879194772</v>
      </c>
      <c r="I190" s="304">
        <f t="shared" ca="1" si="71"/>
        <v>269.6918227029206</v>
      </c>
      <c r="J190" s="306">
        <f t="shared" ca="1" si="72"/>
        <v>67.022218092756162</v>
      </c>
      <c r="K190" s="307">
        <f t="shared" ca="1" si="73"/>
        <v>356.7107492655623</v>
      </c>
      <c r="L190" s="304">
        <f t="shared" ca="1" si="58"/>
        <v>362.95252631669587</v>
      </c>
      <c r="M190" s="306">
        <f t="shared" ca="1" si="74"/>
        <v>1.3785843247103506</v>
      </c>
      <c r="N190" s="304">
        <f t="shared" ca="1" si="75"/>
        <v>78.987063508795742</v>
      </c>
      <c r="P190" s="310">
        <f t="shared" ca="1" si="76"/>
        <v>5</v>
      </c>
      <c r="Q190" s="304">
        <f t="shared" ca="1" si="77"/>
        <v>607.16999999999973</v>
      </c>
      <c r="R190" s="306">
        <f t="shared" ca="1" si="78"/>
        <v>0.30471033390498292</v>
      </c>
      <c r="S190" s="307">
        <f t="shared" ca="1" si="79"/>
        <v>5.4313067409649385</v>
      </c>
      <c r="T190" s="304">
        <f t="shared" ca="1" si="59"/>
        <v>53.281119128866052</v>
      </c>
      <c r="U190" s="311">
        <f t="shared" ca="1" si="60"/>
        <v>0</v>
      </c>
      <c r="V190" s="306">
        <f t="shared" ca="1" si="61"/>
        <v>1.1820686371455094</v>
      </c>
      <c r="W190" s="304">
        <f t="shared" ca="1" si="62"/>
        <v>263.9864829962923</v>
      </c>
      <c r="Y190" s="314" t="str">
        <f t="shared" ca="1" si="80"/>
        <v/>
      </c>
      <c r="Z190" s="315" t="str">
        <f t="shared" ca="1" si="81"/>
        <v/>
      </c>
      <c r="AA190" s="316" t="str">
        <f t="shared" ca="1" si="82"/>
        <v/>
      </c>
      <c r="AC190" s="310" t="e">
        <f t="shared" ca="1" si="83"/>
        <v>#N/A</v>
      </c>
      <c r="AD190" s="323" t="e">
        <f t="shared" ca="1" si="84"/>
        <v>#N/A</v>
      </c>
      <c r="AE190" s="324">
        <f t="shared" ca="1" si="63"/>
        <v>356.7107492655623</v>
      </c>
      <c r="AG190" s="306">
        <f t="shared" ca="1" si="85"/>
        <v>53.737401114870934</v>
      </c>
      <c r="AH190" s="304">
        <f t="shared" ca="1" si="86"/>
        <v>63.366871057536599</v>
      </c>
    </row>
    <row r="191" spans="1:34" x14ac:dyDescent="0.2">
      <c r="A191" s="347">
        <f t="shared" ca="1" si="64"/>
        <v>0.01</v>
      </c>
      <c r="B191" s="304">
        <f t="shared" ca="1" si="65"/>
        <v>1.8700000000000014</v>
      </c>
      <c r="D191" s="306">
        <f t="shared" ca="1" si="66"/>
        <v>12.02587455546057</v>
      </c>
      <c r="E191" s="307">
        <f t="shared" ca="1" si="67"/>
        <v>51.983269402616386</v>
      </c>
      <c r="F191" s="304">
        <f t="shared" ca="1" si="68"/>
        <v>53.356180116352661</v>
      </c>
      <c r="G191" s="306">
        <f t="shared" ca="1" si="69"/>
        <v>51.63965662040679</v>
      </c>
      <c r="H191" s="307">
        <f t="shared" ca="1" si="70"/>
        <v>265.24503148597387</v>
      </c>
      <c r="I191" s="304">
        <f t="shared" ca="1" si="71"/>
        <v>270.2250559512733</v>
      </c>
      <c r="J191" s="306">
        <f t="shared" ca="1" si="72"/>
        <v>67.538013365232459</v>
      </c>
      <c r="K191" s="307">
        <f t="shared" ca="1" si="73"/>
        <v>359.36060041695191</v>
      </c>
      <c r="L191" s="304">
        <f t="shared" ca="1" si="58"/>
        <v>365.65205370865141</v>
      </c>
      <c r="M191" s="306">
        <f t="shared" ca="1" si="74"/>
        <v>1.3785149747219987</v>
      </c>
      <c r="N191" s="304">
        <f t="shared" ca="1" si="75"/>
        <v>78.983090047153894</v>
      </c>
      <c r="P191" s="310">
        <f t="shared" ca="1" si="76"/>
        <v>5</v>
      </c>
      <c r="Q191" s="304">
        <f t="shared" ca="1" si="77"/>
        <v>605.70999999999981</v>
      </c>
      <c r="R191" s="306">
        <f t="shared" ca="1" si="78"/>
        <v>0.30397762792889504</v>
      </c>
      <c r="S191" s="307">
        <f t="shared" ca="1" si="79"/>
        <v>5.4282669646856494</v>
      </c>
      <c r="T191" s="304">
        <f t="shared" ca="1" si="59"/>
        <v>53.251298923566225</v>
      </c>
      <c r="U191" s="311">
        <f t="shared" ca="1" si="60"/>
        <v>0</v>
      </c>
      <c r="V191" s="306">
        <f t="shared" ca="1" si="61"/>
        <v>1.1817553476604026</v>
      </c>
      <c r="W191" s="304">
        <f t="shared" ca="1" si="62"/>
        <v>264.96117777455152</v>
      </c>
      <c r="Y191" s="314" t="str">
        <f t="shared" ca="1" si="80"/>
        <v/>
      </c>
      <c r="Z191" s="315" t="str">
        <f t="shared" ca="1" si="81"/>
        <v/>
      </c>
      <c r="AA191" s="316" t="str">
        <f t="shared" ca="1" si="82"/>
        <v/>
      </c>
      <c r="AC191" s="310" t="e">
        <f t="shared" ca="1" si="83"/>
        <v>#N/A</v>
      </c>
      <c r="AD191" s="323" t="e">
        <f t="shared" ca="1" si="84"/>
        <v>#N/A</v>
      </c>
      <c r="AE191" s="324">
        <f t="shared" ca="1" si="63"/>
        <v>359.36060041695191</v>
      </c>
      <c r="AG191" s="306">
        <f t="shared" ca="1" si="85"/>
        <v>53.323259853970704</v>
      </c>
      <c r="AH191" s="304">
        <f t="shared" ca="1" si="86"/>
        <v>62.95259964678187</v>
      </c>
    </row>
    <row r="192" spans="1:34" x14ac:dyDescent="0.2">
      <c r="A192" s="347">
        <f t="shared" ca="1" si="64"/>
        <v>0.01</v>
      </c>
      <c r="B192" s="304">
        <f t="shared" ca="1" si="65"/>
        <v>1.8800000000000014</v>
      </c>
      <c r="D192" s="306">
        <f t="shared" ca="1" si="66"/>
        <v>11.951124382970454</v>
      </c>
      <c r="E192" s="307">
        <f t="shared" ca="1" si="67"/>
        <v>51.576472542907823</v>
      </c>
      <c r="F192" s="304">
        <f t="shared" ca="1" si="68"/>
        <v>52.943006091329529</v>
      </c>
      <c r="G192" s="306">
        <f t="shared" ca="1" si="69"/>
        <v>51.759167864236495</v>
      </c>
      <c r="H192" s="307">
        <f t="shared" ca="1" si="70"/>
        <v>265.76079621140292</v>
      </c>
      <c r="I192" s="304">
        <f t="shared" ca="1" si="71"/>
        <v>270.75415465125747</v>
      </c>
      <c r="J192" s="306">
        <f t="shared" ca="1" si="72"/>
        <v>68.055007487655672</v>
      </c>
      <c r="K192" s="307">
        <f t="shared" ca="1" si="73"/>
        <v>362.01562955543881</v>
      </c>
      <c r="L192" s="304">
        <f t="shared" ca="1" si="58"/>
        <v>368.35689227509448</v>
      </c>
      <c r="M192" s="306">
        <f t="shared" ca="1" si="74"/>
        <v>1.3784457355909954</v>
      </c>
      <c r="N192" s="304">
        <f t="shared" ca="1" si="75"/>
        <v>78.979122937170246</v>
      </c>
      <c r="P192" s="310">
        <f t="shared" ca="1" si="76"/>
        <v>5</v>
      </c>
      <c r="Q192" s="304">
        <f t="shared" ca="1" si="77"/>
        <v>604.24999999999977</v>
      </c>
      <c r="R192" s="306">
        <f t="shared" ca="1" si="78"/>
        <v>0.30324492195280717</v>
      </c>
      <c r="S192" s="307">
        <f t="shared" ca="1" si="79"/>
        <v>5.425234515466121</v>
      </c>
      <c r="T192" s="304">
        <f t="shared" ca="1" si="59"/>
        <v>53.221550596722651</v>
      </c>
      <c r="U192" s="311">
        <f t="shared" ca="1" si="60"/>
        <v>0</v>
      </c>
      <c r="V192" s="306">
        <f t="shared" ca="1" si="61"/>
        <v>1.1814415277668568</v>
      </c>
      <c r="W192" s="304">
        <f t="shared" ca="1" si="62"/>
        <v>265.92914038241508</v>
      </c>
      <c r="Y192" s="314" t="str">
        <f t="shared" ca="1" si="80"/>
        <v/>
      </c>
      <c r="Z192" s="315" t="str">
        <f t="shared" ca="1" si="81"/>
        <v/>
      </c>
      <c r="AA192" s="316" t="str">
        <f t="shared" ca="1" si="82"/>
        <v/>
      </c>
      <c r="AC192" s="310" t="e">
        <f t="shared" ca="1" si="83"/>
        <v>#N/A</v>
      </c>
      <c r="AD192" s="323" t="e">
        <f t="shared" ca="1" si="84"/>
        <v>#N/A</v>
      </c>
      <c r="AE192" s="324">
        <f t="shared" ca="1" si="63"/>
        <v>362.01562955543881</v>
      </c>
      <c r="AG192" s="306">
        <f t="shared" ca="1" si="85"/>
        <v>52.909805097871967</v>
      </c>
      <c r="AH192" s="304">
        <f t="shared" ca="1" si="86"/>
        <v>62.539014904924805</v>
      </c>
    </row>
    <row r="193" spans="1:34" x14ac:dyDescent="0.2">
      <c r="A193" s="347">
        <f t="shared" ca="1" si="64"/>
        <v>0.01</v>
      </c>
      <c r="B193" s="304">
        <f t="shared" ca="1" si="65"/>
        <v>1.8900000000000015</v>
      </c>
      <c r="D193" s="306">
        <f t="shared" ca="1" si="66"/>
        <v>11.876443953418311</v>
      </c>
      <c r="E193" s="307">
        <f t="shared" ca="1" si="67"/>
        <v>51.170369883446782</v>
      </c>
      <c r="F193" s="304">
        <f t="shared" ca="1" si="68"/>
        <v>52.530530884309968</v>
      </c>
      <c r="G193" s="306">
        <f t="shared" ca="1" si="69"/>
        <v>51.877932303770677</v>
      </c>
      <c r="H193" s="307">
        <f t="shared" ca="1" si="70"/>
        <v>266.2724999102374</v>
      </c>
      <c r="I193" s="304">
        <f t="shared" ca="1" si="71"/>
        <v>271.27912575161764</v>
      </c>
      <c r="J193" s="306">
        <f t="shared" ca="1" si="72"/>
        <v>68.573192988495705</v>
      </c>
      <c r="K193" s="307">
        <f t="shared" ca="1" si="73"/>
        <v>364.67579603604702</v>
      </c>
      <c r="L193" s="304">
        <f t="shared" ca="1" si="58"/>
        <v>371.06700070359534</v>
      </c>
      <c r="M193" s="306">
        <f t="shared" ca="1" si="74"/>
        <v>1.3783766058727842</v>
      </c>
      <c r="N193" s="304">
        <f t="shared" ca="1" si="75"/>
        <v>78.975162096077824</v>
      </c>
      <c r="P193" s="310">
        <f t="shared" ca="1" si="76"/>
        <v>5</v>
      </c>
      <c r="Q193" s="304">
        <f t="shared" ca="1" si="77"/>
        <v>602.78999999999974</v>
      </c>
      <c r="R193" s="306">
        <f t="shared" ca="1" si="78"/>
        <v>0.30251221597671929</v>
      </c>
      <c r="S193" s="307">
        <f t="shared" ca="1" si="79"/>
        <v>5.4222093933063542</v>
      </c>
      <c r="T193" s="304">
        <f t="shared" ca="1" si="59"/>
        <v>53.191874148335337</v>
      </c>
      <c r="U193" s="311">
        <f t="shared" ca="1" si="60"/>
        <v>0</v>
      </c>
      <c r="V193" s="306">
        <f t="shared" ca="1" si="61"/>
        <v>1.1811271827139902</v>
      </c>
      <c r="W193" s="304">
        <f t="shared" ca="1" si="62"/>
        <v>266.89034150733681</v>
      </c>
      <c r="Y193" s="314" t="str">
        <f t="shared" ca="1" si="80"/>
        <v/>
      </c>
      <c r="Z193" s="315" t="str">
        <f t="shared" ca="1" si="81"/>
        <v/>
      </c>
      <c r="AA193" s="316" t="str">
        <f t="shared" ca="1" si="82"/>
        <v/>
      </c>
      <c r="AC193" s="310" t="e">
        <f t="shared" ca="1" si="83"/>
        <v>#N/A</v>
      </c>
      <c r="AD193" s="323" t="e">
        <f t="shared" ca="1" si="84"/>
        <v>#N/A</v>
      </c>
      <c r="AE193" s="324">
        <f t="shared" ca="1" si="63"/>
        <v>364.67579603604702</v>
      </c>
      <c r="AG193" s="306">
        <f t="shared" ca="1" si="85"/>
        <v>52.497045214984553</v>
      </c>
      <c r="AH193" s="304">
        <f t="shared" ca="1" si="86"/>
        <v>62.126125197863978</v>
      </c>
    </row>
    <row r="194" spans="1:34" x14ac:dyDescent="0.2">
      <c r="A194" s="347">
        <f t="shared" ca="1" si="64"/>
        <v>0.01</v>
      </c>
      <c r="B194" s="304">
        <f t="shared" ca="1" si="65"/>
        <v>1.9000000000000015</v>
      </c>
      <c r="D194" s="306">
        <f t="shared" ca="1" si="66"/>
        <v>11.801835209441599</v>
      </c>
      <c r="E194" s="307">
        <f t="shared" ca="1" si="67"/>
        <v>50.764969456102776</v>
      </c>
      <c r="F194" s="304">
        <f t="shared" ca="1" si="68"/>
        <v>52.118762822901537</v>
      </c>
      <c r="G194" s="306">
        <f t="shared" ca="1" si="69"/>
        <v>51.995950655865094</v>
      </c>
      <c r="H194" s="307">
        <f t="shared" ca="1" si="70"/>
        <v>266.78014960479845</v>
      </c>
      <c r="I194" s="304">
        <f t="shared" ca="1" si="71"/>
        <v>271.79997628360047</v>
      </c>
      <c r="J194" s="306">
        <f t="shared" ca="1" si="72"/>
        <v>69.092562403293883</v>
      </c>
      <c r="K194" s="307">
        <f t="shared" ca="1" si="73"/>
        <v>367.3410592836222</v>
      </c>
      <c r="L194" s="304">
        <f t="shared" ca="1" si="58"/>
        <v>373.78233775162079</v>
      </c>
      <c r="M194" s="306">
        <f t="shared" ca="1" si="74"/>
        <v>1.3783075841374355</v>
      </c>
      <c r="N194" s="304">
        <f t="shared" ca="1" si="75"/>
        <v>78.971207441947669</v>
      </c>
      <c r="P194" s="310">
        <f t="shared" ca="1" si="76"/>
        <v>5</v>
      </c>
      <c r="Q194" s="304">
        <f t="shared" ca="1" si="77"/>
        <v>601.32999999999981</v>
      </c>
      <c r="R194" s="306">
        <f t="shared" ca="1" si="78"/>
        <v>0.30177951000063147</v>
      </c>
      <c r="S194" s="307">
        <f t="shared" ca="1" si="79"/>
        <v>5.4191915982063481</v>
      </c>
      <c r="T194" s="304">
        <f t="shared" ca="1" si="59"/>
        <v>53.162269578404278</v>
      </c>
      <c r="U194" s="311">
        <f t="shared" ca="1" si="60"/>
        <v>0</v>
      </c>
      <c r="V194" s="306">
        <f t="shared" ca="1" si="61"/>
        <v>1.1808123177382228</v>
      </c>
      <c r="W194" s="304">
        <f t="shared" ca="1" si="62"/>
        <v>267.84475254407522</v>
      </c>
      <c r="Y194" s="314" t="str">
        <f t="shared" ca="1" si="80"/>
        <v/>
      </c>
      <c r="Z194" s="315" t="str">
        <f t="shared" ca="1" si="81"/>
        <v/>
      </c>
      <c r="AA194" s="316" t="str">
        <f t="shared" ca="1" si="82"/>
        <v/>
      </c>
      <c r="AC194" s="310" t="e">
        <f t="shared" ca="1" si="83"/>
        <v>#N/A</v>
      </c>
      <c r="AD194" s="323" t="e">
        <f t="shared" ca="1" si="84"/>
        <v>#N/A</v>
      </c>
      <c r="AE194" s="324">
        <f t="shared" ca="1" si="63"/>
        <v>367.3410592836222</v>
      </c>
      <c r="AG194" s="306">
        <f t="shared" ca="1" si="85"/>
        <v>52.084988455528972</v>
      </c>
      <c r="AH194" s="304">
        <f t="shared" ca="1" si="86"/>
        <v>61.713938773332231</v>
      </c>
    </row>
    <row r="195" spans="1:34" x14ac:dyDescent="0.2">
      <c r="A195" s="347">
        <f t="shared" ca="1" si="64"/>
        <v>0.01</v>
      </c>
      <c r="B195" s="304">
        <f t="shared" ca="1" si="65"/>
        <v>1.9100000000000015</v>
      </c>
      <c r="D195" s="306">
        <f t="shared" ca="1" si="66"/>
        <v>11.727300069676001</v>
      </c>
      <c r="E195" s="307">
        <f t="shared" ca="1" si="67"/>
        <v>50.360279177223219</v>
      </c>
      <c r="F195" s="304">
        <f t="shared" ca="1" si="68"/>
        <v>51.707710118821595</v>
      </c>
      <c r="G195" s="306">
        <f t="shared" ca="1" si="69"/>
        <v>52.113223656561857</v>
      </c>
      <c r="H195" s="307">
        <f t="shared" ca="1" si="70"/>
        <v>267.28375239657066</v>
      </c>
      <c r="I195" s="304">
        <f t="shared" ca="1" si="71"/>
        <v>272.31671335977552</v>
      </c>
      <c r="J195" s="306">
        <f t="shared" ca="1" si="72"/>
        <v>69.613108274856017</v>
      </c>
      <c r="K195" s="307">
        <f t="shared" ca="1" si="73"/>
        <v>370.01137879362904</v>
      </c>
      <c r="L195" s="304">
        <f t="shared" ca="1" si="58"/>
        <v>376.50286224735299</v>
      </c>
      <c r="M195" s="306">
        <f t="shared" ca="1" si="74"/>
        <v>1.3782386689694199</v>
      </c>
      <c r="N195" s="304">
        <f t="shared" ca="1" si="75"/>
        <v>78.967258893675947</v>
      </c>
      <c r="P195" s="310">
        <f t="shared" ca="1" si="76"/>
        <v>5</v>
      </c>
      <c r="Q195" s="304">
        <f t="shared" ca="1" si="77"/>
        <v>599.86999999999978</v>
      </c>
      <c r="R195" s="306">
        <f t="shared" ca="1" si="78"/>
        <v>0.30104680402454354</v>
      </c>
      <c r="S195" s="307">
        <f t="shared" ca="1" si="79"/>
        <v>5.4161811301661027</v>
      </c>
      <c r="T195" s="304">
        <f t="shared" ca="1" si="59"/>
        <v>53.132736886929472</v>
      </c>
      <c r="U195" s="311">
        <f t="shared" ca="1" si="60"/>
        <v>0</v>
      </c>
      <c r="V195" s="306">
        <f t="shared" ca="1" si="61"/>
        <v>1.18049693806317</v>
      </c>
      <c r="W195" s="304">
        <f t="shared" ca="1" si="62"/>
        <v>268.79234559077969</v>
      </c>
      <c r="Y195" s="314" t="str">
        <f t="shared" ca="1" si="80"/>
        <v/>
      </c>
      <c r="Z195" s="315" t="str">
        <f t="shared" ca="1" si="81"/>
        <v/>
      </c>
      <c r="AA195" s="316" t="str">
        <f t="shared" ca="1" si="82"/>
        <v/>
      </c>
      <c r="AC195" s="310" t="e">
        <f t="shared" ca="1" si="83"/>
        <v>#N/A</v>
      </c>
      <c r="AD195" s="323" t="e">
        <f t="shared" ca="1" si="84"/>
        <v>#N/A</v>
      </c>
      <c r="AE195" s="324">
        <f t="shared" ca="1" si="63"/>
        <v>370.01137879362904</v>
      </c>
      <c r="AG195" s="306">
        <f t="shared" ca="1" si="85"/>
        <v>51.673642951807153</v>
      </c>
      <c r="AH195" s="304">
        <f t="shared" ca="1" si="86"/>
        <v>61.302463761167097</v>
      </c>
    </row>
    <row r="196" spans="1:34" x14ac:dyDescent="0.2">
      <c r="A196" s="347">
        <f t="shared" ca="1" si="64"/>
        <v>0.01</v>
      </c>
      <c r="B196" s="304">
        <f t="shared" ca="1" si="65"/>
        <v>1.9200000000000015</v>
      </c>
      <c r="D196" s="306">
        <f t="shared" ca="1" si="66"/>
        <v>11.652840428814445</v>
      </c>
      <c r="E196" s="307">
        <f t="shared" ca="1" si="67"/>
        <v>49.956306847912899</v>
      </c>
      <c r="F196" s="304">
        <f t="shared" ca="1" si="68"/>
        <v>51.297380868249419</v>
      </c>
      <c r="G196" s="306">
        <f t="shared" ca="1" si="69"/>
        <v>52.229752060850004</v>
      </c>
      <c r="H196" s="307">
        <f t="shared" ca="1" si="70"/>
        <v>267.78331546504978</v>
      </c>
      <c r="I196" s="304">
        <f t="shared" ca="1" si="71"/>
        <v>272.82934417285878</v>
      </c>
      <c r="J196" s="306">
        <f t="shared" ca="1" si="72"/>
        <v>70.134823153443079</v>
      </c>
      <c r="K196" s="307">
        <f t="shared" ca="1" si="73"/>
        <v>372.68671413293714</v>
      </c>
      <c r="L196" s="304">
        <f t="shared" ref="L196:L259" ca="1" si="87">SQRT(pos_x^2+pos_z^2)</f>
        <v>379.22853309049719</v>
      </c>
      <c r="M196" s="306">
        <f t="shared" ca="1" si="74"/>
        <v>1.3781698589673836</v>
      </c>
      <c r="N196" s="304">
        <f t="shared" ca="1" si="75"/>
        <v>78.963316370970972</v>
      </c>
      <c r="P196" s="310">
        <f t="shared" ca="1" si="76"/>
        <v>5</v>
      </c>
      <c r="Q196" s="304">
        <f t="shared" ca="1" si="77"/>
        <v>598.40999999999974</v>
      </c>
      <c r="R196" s="306">
        <f t="shared" ca="1" si="78"/>
        <v>0.30031409804845566</v>
      </c>
      <c r="S196" s="307">
        <f t="shared" ca="1" si="79"/>
        <v>5.413177989185618</v>
      </c>
      <c r="T196" s="304">
        <f t="shared" ref="T196:T259" ca="1" si="88">m*g</f>
        <v>53.103276073910912</v>
      </c>
      <c r="U196" s="311">
        <f t="shared" ref="U196:U259" ca="1" si="89">IF(pos_xz&lt;L_rampe,Poids*COS(Beta),0)</f>
        <v>0</v>
      </c>
      <c r="V196" s="306">
        <f t="shared" ref="V196:V259" ca="1" si="90">Rho_moyen*(20000-Alt_rampe-pos_z)/(20000+Alt_rampe+pos_z)</f>
        <v>1.1801810488995408</v>
      </c>
      <c r="W196" s="304">
        <f t="shared" ref="W196:W259" ca="1" si="91">1/2*Rho*Sref*Cx*vit_xz^2</f>
        <v>269.73309344502024</v>
      </c>
      <c r="Y196" s="314" t="str">
        <f t="shared" ca="1" si="80"/>
        <v/>
      </c>
      <c r="Z196" s="315" t="str">
        <f t="shared" ca="1" si="81"/>
        <v/>
      </c>
      <c r="AA196" s="316" t="str">
        <f t="shared" ca="1" si="82"/>
        <v/>
      </c>
      <c r="AC196" s="310" t="e">
        <f t="shared" ca="1" si="83"/>
        <v>#N/A</v>
      </c>
      <c r="AD196" s="323" t="e">
        <f t="shared" ca="1" si="84"/>
        <v>#N/A</v>
      </c>
      <c r="AE196" s="324">
        <f t="shared" ref="AE196:AE259" ca="1" si="92">IF(t&lt;T_para, pos_z, NA())</f>
        <v>372.68671413293714</v>
      </c>
      <c r="AG196" s="306">
        <f t="shared" ca="1" si="85"/>
        <v>51.263016718487322</v>
      </c>
      <c r="AH196" s="304">
        <f t="shared" ca="1" si="86"/>
        <v>60.891708173595298</v>
      </c>
    </row>
    <row r="197" spans="1:34" x14ac:dyDescent="0.2">
      <c r="A197" s="347">
        <f t="shared" ref="A197:A260" ca="1" si="93">IF(B196+0.01&lt;=T_ini+ROUNDUP(Temps_fin_propu,0), 0.01, IF(K196&gt;0, 0.1, 0.0001))</f>
        <v>0.01</v>
      </c>
      <c r="B197" s="304">
        <f t="shared" ref="B197:B260" ca="1" si="94">B196+pas</f>
        <v>1.9300000000000015</v>
      </c>
      <c r="D197" s="306">
        <f t="shared" ref="D197:D260" ca="1" si="95">IF(AND(L196&lt;L_rampe,Poussee&lt;Poids*SIN(M196)),0,(-W196+Poussee)/m*COS(M196)-U196/m*SIN(M196))</f>
        <v>11.578458157668434</v>
      </c>
      <c r="E197" s="307">
        <f t="shared" ref="E197:E260" ca="1" si="96">IF(AND(L196&lt;L_rampe,Poussee&lt;Poids*SIN(M196)),0,(-W196+Poussee)/m*SIN(M196)+U196/m*COS(M196)-Poids/m)</f>
        <v>49.553060154326673</v>
      </c>
      <c r="F197" s="304">
        <f t="shared" ref="F197:F260" ca="1" si="97">SQRT(acc_x^2+acc_z^2)</f>
        <v>50.887783052194337</v>
      </c>
      <c r="G197" s="306">
        <f t="shared" ref="G197:G260" ca="1" si="98">G196+acc_x*pas</f>
        <v>52.345536642426687</v>
      </c>
      <c r="H197" s="307">
        <f t="shared" ref="H197:H260" ca="1" si="99">H196+acc_z*pas</f>
        <v>268.27884606659308</v>
      </c>
      <c r="I197" s="304">
        <f t="shared" ref="I197:I260" ca="1" si="100">SQRT(vit_x^2+vit_z^2)</f>
        <v>273.33787599453973</v>
      </c>
      <c r="J197" s="306">
        <f t="shared" ref="J197:J260" ca="1" si="101">J196+0.5*(vit_x+G196)*pas*(K196&gt;=0)</f>
        <v>70.657699596959461</v>
      </c>
      <c r="K197" s="307">
        <f t="shared" ref="K197:K260" ca="1" si="102">K196+0.5*(vit_z+H196)*pas</f>
        <v>375.36702494059534</v>
      </c>
      <c r="L197" s="304">
        <f t="shared" ca="1" si="87"/>
        <v>381.95930925307698</v>
      </c>
      <c r="M197" s="306">
        <f t="shared" ref="M197:M260" ca="1" si="103">IF(AND(L196&gt;L_rampe,G197&gt;0),ATAN2(G197,H197),$M$4)</f>
        <v>1.3781011527439302</v>
      </c>
      <c r="N197" s="304">
        <f t="shared" ref="N197:N260" ca="1" si="104">DEGREES(Beta)</f>
        <v>78.959379794340805</v>
      </c>
      <c r="P197" s="310">
        <f t="shared" ref="P197:P260" ca="1" si="105">MATCH(t-pas/2-T_ini,CdP_t)</f>
        <v>5</v>
      </c>
      <c r="Q197" s="304">
        <f t="shared" ref="Q197:Q260" ca="1" si="106">(INDEX(CdP,2,i_P+1)-INDEX(CdP,2,i_P+0))/(INDEX(CdP,1,i_P+1)-INDEX(CdP,1,i_P+0))*(t-pas/2-T_ini-INDEX(CdP,1,i_P+0))+INDEX(CdP,2,i_P+0)</f>
        <v>596.94999999999982</v>
      </c>
      <c r="R197" s="306">
        <f t="shared" ref="R197:R260" ca="1" si="107">Poussee/(g*ISP)</f>
        <v>0.29958139207236784</v>
      </c>
      <c r="S197" s="307">
        <f t="shared" ref="S197:S260" ca="1" si="108">S196-Débit*pas</f>
        <v>5.410182175264894</v>
      </c>
      <c r="T197" s="304">
        <f t="shared" ca="1" si="88"/>
        <v>53.073887139348614</v>
      </c>
      <c r="U197" s="311">
        <f t="shared" ca="1" si="89"/>
        <v>0</v>
      </c>
      <c r="V197" s="306">
        <f t="shared" ca="1" si="90"/>
        <v>1.1798646554450403</v>
      </c>
      <c r="W197" s="304">
        <f t="shared" ca="1" si="91"/>
        <v>270.66696959976548</v>
      </c>
      <c r="Y197" s="314" t="str">
        <f t="shared" ref="Y197:Y260" ca="1" si="109">IF(AND(pos_z&lt;=0,K196&gt;0),"Impact balistique","") &amp; IF(AND(H198&lt;0,vit_z&gt;=0),"Apogée","") &amp; IF(AND(Poussee=0,Q196&gt;0),"Fin de propulsion","") &amp; IF(AND(L198&gt;L_rampe,pos_xz&lt;=L_rampe),"Sortie de rampe","")</f>
        <v/>
      </c>
      <c r="Z197" s="315" t="str">
        <f t="shared" ref="Z197:Z260" ca="1" si="110">IF(ABS(t-T_para)&lt;pas/2,"Para","")</f>
        <v/>
      </c>
      <c r="AA197" s="316" t="str">
        <f t="shared" ref="AA197:AA260" ca="1" si="111">IF(ABS(t-T_satellite)&lt;pas/2,"Satellite","")</f>
        <v/>
      </c>
      <c r="AC197" s="310" t="e">
        <f t="shared" ref="AC197:AC260" ca="1" si="112">IF(ABS(t-ROUND(t,0))&lt;0.001,t,NA())</f>
        <v>#N/A</v>
      </c>
      <c r="AD197" s="323" t="e">
        <f t="shared" ref="AD197:AD260" ca="1" si="113">IF(ABS(t-ROUND(t,0))&lt;0.001,pos_x,NA())</f>
        <v>#N/A</v>
      </c>
      <c r="AE197" s="324">
        <f t="shared" ca="1" si="92"/>
        <v>375.36702494059534</v>
      </c>
      <c r="AG197" s="306">
        <f t="shared" ref="AG197:AG260" ca="1" si="114">IF(AND(L196&lt;L_rampe,Poussee&lt;Poids*SIN(M196)),0,(-W196+Poussee)/m-Poids*SIN(M196)/m)</f>
        <v>50.853117652902426</v>
      </c>
      <c r="AH197" s="304">
        <f t="shared" ref="AH197:AH260" ca="1" si="115">IF(AND(L196&lt;L_rampe,Poussee&lt;Poids*SIN(M196)), g*SIN(M196), (-W196+Poussee)/m)</f>
        <v>60.481679905530783</v>
      </c>
    </row>
    <row r="198" spans="1:34" x14ac:dyDescent="0.2">
      <c r="A198" s="347">
        <f t="shared" ca="1" si="93"/>
        <v>0.01</v>
      </c>
      <c r="B198" s="304">
        <f t="shared" ca="1" si="94"/>
        <v>1.9400000000000015</v>
      </c>
      <c r="D198" s="306">
        <f t="shared" ca="1" si="95"/>
        <v>11.504155103231296</v>
      </c>
      <c r="E198" s="307">
        <f t="shared" ca="1" si="96"/>
        <v>49.150546667975142</v>
      </c>
      <c r="F198" s="304">
        <f t="shared" ca="1" si="97"/>
        <v>50.478924536879795</v>
      </c>
      <c r="G198" s="306">
        <f t="shared" ca="1" si="98"/>
        <v>52.460578193459</v>
      </c>
      <c r="H198" s="307">
        <f t="shared" ca="1" si="99"/>
        <v>268.77035153327284</v>
      </c>
      <c r="I198" s="304">
        <f t="shared" ca="1" si="100"/>
        <v>273.84231617431061</v>
      </c>
      <c r="J198" s="306">
        <f t="shared" ca="1" si="101"/>
        <v>71.181730171138895</v>
      </c>
      <c r="K198" s="307">
        <f t="shared" ca="1" si="102"/>
        <v>378.05227092859468</v>
      </c>
      <c r="L198" s="304">
        <f t="shared" ca="1" si="87"/>
        <v>384.695149780218</v>
      </c>
      <c r="M198" s="306">
        <f t="shared" ca="1" si="103"/>
        <v>1.3780325489254042</v>
      </c>
      <c r="N198" s="304">
        <f t="shared" ca="1" si="104"/>
        <v>78.955449085080787</v>
      </c>
      <c r="P198" s="310">
        <f t="shared" ca="1" si="105"/>
        <v>5</v>
      </c>
      <c r="Q198" s="304">
        <f t="shared" ca="1" si="106"/>
        <v>595.48999999999978</v>
      </c>
      <c r="R198" s="306">
        <f t="shared" ca="1" si="107"/>
        <v>0.2988486860962799</v>
      </c>
      <c r="S198" s="307">
        <f t="shared" ca="1" si="108"/>
        <v>5.4071936884039316</v>
      </c>
      <c r="T198" s="304">
        <f t="shared" ca="1" si="88"/>
        <v>53.044570083242569</v>
      </c>
      <c r="U198" s="311">
        <f t="shared" ca="1" si="89"/>
        <v>0</v>
      </c>
      <c r="V198" s="306">
        <f t="shared" ca="1" si="90"/>
        <v>1.1795477628842668</v>
      </c>
      <c r="W198" s="304">
        <f t="shared" ca="1" si="91"/>
        <v>271.59394823930438</v>
      </c>
      <c r="Y198" s="314" t="str">
        <f t="shared" ca="1" si="109"/>
        <v/>
      </c>
      <c r="Z198" s="315" t="str">
        <f t="shared" ca="1" si="110"/>
        <v/>
      </c>
      <c r="AA198" s="316" t="str">
        <f t="shared" ca="1" si="111"/>
        <v/>
      </c>
      <c r="AC198" s="310" t="e">
        <f t="shared" ca="1" si="112"/>
        <v>#N/A</v>
      </c>
      <c r="AD198" s="323" t="e">
        <f t="shared" ca="1" si="113"/>
        <v>#N/A</v>
      </c>
      <c r="AE198" s="324">
        <f t="shared" ca="1" si="92"/>
        <v>378.05227092859468</v>
      </c>
      <c r="AG198" s="306">
        <f t="shared" ca="1" si="114"/>
        <v>50.443953535361473</v>
      </c>
      <c r="AH198" s="304">
        <f t="shared" ca="1" si="115"/>
        <v>60.072386734885754</v>
      </c>
    </row>
    <row r="199" spans="1:34" x14ac:dyDescent="0.2">
      <c r="A199" s="347">
        <f t="shared" ca="1" si="93"/>
        <v>0.01</v>
      </c>
      <c r="B199" s="304">
        <f t="shared" ca="1" si="94"/>
        <v>1.9500000000000015</v>
      </c>
      <c r="D199" s="306">
        <f t="shared" ca="1" si="95"/>
        <v>11.429933088743853</v>
      </c>
      <c r="E199" s="307">
        <f t="shared" ca="1" si="96"/>
        <v>48.74877384604396</v>
      </c>
      <c r="F199" s="304">
        <f t="shared" ca="1" si="97"/>
        <v>50.070813074144311</v>
      </c>
      <c r="G199" s="306">
        <f t="shared" ca="1" si="98"/>
        <v>52.574877524346441</v>
      </c>
      <c r="H199" s="307">
        <f t="shared" ca="1" si="99"/>
        <v>269.2578392717333</v>
      </c>
      <c r="I199" s="304">
        <f t="shared" ca="1" si="100"/>
        <v>274.34267213829969</v>
      </c>
      <c r="J199" s="306">
        <f t="shared" ca="1" si="101"/>
        <v>71.706907449727922</v>
      </c>
      <c r="K199" s="307">
        <f t="shared" ca="1" si="102"/>
        <v>380.74241188261971</v>
      </c>
      <c r="L199" s="304">
        <f t="shared" ca="1" si="87"/>
        <v>387.43601379092041</v>
      </c>
      <c r="M199" s="306">
        <f t="shared" ca="1" si="103"/>
        <v>1.3779640461516811</v>
      </c>
      <c r="N199" s="304">
        <f t="shared" ca="1" si="104"/>
        <v>78.951524165261517</v>
      </c>
      <c r="P199" s="310">
        <f t="shared" ca="1" si="105"/>
        <v>5</v>
      </c>
      <c r="Q199" s="304">
        <f t="shared" ca="1" si="106"/>
        <v>594.02999999999975</v>
      </c>
      <c r="R199" s="306">
        <f t="shared" ca="1" si="107"/>
        <v>0.29811598012019203</v>
      </c>
      <c r="S199" s="307">
        <f t="shared" ca="1" si="108"/>
        <v>5.4042125286027298</v>
      </c>
      <c r="T199" s="304">
        <f t="shared" ca="1" si="88"/>
        <v>53.015324905592784</v>
      </c>
      <c r="U199" s="311">
        <f t="shared" ca="1" si="89"/>
        <v>0</v>
      </c>
      <c r="V199" s="306">
        <f t="shared" ca="1" si="90"/>
        <v>1.1792303763886169</v>
      </c>
      <c r="W199" s="304">
        <f t="shared" ca="1" si="91"/>
        <v>272.51400423511927</v>
      </c>
      <c r="Y199" s="314" t="str">
        <f t="shared" ca="1" si="109"/>
        <v/>
      </c>
      <c r="Z199" s="315" t="str">
        <f t="shared" ca="1" si="110"/>
        <v/>
      </c>
      <c r="AA199" s="316" t="str">
        <f t="shared" ca="1" si="111"/>
        <v/>
      </c>
      <c r="AC199" s="310" t="e">
        <f t="shared" ca="1" si="112"/>
        <v>#N/A</v>
      </c>
      <c r="AD199" s="323" t="e">
        <f t="shared" ca="1" si="113"/>
        <v>#N/A</v>
      </c>
      <c r="AE199" s="324">
        <f t="shared" ca="1" si="92"/>
        <v>380.74241188261971</v>
      </c>
      <c r="AG199" s="306">
        <f t="shared" ca="1" si="114"/>
        <v>50.035532029474879</v>
      </c>
      <c r="AH199" s="304">
        <f t="shared" ca="1" si="115"/>
        <v>59.663836322895662</v>
      </c>
    </row>
    <row r="200" spans="1:34" x14ac:dyDescent="0.2">
      <c r="A200" s="347">
        <f t="shared" ca="1" si="93"/>
        <v>0.01</v>
      </c>
      <c r="B200" s="304">
        <f t="shared" ca="1" si="94"/>
        <v>1.9600000000000015</v>
      </c>
      <c r="D200" s="306">
        <f t="shared" ca="1" si="95"/>
        <v>11.355793913761932</v>
      </c>
      <c r="E200" s="307">
        <f t="shared" ca="1" si="96"/>
        <v>48.347749031725343</v>
      </c>
      <c r="F200" s="304">
        <f t="shared" ca="1" si="97"/>
        <v>49.663456301857721</v>
      </c>
      <c r="G200" s="306">
        <f t="shared" ca="1" si="98"/>
        <v>52.688435463484062</v>
      </c>
      <c r="H200" s="307">
        <f t="shared" ca="1" si="99"/>
        <v>269.74131676205053</v>
      </c>
      <c r="I200" s="304">
        <f t="shared" ca="1" si="100"/>
        <v>274.83895138810766</v>
      </c>
      <c r="J200" s="306">
        <f t="shared" ca="1" si="101"/>
        <v>72.233224014667073</v>
      </c>
      <c r="K200" s="307">
        <f t="shared" ca="1" si="102"/>
        <v>383.43740766278864</v>
      </c>
      <c r="L200" s="304">
        <f t="shared" ca="1" si="87"/>
        <v>390.18186047881909</v>
      </c>
      <c r="M200" s="306">
        <f t="shared" ca="1" si="103"/>
        <v>1.3778956430759579</v>
      </c>
      <c r="N200" s="304">
        <f t="shared" ca="1" si="104"/>
        <v>78.947604957716862</v>
      </c>
      <c r="P200" s="310">
        <f t="shared" ca="1" si="105"/>
        <v>5</v>
      </c>
      <c r="Q200" s="304">
        <f t="shared" ca="1" si="106"/>
        <v>592.56999999999971</v>
      </c>
      <c r="R200" s="306">
        <f t="shared" ca="1" si="107"/>
        <v>0.29738327414410415</v>
      </c>
      <c r="S200" s="307">
        <f t="shared" ca="1" si="108"/>
        <v>5.4012386958612888</v>
      </c>
      <c r="T200" s="304">
        <f t="shared" ca="1" si="88"/>
        <v>52.986151606399247</v>
      </c>
      <c r="U200" s="311">
        <f t="shared" ca="1" si="89"/>
        <v>0</v>
      </c>
      <c r="V200" s="306">
        <f t="shared" ca="1" si="90"/>
        <v>1.1789125011161918</v>
      </c>
      <c r="W200" s="304">
        <f t="shared" ca="1" si="91"/>
        <v>273.42711314170884</v>
      </c>
      <c r="Y200" s="314" t="str">
        <f t="shared" ca="1" si="109"/>
        <v/>
      </c>
      <c r="Z200" s="315" t="str">
        <f t="shared" ca="1" si="110"/>
        <v/>
      </c>
      <c r="AA200" s="316" t="str">
        <f t="shared" ca="1" si="111"/>
        <v/>
      </c>
      <c r="AC200" s="310" t="e">
        <f t="shared" ca="1" si="112"/>
        <v>#N/A</v>
      </c>
      <c r="AD200" s="323" t="e">
        <f t="shared" ca="1" si="113"/>
        <v>#N/A</v>
      </c>
      <c r="AE200" s="324">
        <f t="shared" ca="1" si="92"/>
        <v>383.43740766278864</v>
      </c>
      <c r="AG200" s="306">
        <f t="shared" ca="1" si="114"/>
        <v>49.627860682492141</v>
      </c>
      <c r="AH200" s="304">
        <f t="shared" ca="1" si="115"/>
        <v>59.256036214456522</v>
      </c>
    </row>
    <row r="201" spans="1:34" x14ac:dyDescent="0.2">
      <c r="A201" s="347">
        <f t="shared" ca="1" si="93"/>
        <v>0.01</v>
      </c>
      <c r="B201" s="304">
        <f t="shared" ca="1" si="94"/>
        <v>1.9700000000000015</v>
      </c>
      <c r="D201" s="306">
        <f t="shared" ca="1" si="95"/>
        <v>11.281739354226156</v>
      </c>
      <c r="E201" s="307">
        <f t="shared" ca="1" si="96"/>
        <v>47.94747945456222</v>
      </c>
      <c r="F201" s="304">
        <f t="shared" ca="1" si="97"/>
        <v>49.256861744353564</v>
      </c>
      <c r="G201" s="306">
        <f t="shared" ca="1" si="98"/>
        <v>52.80125285702632</v>
      </c>
      <c r="H201" s="307">
        <f t="shared" ca="1" si="99"/>
        <v>270.22079155659617</v>
      </c>
      <c r="I201" s="304">
        <f t="shared" ca="1" si="100"/>
        <v>275.33116149964758</v>
      </c>
      <c r="J201" s="306">
        <f t="shared" ca="1" si="101"/>
        <v>72.760672456269631</v>
      </c>
      <c r="K201" s="307">
        <f t="shared" ca="1" si="102"/>
        <v>386.1372182043819</v>
      </c>
      <c r="L201" s="304">
        <f t="shared" ca="1" si="87"/>
        <v>392.93264911293261</v>
      </c>
      <c r="M201" s="306">
        <f t="shared" ca="1" si="103"/>
        <v>1.3778273383645507</v>
      </c>
      <c r="N201" s="304">
        <f t="shared" ca="1" si="104"/>
        <v>78.94369138603237</v>
      </c>
      <c r="P201" s="310">
        <f t="shared" ca="1" si="105"/>
        <v>5</v>
      </c>
      <c r="Q201" s="304">
        <f t="shared" ca="1" si="106"/>
        <v>591.10999999999979</v>
      </c>
      <c r="R201" s="306">
        <f t="shared" ca="1" si="107"/>
        <v>0.29665056816801633</v>
      </c>
      <c r="S201" s="307">
        <f t="shared" ca="1" si="108"/>
        <v>5.3982721901796085</v>
      </c>
      <c r="T201" s="304">
        <f t="shared" ca="1" si="88"/>
        <v>52.957050185661963</v>
      </c>
      <c r="U201" s="311">
        <f t="shared" ca="1" si="89"/>
        <v>0</v>
      </c>
      <c r="V201" s="306">
        <f t="shared" ca="1" si="90"/>
        <v>1.1785941422117014</v>
      </c>
      <c r="W201" s="304">
        <f t="shared" ca="1" si="91"/>
        <v>274.33325119236201</v>
      </c>
      <c r="Y201" s="314" t="str">
        <f t="shared" ca="1" si="109"/>
        <v/>
      </c>
      <c r="Z201" s="315" t="str">
        <f t="shared" ca="1" si="110"/>
        <v/>
      </c>
      <c r="AA201" s="316" t="str">
        <f t="shared" ca="1" si="111"/>
        <v/>
      </c>
      <c r="AC201" s="310" t="e">
        <f t="shared" ca="1" si="112"/>
        <v>#N/A</v>
      </c>
      <c r="AD201" s="323" t="e">
        <f t="shared" ca="1" si="113"/>
        <v>#N/A</v>
      </c>
      <c r="AE201" s="324">
        <f t="shared" ca="1" si="92"/>
        <v>386.1372182043819</v>
      </c>
      <c r="AG201" s="306">
        <f t="shared" ca="1" si="114"/>
        <v>49.220946925652271</v>
      </c>
      <c r="AH201" s="304">
        <f t="shared" ca="1" si="115"/>
        <v>58.848993838475039</v>
      </c>
    </row>
    <row r="202" spans="1:34" x14ac:dyDescent="0.2">
      <c r="A202" s="347">
        <f t="shared" ca="1" si="93"/>
        <v>0.01</v>
      </c>
      <c r="B202" s="304">
        <f t="shared" ca="1" si="94"/>
        <v>1.9800000000000015</v>
      </c>
      <c r="D202" s="306">
        <f t="shared" ca="1" si="95"/>
        <v>11.207771162533586</v>
      </c>
      <c r="E202" s="307">
        <f t="shared" ca="1" si="96"/>
        <v>47.547972230804788</v>
      </c>
      <c r="F202" s="304">
        <f t="shared" ca="1" si="97"/>
        <v>48.851036812877396</v>
      </c>
      <c r="G202" s="306">
        <f t="shared" ca="1" si="98"/>
        <v>52.913330568651659</v>
      </c>
      <c r="H202" s="307">
        <f t="shared" ca="1" si="99"/>
        <v>270.69627127890419</v>
      </c>
      <c r="I202" s="304">
        <f t="shared" ca="1" si="100"/>
        <v>275.81931012198822</v>
      </c>
      <c r="J202" s="306">
        <f t="shared" ca="1" si="101"/>
        <v>73.289245373398018</v>
      </c>
      <c r="K202" s="307">
        <f t="shared" ca="1" si="102"/>
        <v>388.8418035185594</v>
      </c>
      <c r="L202" s="304">
        <f t="shared" ca="1" si="87"/>
        <v>395.68833903840039</v>
      </c>
      <c r="M202" s="306">
        <f t="shared" ca="1" si="103"/>
        <v>1.3777591306966936</v>
      </c>
      <c r="N202" s="304">
        <f t="shared" ca="1" si="104"/>
        <v>78.939783374533732</v>
      </c>
      <c r="P202" s="310">
        <f t="shared" ca="1" si="105"/>
        <v>5</v>
      </c>
      <c r="Q202" s="304">
        <f t="shared" ca="1" si="106"/>
        <v>589.64999999999975</v>
      </c>
      <c r="R202" s="306">
        <f t="shared" ca="1" si="107"/>
        <v>0.29591786219192839</v>
      </c>
      <c r="S202" s="307">
        <f t="shared" ca="1" si="108"/>
        <v>5.3953130115576888</v>
      </c>
      <c r="T202" s="304">
        <f t="shared" ca="1" si="88"/>
        <v>52.928020643380933</v>
      </c>
      <c r="U202" s="311">
        <f t="shared" ca="1" si="89"/>
        <v>0</v>
      </c>
      <c r="V202" s="306">
        <f t="shared" ca="1" si="90"/>
        <v>1.1782753048063737</v>
      </c>
      <c r="W202" s="304">
        <f t="shared" ca="1" si="91"/>
        <v>275.2323952948849</v>
      </c>
      <c r="Y202" s="314" t="str">
        <f t="shared" ca="1" si="109"/>
        <v/>
      </c>
      <c r="Z202" s="315" t="str">
        <f t="shared" ca="1" si="110"/>
        <v/>
      </c>
      <c r="AA202" s="316" t="str">
        <f t="shared" ca="1" si="111"/>
        <v/>
      </c>
      <c r="AC202" s="310" t="e">
        <f t="shared" ca="1" si="112"/>
        <v>#N/A</v>
      </c>
      <c r="AD202" s="323" t="e">
        <f t="shared" ca="1" si="113"/>
        <v>#N/A</v>
      </c>
      <c r="AE202" s="324">
        <f t="shared" ca="1" si="92"/>
        <v>388.8418035185594</v>
      </c>
      <c r="AG202" s="306">
        <f t="shared" ca="1" si="114"/>
        <v>48.814798074546857</v>
      </c>
      <c r="AH202" s="304">
        <f t="shared" ca="1" si="115"/>
        <v>58.442716508231314</v>
      </c>
    </row>
    <row r="203" spans="1:34" x14ac:dyDescent="0.2">
      <c r="A203" s="347">
        <f t="shared" ca="1" si="93"/>
        <v>0.01</v>
      </c>
      <c r="B203" s="304">
        <f t="shared" ca="1" si="94"/>
        <v>1.9900000000000015</v>
      </c>
      <c r="D203" s="306">
        <f t="shared" ca="1" si="95"/>
        <v>11.133891067611568</v>
      </c>
      <c r="E203" s="307">
        <f t="shared" ca="1" si="96"/>
        <v>47.149234363779172</v>
      </c>
      <c r="F203" s="304">
        <f t="shared" ca="1" si="97"/>
        <v>48.445988806050963</v>
      </c>
      <c r="G203" s="306">
        <f t="shared" ca="1" si="98"/>
        <v>53.024669479327777</v>
      </c>
      <c r="H203" s="307">
        <f t="shared" ca="1" si="99"/>
        <v>271.167763622542</v>
      </c>
      <c r="I203" s="304">
        <f t="shared" ca="1" si="100"/>
        <v>276.30340497620142</v>
      </c>
      <c r="J203" s="306">
        <f t="shared" ca="1" si="101"/>
        <v>73.818935373637913</v>
      </c>
      <c r="K203" s="307">
        <f t="shared" ca="1" si="102"/>
        <v>391.55112369306664</v>
      </c>
      <c r="L203" s="304">
        <f t="shared" ca="1" si="87"/>
        <v>398.4488896772088</v>
      </c>
      <c r="M203" s="306">
        <f t="shared" ca="1" si="103"/>
        <v>1.3776910187643421</v>
      </c>
      <c r="N203" s="304">
        <f t="shared" ca="1" si="104"/>
        <v>78.935880848275502</v>
      </c>
      <c r="P203" s="310">
        <f t="shared" ca="1" si="105"/>
        <v>5</v>
      </c>
      <c r="Q203" s="304">
        <f t="shared" ca="1" si="106"/>
        <v>588.18999999999971</v>
      </c>
      <c r="R203" s="306">
        <f t="shared" ca="1" si="107"/>
        <v>0.29518515621584052</v>
      </c>
      <c r="S203" s="307">
        <f t="shared" ca="1" si="108"/>
        <v>5.3923611599955308</v>
      </c>
      <c r="T203" s="304">
        <f t="shared" ca="1" si="88"/>
        <v>52.899062979556163</v>
      </c>
      <c r="U203" s="311">
        <f t="shared" ca="1" si="89"/>
        <v>0</v>
      </c>
      <c r="V203" s="306">
        <f t="shared" ca="1" si="90"/>
        <v>1.1779559940178659</v>
      </c>
      <c r="W203" s="304">
        <f t="shared" ca="1" si="91"/>
        <v>276.12452302728303</v>
      </c>
      <c r="Y203" s="314" t="str">
        <f t="shared" ca="1" si="109"/>
        <v/>
      </c>
      <c r="Z203" s="315" t="str">
        <f t="shared" ca="1" si="110"/>
        <v/>
      </c>
      <c r="AA203" s="316" t="str">
        <f t="shared" ca="1" si="111"/>
        <v/>
      </c>
      <c r="AC203" s="310" t="e">
        <f t="shared" ca="1" si="112"/>
        <v>#N/A</v>
      </c>
      <c r="AD203" s="323" t="e">
        <f t="shared" ca="1" si="113"/>
        <v>#N/A</v>
      </c>
      <c r="AE203" s="324">
        <f t="shared" ca="1" si="92"/>
        <v>391.55112369306664</v>
      </c>
      <c r="AG203" s="306">
        <f t="shared" ca="1" si="114"/>
        <v>48.409421329495423</v>
      </c>
      <c r="AH203" s="304">
        <f t="shared" ca="1" si="115"/>
        <v>58.037211421753916</v>
      </c>
    </row>
    <row r="204" spans="1:34" x14ac:dyDescent="0.2">
      <c r="A204" s="347">
        <f t="shared" ca="1" si="93"/>
        <v>0.01</v>
      </c>
      <c r="B204" s="304">
        <f t="shared" ca="1" si="94"/>
        <v>2.0000000000000013</v>
      </c>
      <c r="D204" s="306">
        <f t="shared" ca="1" si="95"/>
        <v>11.060100774993444</v>
      </c>
      <c r="E204" s="307">
        <f t="shared" ca="1" si="96"/>
        <v>46.751272744267879</v>
      </c>
      <c r="F204" s="304">
        <f t="shared" ca="1" si="97"/>
        <v>48.041724910351995</v>
      </c>
      <c r="G204" s="306">
        <f t="shared" ca="1" si="98"/>
        <v>53.135270487077712</v>
      </c>
      <c r="H204" s="307">
        <f t="shared" ca="1" si="99"/>
        <v>271.63527634998468</v>
      </c>
      <c r="I204" s="304">
        <f t="shared" ca="1" si="100"/>
        <v>276.78345385421335</v>
      </c>
      <c r="J204" s="306">
        <f t="shared" ca="1" si="101"/>
        <v>74.349735073469944</v>
      </c>
      <c r="K204" s="307">
        <f t="shared" ca="1" si="102"/>
        <v>394.26513889292926</v>
      </c>
      <c r="L204" s="304">
        <f t="shared" ca="1" si="87"/>
        <v>401.21426052890484</v>
      </c>
      <c r="M204" s="306">
        <f t="shared" ca="1" si="103"/>
        <v>1.3776230012719803</v>
      </c>
      <c r="N204" s="304">
        <f t="shared" ca="1" si="104"/>
        <v>78.931983733030108</v>
      </c>
      <c r="P204" s="310">
        <f t="shared" ca="1" si="105"/>
        <v>5</v>
      </c>
      <c r="Q204" s="304">
        <f t="shared" ca="1" si="106"/>
        <v>586.72999999999979</v>
      </c>
      <c r="R204" s="306">
        <f t="shared" ca="1" si="107"/>
        <v>0.29445245023975269</v>
      </c>
      <c r="S204" s="307">
        <f t="shared" ca="1" si="108"/>
        <v>5.3894166354931334</v>
      </c>
      <c r="T204" s="304">
        <f t="shared" ca="1" si="88"/>
        <v>52.87017719418764</v>
      </c>
      <c r="U204" s="311">
        <f t="shared" ca="1" si="89"/>
        <v>0</v>
      </c>
      <c r="V204" s="306">
        <f t="shared" ca="1" si="90"/>
        <v>1.1776362149501745</v>
      </c>
      <c r="W204" s="304">
        <f t="shared" ca="1" si="91"/>
        <v>277.00961263339929</v>
      </c>
      <c r="Y204" s="314" t="str">
        <f t="shared" ca="1" si="109"/>
        <v/>
      </c>
      <c r="Z204" s="315" t="str">
        <f t="shared" ca="1" si="110"/>
        <v/>
      </c>
      <c r="AA204" s="316" t="str">
        <f t="shared" ca="1" si="111"/>
        <v/>
      </c>
      <c r="AC204" s="310">
        <f t="shared" ca="1" si="112"/>
        <v>2.0000000000000013</v>
      </c>
      <c r="AD204" s="323">
        <f t="shared" ca="1" si="113"/>
        <v>74.349735073469944</v>
      </c>
      <c r="AE204" s="324">
        <f t="shared" ca="1" si="92"/>
        <v>394.26513889292926</v>
      </c>
      <c r="AG204" s="306">
        <f t="shared" ca="1" si="114"/>
        <v>48.004823775932671</v>
      </c>
      <c r="AH204" s="304">
        <f t="shared" ca="1" si="115"/>
        <v>57.63248566220679</v>
      </c>
    </row>
    <row r="205" spans="1:34" x14ac:dyDescent="0.2">
      <c r="A205" s="347">
        <f t="shared" ca="1" si="93"/>
        <v>0.01</v>
      </c>
      <c r="B205" s="304">
        <f t="shared" ca="1" si="94"/>
        <v>2.0100000000000011</v>
      </c>
      <c r="D205" s="306">
        <f t="shared" ca="1" si="95"/>
        <v>10.986401966896185</v>
      </c>
      <c r="E205" s="307">
        <f t="shared" ca="1" si="96"/>
        <v>46.354094150901687</v>
      </c>
      <c r="F205" s="304">
        <f t="shared" ca="1" si="97"/>
        <v>47.638252200609529</v>
      </c>
      <c r="G205" s="306">
        <f t="shared" ca="1" si="98"/>
        <v>53.245134506746673</v>
      </c>
      <c r="H205" s="307">
        <f t="shared" ca="1" si="99"/>
        <v>272.09881729149367</v>
      </c>
      <c r="I205" s="304">
        <f t="shared" ca="1" si="100"/>
        <v>277.25946461765955</v>
      </c>
      <c r="J205" s="306">
        <f t="shared" ca="1" si="101"/>
        <v>74.881637098439072</v>
      </c>
      <c r="K205" s="307">
        <f t="shared" ca="1" si="102"/>
        <v>396.98380936113665</v>
      </c>
      <c r="L205" s="304">
        <f t="shared" ca="1" si="87"/>
        <v>403.98441117129954</v>
      </c>
      <c r="M205" s="306">
        <f t="shared" ca="1" si="103"/>
        <v>1.3775550769364306</v>
      </c>
      <c r="N205" s="304">
        <f t="shared" ca="1" si="104"/>
        <v>78.928091955276884</v>
      </c>
      <c r="P205" s="310">
        <f t="shared" ca="1" si="105"/>
        <v>6</v>
      </c>
      <c r="Q205" s="304">
        <f t="shared" ca="1" si="106"/>
        <v>585.26999999999987</v>
      </c>
      <c r="R205" s="306">
        <f t="shared" ca="1" si="107"/>
        <v>0.29371974426366482</v>
      </c>
      <c r="S205" s="307">
        <f t="shared" ca="1" si="108"/>
        <v>5.3864794380504968</v>
      </c>
      <c r="T205" s="304">
        <f t="shared" ca="1" si="88"/>
        <v>52.841363287275378</v>
      </c>
      <c r="U205" s="311">
        <f t="shared" ca="1" si="89"/>
        <v>0</v>
      </c>
      <c r="V205" s="306">
        <f t="shared" ca="1" si="90"/>
        <v>1.1773159726935505</v>
      </c>
      <c r="W205" s="304">
        <f t="shared" ca="1" si="91"/>
        <v>277.8876430185091</v>
      </c>
      <c r="Y205" s="314" t="str">
        <f t="shared" ca="1" si="109"/>
        <v/>
      </c>
      <c r="Z205" s="315" t="str">
        <f t="shared" ca="1" si="110"/>
        <v/>
      </c>
      <c r="AA205" s="316" t="str">
        <f t="shared" ca="1" si="111"/>
        <v/>
      </c>
      <c r="AC205" s="310" t="e">
        <f t="shared" ca="1" si="112"/>
        <v>#N/A</v>
      </c>
      <c r="AD205" s="323" t="e">
        <f t="shared" ca="1" si="113"/>
        <v>#N/A</v>
      </c>
      <c r="AE205" s="324">
        <f t="shared" ca="1" si="92"/>
        <v>396.98380936113665</v>
      </c>
      <c r="AG205" s="306">
        <f t="shared" ca="1" si="114"/>
        <v>47.601012384807412</v>
      </c>
      <c r="AH205" s="304">
        <f t="shared" ca="1" si="115"/>
        <v>57.22854619828788</v>
      </c>
    </row>
    <row r="206" spans="1:34" x14ac:dyDescent="0.2">
      <c r="A206" s="347">
        <f t="shared" ca="1" si="93"/>
        <v>0.01</v>
      </c>
      <c r="B206" s="304">
        <f t="shared" ca="1" si="94"/>
        <v>2.0200000000000009</v>
      </c>
      <c r="D206" s="306">
        <f t="shared" ca="1" si="95"/>
        <v>10.912796302300094</v>
      </c>
      <c r="E206" s="307">
        <f t="shared" ca="1" si="96"/>
        <v>45.957705250563194</v>
      </c>
      <c r="F206" s="304">
        <f t="shared" ca="1" si="97"/>
        <v>47.235577640515189</v>
      </c>
      <c r="G206" s="306">
        <f t="shared" ca="1" si="98"/>
        <v>53.354262469769672</v>
      </c>
      <c r="H206" s="307">
        <f t="shared" ca="1" si="99"/>
        <v>272.55839434399928</v>
      </c>
      <c r="I206" s="304">
        <f t="shared" ca="1" si="100"/>
        <v>277.73144519674412</v>
      </c>
      <c r="J206" s="306">
        <f t="shared" ca="1" si="101"/>
        <v>75.414634083321658</v>
      </c>
      <c r="K206" s="307">
        <f t="shared" ca="1" si="102"/>
        <v>399.7070954193141</v>
      </c>
      <c r="L206" s="304">
        <f t="shared" ca="1" si="87"/>
        <v>406.75930126115861</v>
      </c>
      <c r="M206" s="306">
        <f t="shared" ca="1" si="103"/>
        <v>1.3774872444866677</v>
      </c>
      <c r="N206" s="304">
        <f t="shared" ca="1" si="104"/>
        <v>78.924205442191436</v>
      </c>
      <c r="P206" s="310">
        <f t="shared" ca="1" si="105"/>
        <v>6</v>
      </c>
      <c r="Q206" s="304">
        <f t="shared" ca="1" si="106"/>
        <v>583.80999999999983</v>
      </c>
      <c r="R206" s="306">
        <f t="shared" ca="1" si="107"/>
        <v>0.29298703828757694</v>
      </c>
      <c r="S206" s="307">
        <f t="shared" ca="1" si="108"/>
        <v>5.3835495676676208</v>
      </c>
      <c r="T206" s="304">
        <f t="shared" ca="1" si="88"/>
        <v>52.812621258819362</v>
      </c>
      <c r="U206" s="311">
        <f t="shared" ca="1" si="89"/>
        <v>0</v>
      </c>
      <c r="V206" s="306">
        <f t="shared" ca="1" si="90"/>
        <v>1.1769952723244141</v>
      </c>
      <c r="W206" s="304">
        <f t="shared" ca="1" si="91"/>
        <v>278.75859374487419</v>
      </c>
      <c r="Y206" s="314" t="str">
        <f t="shared" ca="1" si="109"/>
        <v/>
      </c>
      <c r="Z206" s="315" t="str">
        <f t="shared" ca="1" si="110"/>
        <v/>
      </c>
      <c r="AA206" s="316" t="str">
        <f t="shared" ca="1" si="111"/>
        <v/>
      </c>
      <c r="AC206" s="310" t="e">
        <f t="shared" ca="1" si="112"/>
        <v>#N/A</v>
      </c>
      <c r="AD206" s="323" t="e">
        <f t="shared" ca="1" si="113"/>
        <v>#N/A</v>
      </c>
      <c r="AE206" s="324">
        <f t="shared" ca="1" si="92"/>
        <v>399.7070954193141</v>
      </c>
      <c r="AG206" s="306">
        <f t="shared" ca="1" si="114"/>
        <v>47.197994012993263</v>
      </c>
      <c r="AH206" s="304">
        <f t="shared" ca="1" si="115"/>
        <v>56.825399884639516</v>
      </c>
    </row>
    <row r="207" spans="1:34" x14ac:dyDescent="0.2">
      <c r="A207" s="347">
        <f t="shared" ca="1" si="93"/>
        <v>0.01</v>
      </c>
      <c r="B207" s="304">
        <f t="shared" ca="1" si="94"/>
        <v>2.0300000000000007</v>
      </c>
      <c r="D207" s="306">
        <f t="shared" ca="1" si="95"/>
        <v>10.839285417030272</v>
      </c>
      <c r="E207" s="307">
        <f t="shared" ca="1" si="96"/>
        <v>45.562112598801512</v>
      </c>
      <c r="F207" s="304">
        <f t="shared" ca="1" si="97"/>
        <v>46.833708083150036</v>
      </c>
      <c r="G207" s="306">
        <f t="shared" ca="1" si="98"/>
        <v>53.462655323939977</v>
      </c>
      <c r="H207" s="307">
        <f t="shared" ca="1" si="99"/>
        <v>273.01401546998727</v>
      </c>
      <c r="I207" s="304">
        <f t="shared" ca="1" si="100"/>
        <v>278.19940358910344</v>
      </c>
      <c r="J207" s="306">
        <f t="shared" ca="1" si="101"/>
        <v>75.948718672290212</v>
      </c>
      <c r="K207" s="307">
        <f t="shared" ca="1" si="102"/>
        <v>402.43495746838403</v>
      </c>
      <c r="L207" s="304">
        <f t="shared" ca="1" si="87"/>
        <v>409.53889053488285</v>
      </c>
      <c r="M207" s="306">
        <f t="shared" ca="1" si="103"/>
        <v>1.3774195026636351</v>
      </c>
      <c r="N207" s="304">
        <f t="shared" ca="1" si="104"/>
        <v>78.920324121635147</v>
      </c>
      <c r="P207" s="310">
        <f t="shared" ca="1" si="105"/>
        <v>6</v>
      </c>
      <c r="Q207" s="304">
        <f t="shared" ca="1" si="106"/>
        <v>582.34999999999991</v>
      </c>
      <c r="R207" s="306">
        <f t="shared" ca="1" si="107"/>
        <v>0.29225433231148912</v>
      </c>
      <c r="S207" s="307">
        <f t="shared" ca="1" si="108"/>
        <v>5.3806270243445056</v>
      </c>
      <c r="T207" s="304">
        <f t="shared" ca="1" si="88"/>
        <v>52.783951108819601</v>
      </c>
      <c r="U207" s="311">
        <f t="shared" ca="1" si="89"/>
        <v>0</v>
      </c>
      <c r="V207" s="306">
        <f t="shared" ca="1" si="90"/>
        <v>1.1766741189052721</v>
      </c>
      <c r="W207" s="304">
        <f t="shared" ca="1" si="91"/>
        <v>279.6224450272573</v>
      </c>
      <c r="Y207" s="314" t="str">
        <f t="shared" ca="1" si="109"/>
        <v/>
      </c>
      <c r="Z207" s="315" t="str">
        <f t="shared" ca="1" si="110"/>
        <v/>
      </c>
      <c r="AA207" s="316" t="str">
        <f t="shared" ca="1" si="111"/>
        <v/>
      </c>
      <c r="AC207" s="310" t="e">
        <f t="shared" ca="1" si="112"/>
        <v>#N/A</v>
      </c>
      <c r="AD207" s="323" t="e">
        <f t="shared" ca="1" si="113"/>
        <v>#N/A</v>
      </c>
      <c r="AE207" s="324">
        <f t="shared" ca="1" si="92"/>
        <v>402.43495746838403</v>
      </c>
      <c r="AG207" s="306">
        <f t="shared" ca="1" si="114"/>
        <v>46.795775403710685</v>
      </c>
      <c r="AH207" s="304">
        <f t="shared" ca="1" si="115"/>
        <v>56.423053462270175</v>
      </c>
    </row>
    <row r="208" spans="1:34" x14ac:dyDescent="0.2">
      <c r="A208" s="347">
        <f t="shared" ca="1" si="93"/>
        <v>0.01</v>
      </c>
      <c r="B208" s="304">
        <f t="shared" ca="1" si="94"/>
        <v>2.0400000000000005</v>
      </c>
      <c r="D208" s="306">
        <f t="shared" ca="1" si="95"/>
        <v>10.765870923839968</v>
      </c>
      <c r="E208" s="307">
        <f t="shared" ca="1" si="96"/>
        <v>45.167322640257566</v>
      </c>
      <c r="F208" s="304">
        <f t="shared" ca="1" si="97"/>
        <v>46.432650271526683</v>
      </c>
      <c r="G208" s="306">
        <f t="shared" ca="1" si="98"/>
        <v>53.570314033178377</v>
      </c>
      <c r="H208" s="307">
        <f t="shared" ca="1" si="99"/>
        <v>273.46568869638986</v>
      </c>
      <c r="I208" s="304">
        <f t="shared" ca="1" si="100"/>
        <v>278.66334785867366</v>
      </c>
      <c r="J208" s="306">
        <f t="shared" ca="1" si="101"/>
        <v>76.483883519075803</v>
      </c>
      <c r="K208" s="307">
        <f t="shared" ca="1" si="102"/>
        <v>405.16735598921593</v>
      </c>
      <c r="L208" s="304">
        <f t="shared" ca="1" si="87"/>
        <v>412.32313880917667</v>
      </c>
      <c r="M208" s="306">
        <f t="shared" ca="1" si="103"/>
        <v>1.3773518502200646</v>
      </c>
      <c r="N208" s="304">
        <f t="shared" ca="1" si="104"/>
        <v>78.916447922144812</v>
      </c>
      <c r="P208" s="310">
        <f t="shared" ca="1" si="105"/>
        <v>6</v>
      </c>
      <c r="Q208" s="304">
        <f t="shared" ca="1" si="106"/>
        <v>580.88999999999987</v>
      </c>
      <c r="R208" s="306">
        <f t="shared" ca="1" si="107"/>
        <v>0.29152162633540124</v>
      </c>
      <c r="S208" s="307">
        <f t="shared" ca="1" si="108"/>
        <v>5.3777118080811519</v>
      </c>
      <c r="T208" s="304">
        <f t="shared" ca="1" si="88"/>
        <v>52.755352837276099</v>
      </c>
      <c r="U208" s="311">
        <f t="shared" ca="1" si="89"/>
        <v>0</v>
      </c>
      <c r="V208" s="306">
        <f t="shared" ca="1" si="90"/>
        <v>1.1763525174846354</v>
      </c>
      <c r="W208" s="304">
        <f t="shared" ca="1" si="91"/>
        <v>280.47917772839747</v>
      </c>
      <c r="Y208" s="314" t="str">
        <f t="shared" ca="1" si="109"/>
        <v/>
      </c>
      <c r="Z208" s="315" t="str">
        <f t="shared" ca="1" si="110"/>
        <v/>
      </c>
      <c r="AA208" s="316" t="str">
        <f t="shared" ca="1" si="111"/>
        <v/>
      </c>
      <c r="AC208" s="310" t="e">
        <f t="shared" ca="1" si="112"/>
        <v>#N/A</v>
      </c>
      <c r="AD208" s="323" t="e">
        <f t="shared" ca="1" si="113"/>
        <v>#N/A</v>
      </c>
      <c r="AE208" s="324">
        <f t="shared" ca="1" si="92"/>
        <v>405.16735598921593</v>
      </c>
      <c r="AG208" s="306">
        <f t="shared" ca="1" si="114"/>
        <v>46.394363186959794</v>
      </c>
      <c r="AH208" s="304">
        <f t="shared" ca="1" si="115"/>
        <v>56.021513558986967</v>
      </c>
    </row>
    <row r="209" spans="1:34" x14ac:dyDescent="0.2">
      <c r="A209" s="347">
        <f t="shared" ca="1" si="93"/>
        <v>0.01</v>
      </c>
      <c r="B209" s="304">
        <f t="shared" ca="1" si="94"/>
        <v>2.0500000000000003</v>
      </c>
      <c r="D209" s="306">
        <f t="shared" ca="1" si="95"/>
        <v>10.692554412495879</v>
      </c>
      <c r="E209" s="307">
        <f t="shared" ca="1" si="96"/>
        <v>44.77334170910067</v>
      </c>
      <c r="F209" s="304">
        <f t="shared" ca="1" si="97"/>
        <v>46.032410839147659</v>
      </c>
      <c r="G209" s="306">
        <f t="shared" ca="1" si="98"/>
        <v>53.677239577303332</v>
      </c>
      <c r="H209" s="307">
        <f t="shared" ca="1" si="99"/>
        <v>273.91342211348086</v>
      </c>
      <c r="I209" s="304">
        <f t="shared" ca="1" si="100"/>
        <v>279.12328613456305</v>
      </c>
      <c r="J209" s="306">
        <f t="shared" ca="1" si="101"/>
        <v>77.020121287128205</v>
      </c>
      <c r="K209" s="307">
        <f t="shared" ca="1" si="102"/>
        <v>407.90425154326527</v>
      </c>
      <c r="L209" s="304">
        <f t="shared" ca="1" si="87"/>
        <v>415.11200598170535</v>
      </c>
      <c r="M209" s="306">
        <f t="shared" ca="1" si="103"/>
        <v>1.3772842859203009</v>
      </c>
      <c r="N209" s="304">
        <f t="shared" ca="1" si="104"/>
        <v>78.912576772922591</v>
      </c>
      <c r="P209" s="310">
        <f t="shared" ca="1" si="105"/>
        <v>6</v>
      </c>
      <c r="Q209" s="304">
        <f t="shared" ca="1" si="106"/>
        <v>579.42999999999995</v>
      </c>
      <c r="R209" s="306">
        <f t="shared" ca="1" si="107"/>
        <v>0.29078892035931336</v>
      </c>
      <c r="S209" s="307">
        <f t="shared" ca="1" si="108"/>
        <v>5.3748039188775589</v>
      </c>
      <c r="T209" s="304">
        <f t="shared" ca="1" si="88"/>
        <v>52.726826444188859</v>
      </c>
      <c r="U209" s="311">
        <f t="shared" ca="1" si="89"/>
        <v>0</v>
      </c>
      <c r="V209" s="306">
        <f t="shared" ca="1" si="90"/>
        <v>1.1760304730969411</v>
      </c>
      <c r="W209" s="304">
        <f t="shared" ca="1" si="91"/>
        <v>281.32877335444846</v>
      </c>
      <c r="Y209" s="314" t="str">
        <f t="shared" ca="1" si="109"/>
        <v/>
      </c>
      <c r="Z209" s="315" t="str">
        <f t="shared" ca="1" si="110"/>
        <v/>
      </c>
      <c r="AA209" s="316" t="str">
        <f t="shared" ca="1" si="111"/>
        <v/>
      </c>
      <c r="AC209" s="310" t="e">
        <f t="shared" ca="1" si="112"/>
        <v>#N/A</v>
      </c>
      <c r="AD209" s="323" t="e">
        <f t="shared" ca="1" si="113"/>
        <v>#N/A</v>
      </c>
      <c r="AE209" s="324">
        <f t="shared" ca="1" si="92"/>
        <v>407.90425154326527</v>
      </c>
      <c r="AG209" s="306">
        <f t="shared" ca="1" si="114"/>
        <v>45.993763879964561</v>
      </c>
      <c r="AH209" s="304">
        <f t="shared" ca="1" si="115"/>
        <v>55.620786689839569</v>
      </c>
    </row>
    <row r="210" spans="1:34" x14ac:dyDescent="0.2">
      <c r="A210" s="347">
        <f t="shared" ca="1" si="93"/>
        <v>0.01</v>
      </c>
      <c r="B210" s="304">
        <f t="shared" ca="1" si="94"/>
        <v>2.06</v>
      </c>
      <c r="D210" s="306">
        <f t="shared" ca="1" si="95"/>
        <v>10.619337449865034</v>
      </c>
      <c r="E210" s="307">
        <f t="shared" ca="1" si="96"/>
        <v>44.380176029475123</v>
      </c>
      <c r="F210" s="304">
        <f t="shared" ca="1" si="97"/>
        <v>45.632996310578868</v>
      </c>
      <c r="G210" s="306">
        <f t="shared" ca="1" si="98"/>
        <v>53.783432951801984</v>
      </c>
      <c r="H210" s="307">
        <f t="shared" ca="1" si="99"/>
        <v>274.35722387377564</v>
      </c>
      <c r="I210" s="304">
        <f t="shared" ca="1" si="100"/>
        <v>279.57922660992898</v>
      </c>
      <c r="J210" s="306">
        <f t="shared" ca="1" si="101"/>
        <v>77.557424649773736</v>
      </c>
      <c r="K210" s="307">
        <f t="shared" ca="1" si="102"/>
        <v>410.64560477320157</v>
      </c>
      <c r="L210" s="304">
        <f t="shared" ca="1" si="87"/>
        <v>417.90545203174105</v>
      </c>
      <c r="M210" s="306">
        <f t="shared" ca="1" si="103"/>
        <v>1.3772168085401262</v>
      </c>
      <c r="N210" s="304">
        <f t="shared" ca="1" si="104"/>
        <v>78.90871060382598</v>
      </c>
      <c r="P210" s="310">
        <f t="shared" ca="1" si="105"/>
        <v>6</v>
      </c>
      <c r="Q210" s="304">
        <f t="shared" ca="1" si="106"/>
        <v>577.97</v>
      </c>
      <c r="R210" s="306">
        <f t="shared" ca="1" si="107"/>
        <v>0.29005621438322554</v>
      </c>
      <c r="S210" s="307">
        <f t="shared" ca="1" si="108"/>
        <v>5.3719033567337267</v>
      </c>
      <c r="T210" s="304">
        <f t="shared" ca="1" si="88"/>
        <v>52.698371929557858</v>
      </c>
      <c r="U210" s="311">
        <f t="shared" ca="1" si="89"/>
        <v>0</v>
      </c>
      <c r="V210" s="306">
        <f t="shared" ca="1" si="90"/>
        <v>1.1757079907624743</v>
      </c>
      <c r="W210" s="304">
        <f t="shared" ca="1" si="91"/>
        <v>282.17121405038296</v>
      </c>
      <c r="Y210" s="314" t="str">
        <f t="shared" ca="1" si="109"/>
        <v/>
      </c>
      <c r="Z210" s="315" t="str">
        <f t="shared" ca="1" si="110"/>
        <v/>
      </c>
      <c r="AA210" s="316" t="str">
        <f t="shared" ca="1" si="111"/>
        <v/>
      </c>
      <c r="AC210" s="310" t="e">
        <f t="shared" ca="1" si="112"/>
        <v>#N/A</v>
      </c>
      <c r="AD210" s="323" t="e">
        <f t="shared" ca="1" si="113"/>
        <v>#N/A</v>
      </c>
      <c r="AE210" s="324">
        <f t="shared" ca="1" si="92"/>
        <v>410.64560477320157</v>
      </c>
      <c r="AG210" s="306">
        <f t="shared" ca="1" si="114"/>
        <v>45.59398388762726</v>
      </c>
      <c r="AH210" s="304">
        <f t="shared" ca="1" si="115"/>
        <v>55.220879257574367</v>
      </c>
    </row>
    <row r="211" spans="1:34" x14ac:dyDescent="0.2">
      <c r="A211" s="347">
        <f t="shared" ca="1" si="93"/>
        <v>0.01</v>
      </c>
      <c r="B211" s="304">
        <f t="shared" ca="1" si="94"/>
        <v>2.0699999999999998</v>
      </c>
      <c r="D211" s="306">
        <f t="shared" ca="1" si="95"/>
        <v>10.546221580003655</v>
      </c>
      <c r="E211" s="307">
        <f t="shared" ca="1" si="96"/>
        <v>43.987831715957114</v>
      </c>
      <c r="F211" s="304">
        <f t="shared" ca="1" si="97"/>
        <v>45.234413102038779</v>
      </c>
      <c r="G211" s="306">
        <f t="shared" ca="1" si="98"/>
        <v>53.888895167602023</v>
      </c>
      <c r="H211" s="307">
        <f t="shared" ca="1" si="99"/>
        <v>274.79710219093522</v>
      </c>
      <c r="I211" s="304">
        <f t="shared" ca="1" si="100"/>
        <v>280.03117754085901</v>
      </c>
      <c r="J211" s="306">
        <f t="shared" ca="1" si="101"/>
        <v>78.095786290370754</v>
      </c>
      <c r="K211" s="307">
        <f t="shared" ca="1" si="102"/>
        <v>413.3913764035251</v>
      </c>
      <c r="L211" s="304">
        <f t="shared" ca="1" si="87"/>
        <v>420.70343702079759</v>
      </c>
      <c r="M211" s="306">
        <f t="shared" ca="1" si="103"/>
        <v>1.3771494168665903</v>
      </c>
      <c r="N211" s="304">
        <f t="shared" ca="1" si="104"/>
        <v>78.904849345358059</v>
      </c>
      <c r="P211" s="310">
        <f t="shared" ca="1" si="105"/>
        <v>6</v>
      </c>
      <c r="Q211" s="304">
        <f t="shared" ca="1" si="106"/>
        <v>576.51</v>
      </c>
      <c r="R211" s="306">
        <f t="shared" ca="1" si="107"/>
        <v>0.28932350840713766</v>
      </c>
      <c r="S211" s="307">
        <f t="shared" ca="1" si="108"/>
        <v>5.3690101216496551</v>
      </c>
      <c r="T211" s="304">
        <f t="shared" ca="1" si="88"/>
        <v>52.669989293383118</v>
      </c>
      <c r="U211" s="311">
        <f t="shared" ca="1" si="89"/>
        <v>0</v>
      </c>
      <c r="V211" s="306">
        <f t="shared" ca="1" si="90"/>
        <v>1.1753850754872917</v>
      </c>
      <c r="W211" s="304">
        <f t="shared" ca="1" si="91"/>
        <v>283.00648259535984</v>
      </c>
      <c r="Y211" s="314" t="str">
        <f t="shared" ca="1" si="109"/>
        <v/>
      </c>
      <c r="Z211" s="315" t="str">
        <f t="shared" ca="1" si="110"/>
        <v/>
      </c>
      <c r="AA211" s="316" t="str">
        <f t="shared" ca="1" si="111"/>
        <v/>
      </c>
      <c r="AC211" s="310" t="e">
        <f t="shared" ca="1" si="112"/>
        <v>#N/A</v>
      </c>
      <c r="AD211" s="323" t="e">
        <f t="shared" ca="1" si="113"/>
        <v>#N/A</v>
      </c>
      <c r="AE211" s="324">
        <f t="shared" ca="1" si="92"/>
        <v>413.3913764035251</v>
      </c>
      <c r="AG211" s="306">
        <f t="shared" ca="1" si="114"/>
        <v>45.195029502993293</v>
      </c>
      <c r="AH211" s="304">
        <f t="shared" ca="1" si="115"/>
        <v>54.821797553099039</v>
      </c>
    </row>
    <row r="212" spans="1:34" x14ac:dyDescent="0.2">
      <c r="A212" s="347">
        <f t="shared" ca="1" si="93"/>
        <v>0.01</v>
      </c>
      <c r="B212" s="304">
        <f t="shared" ca="1" si="94"/>
        <v>2.0799999999999996</v>
      </c>
      <c r="D212" s="306">
        <f t="shared" ca="1" si="95"/>
        <v>10.473208324247631</v>
      </c>
      <c r="E212" s="307">
        <f t="shared" ca="1" si="96"/>
        <v>43.596314774022041</v>
      </c>
      <c r="F212" s="304">
        <f t="shared" ca="1" si="97"/>
        <v>44.836667522003715</v>
      </c>
      <c r="G212" s="306">
        <f t="shared" ca="1" si="98"/>
        <v>53.993627250844497</v>
      </c>
      <c r="H212" s="307">
        <f t="shared" ca="1" si="99"/>
        <v>275.23306533867543</v>
      </c>
      <c r="I212" s="304">
        <f t="shared" ca="1" si="100"/>
        <v>280.47914724525725</v>
      </c>
      <c r="J212" s="306">
        <f t="shared" ca="1" si="101"/>
        <v>78.635198902462989</v>
      </c>
      <c r="K212" s="307">
        <f t="shared" ca="1" si="102"/>
        <v>416.14152724117315</v>
      </c>
      <c r="L212" s="304">
        <f t="shared" ca="1" si="87"/>
        <v>423.50592109325459</v>
      </c>
      <c r="M212" s="306">
        <f t="shared" ca="1" si="103"/>
        <v>1.3770821096978425</v>
      </c>
      <c r="N212" s="304">
        <f t="shared" ca="1" si="104"/>
        <v>78.900992928657828</v>
      </c>
      <c r="P212" s="310">
        <f t="shared" ca="1" si="105"/>
        <v>6</v>
      </c>
      <c r="Q212" s="304">
        <f t="shared" ca="1" si="106"/>
        <v>575.05000000000007</v>
      </c>
      <c r="R212" s="306">
        <f t="shared" ca="1" si="107"/>
        <v>0.28859080243104984</v>
      </c>
      <c r="S212" s="307">
        <f t="shared" ca="1" si="108"/>
        <v>5.3661242136253442</v>
      </c>
      <c r="T212" s="304">
        <f t="shared" ca="1" si="88"/>
        <v>52.641678535664632</v>
      </c>
      <c r="U212" s="311">
        <f t="shared" ca="1" si="89"/>
        <v>0</v>
      </c>
      <c r="V212" s="306">
        <f t="shared" ca="1" si="90"/>
        <v>1.1750617322631463</v>
      </c>
      <c r="W212" s="304">
        <f t="shared" ca="1" si="91"/>
        <v>283.83456239806026</v>
      </c>
      <c r="Y212" s="314" t="str">
        <f t="shared" ca="1" si="109"/>
        <v/>
      </c>
      <c r="Z212" s="315" t="str">
        <f t="shared" ca="1" si="110"/>
        <v/>
      </c>
      <c r="AA212" s="316" t="str">
        <f t="shared" ca="1" si="111"/>
        <v/>
      </c>
      <c r="AC212" s="310" t="e">
        <f t="shared" ca="1" si="112"/>
        <v>#N/A</v>
      </c>
      <c r="AD212" s="323" t="e">
        <f t="shared" ca="1" si="113"/>
        <v>#N/A</v>
      </c>
      <c r="AE212" s="324">
        <f t="shared" ca="1" si="92"/>
        <v>416.14152724117315</v>
      </c>
      <c r="AG212" s="306">
        <f t="shared" ca="1" si="114"/>
        <v>44.796906907726715</v>
      </c>
      <c r="AH212" s="304">
        <f t="shared" ca="1" si="115"/>
        <v>54.423547755957763</v>
      </c>
    </row>
    <row r="213" spans="1:34" x14ac:dyDescent="0.2">
      <c r="A213" s="347">
        <f t="shared" ca="1" si="93"/>
        <v>0.01</v>
      </c>
      <c r="B213" s="304">
        <f t="shared" ca="1" si="94"/>
        <v>2.0899999999999994</v>
      </c>
      <c r="D213" s="306">
        <f t="shared" ca="1" si="95"/>
        <v>10.400299181304749</v>
      </c>
      <c r="E213" s="307">
        <f t="shared" ca="1" si="96"/>
        <v>43.205631100521252</v>
      </c>
      <c r="F213" s="304">
        <f t="shared" ca="1" si="97"/>
        <v>44.439765771828476</v>
      </c>
      <c r="G213" s="306">
        <f t="shared" ca="1" si="98"/>
        <v>54.097630242657544</v>
      </c>
      <c r="H213" s="307">
        <f t="shared" ca="1" si="99"/>
        <v>275.66512164968066</v>
      </c>
      <c r="I213" s="304">
        <f t="shared" ca="1" si="100"/>
        <v>280.92314410173566</v>
      </c>
      <c r="J213" s="306">
        <f t="shared" ca="1" si="101"/>
        <v>79.175655189930495</v>
      </c>
      <c r="K213" s="307">
        <f t="shared" ca="1" si="102"/>
        <v>418.89601817611492</v>
      </c>
      <c r="L213" s="304">
        <f t="shared" ca="1" si="87"/>
        <v>426.31286447696925</v>
      </c>
      <c r="M213" s="306">
        <f t="shared" ca="1" si="103"/>
        <v>1.3770148858429661</v>
      </c>
      <c r="N213" s="304">
        <f t="shared" ca="1" si="104"/>
        <v>78.897141285490804</v>
      </c>
      <c r="P213" s="310">
        <f t="shared" ca="1" si="105"/>
        <v>6</v>
      </c>
      <c r="Q213" s="304">
        <f t="shared" ca="1" si="106"/>
        <v>573.59</v>
      </c>
      <c r="R213" s="306">
        <f t="shared" ca="1" si="107"/>
        <v>0.28785809645496191</v>
      </c>
      <c r="S213" s="307">
        <f t="shared" ca="1" si="108"/>
        <v>5.3632456326607949</v>
      </c>
      <c r="T213" s="304">
        <f t="shared" ca="1" si="88"/>
        <v>52.613439656402399</v>
      </c>
      <c r="U213" s="311">
        <f t="shared" ca="1" si="89"/>
        <v>0</v>
      </c>
      <c r="V213" s="306">
        <f t="shared" ca="1" si="90"/>
        <v>1.1747379660674158</v>
      </c>
      <c r="W213" s="304">
        <f t="shared" ca="1" si="91"/>
        <v>284.65543749199202</v>
      </c>
      <c r="Y213" s="314" t="str">
        <f t="shared" ca="1" si="109"/>
        <v/>
      </c>
      <c r="Z213" s="315" t="str">
        <f t="shared" ca="1" si="110"/>
        <v/>
      </c>
      <c r="AA213" s="316" t="str">
        <f t="shared" ca="1" si="111"/>
        <v/>
      </c>
      <c r="AC213" s="310" t="e">
        <f t="shared" ca="1" si="112"/>
        <v>#N/A</v>
      </c>
      <c r="AD213" s="323" t="e">
        <f t="shared" ca="1" si="113"/>
        <v>#N/A</v>
      </c>
      <c r="AE213" s="324">
        <f t="shared" ca="1" si="92"/>
        <v>418.89601817611492</v>
      </c>
      <c r="AG213" s="306">
        <f t="shared" ca="1" si="114"/>
        <v>44.399622172595151</v>
      </c>
      <c r="AH213" s="304">
        <f t="shared" ca="1" si="115"/>
        <v>54.02613593481589</v>
      </c>
    </row>
    <row r="214" spans="1:34" x14ac:dyDescent="0.2">
      <c r="A214" s="347">
        <f t="shared" ca="1" si="93"/>
        <v>0.01</v>
      </c>
      <c r="B214" s="304">
        <f t="shared" ca="1" si="94"/>
        <v>2.0999999999999992</v>
      </c>
      <c r="D214" s="306">
        <f t="shared" ca="1" si="95"/>
        <v>10.327495627348597</v>
      </c>
      <c r="E214" s="307">
        <f t="shared" ca="1" si="96"/>
        <v>42.815786484168562</v>
      </c>
      <c r="F214" s="304">
        <f t="shared" ca="1" si="97"/>
        <v>44.043713946383036</v>
      </c>
      <c r="G214" s="306">
        <f t="shared" ca="1" si="98"/>
        <v>54.200905198931032</v>
      </c>
      <c r="H214" s="307">
        <f t="shared" ca="1" si="99"/>
        <v>276.09327951452235</v>
      </c>
      <c r="I214" s="304">
        <f t="shared" ca="1" si="100"/>
        <v>281.36317654850944</v>
      </c>
      <c r="J214" s="306">
        <f t="shared" ca="1" si="101"/>
        <v>79.717147867138436</v>
      </c>
      <c r="K214" s="307">
        <f t="shared" ca="1" si="102"/>
        <v>421.65481018193594</v>
      </c>
      <c r="L214" s="304">
        <f t="shared" ca="1" si="87"/>
        <v>429.12422748387866</v>
      </c>
      <c r="M214" s="306">
        <f t="shared" ca="1" si="103"/>
        <v>1.376947744121817</v>
      </c>
      <c r="N214" s="304">
        <f t="shared" ca="1" si="104"/>
        <v>78.893294348239721</v>
      </c>
      <c r="P214" s="310">
        <f t="shared" ca="1" si="105"/>
        <v>6</v>
      </c>
      <c r="Q214" s="304">
        <f t="shared" ca="1" si="106"/>
        <v>572.13000000000011</v>
      </c>
      <c r="R214" s="306">
        <f t="shared" ca="1" si="107"/>
        <v>0.28712539047887409</v>
      </c>
      <c r="S214" s="307">
        <f t="shared" ca="1" si="108"/>
        <v>5.3603743787560063</v>
      </c>
      <c r="T214" s="304">
        <f t="shared" ca="1" si="88"/>
        <v>52.585272655596427</v>
      </c>
      <c r="U214" s="311">
        <f t="shared" ca="1" si="89"/>
        <v>0</v>
      </c>
      <c r="V214" s="306">
        <f t="shared" ca="1" si="90"/>
        <v>1.1744137818630311</v>
      </c>
      <c r="W214" s="304">
        <f t="shared" ca="1" si="91"/>
        <v>285.46909253076188</v>
      </c>
      <c r="Y214" s="314" t="str">
        <f t="shared" ca="1" si="109"/>
        <v/>
      </c>
      <c r="Z214" s="315" t="str">
        <f t="shared" ca="1" si="110"/>
        <v/>
      </c>
      <c r="AA214" s="316" t="str">
        <f t="shared" ca="1" si="111"/>
        <v/>
      </c>
      <c r="AC214" s="310" t="e">
        <f t="shared" ca="1" si="112"/>
        <v>#N/A</v>
      </c>
      <c r="AD214" s="323" t="e">
        <f t="shared" ca="1" si="113"/>
        <v>#N/A</v>
      </c>
      <c r="AE214" s="324">
        <f t="shared" ca="1" si="92"/>
        <v>421.65481018193594</v>
      </c>
      <c r="AG214" s="306">
        <f t="shared" ca="1" si="114"/>
        <v>44.003181257964826</v>
      </c>
      <c r="AH214" s="304">
        <f t="shared" ca="1" si="115"/>
        <v>53.629568047954692</v>
      </c>
    </row>
    <row r="215" spans="1:34" x14ac:dyDescent="0.2">
      <c r="A215" s="347">
        <f t="shared" ca="1" si="93"/>
        <v>0.01</v>
      </c>
      <c r="B215" s="304">
        <f t="shared" ca="1" si="94"/>
        <v>2.109999999999999</v>
      </c>
      <c r="D215" s="306">
        <f t="shared" ca="1" si="95"/>
        <v>10.254799116114063</v>
      </c>
      <c r="E215" s="307">
        <f t="shared" ca="1" si="96"/>
        <v>42.426786606036181</v>
      </c>
      <c r="F215" s="304">
        <f t="shared" ca="1" si="97"/>
        <v>43.648518034705198</v>
      </c>
      <c r="G215" s="306">
        <f t="shared" ca="1" si="98"/>
        <v>54.303453190092171</v>
      </c>
      <c r="H215" s="307">
        <f t="shared" ca="1" si="99"/>
        <v>276.5175473805827</v>
      </c>
      <c r="I215" s="304">
        <f t="shared" ca="1" si="100"/>
        <v>281.79925308229849</v>
      </c>
      <c r="J215" s="306">
        <f t="shared" ca="1" si="101"/>
        <v>80.259669659083556</v>
      </c>
      <c r="K215" s="307">
        <f t="shared" ca="1" si="102"/>
        <v>424.41786431641145</v>
      </c>
      <c r="L215" s="304">
        <f t="shared" ca="1" si="87"/>
        <v>431.93997051058966</v>
      </c>
      <c r="M215" s="306">
        <f t="shared" ca="1" si="103"/>
        <v>1.3768806833648635</v>
      </c>
      <c r="N215" s="304">
        <f t="shared" ca="1" si="104"/>
        <v>78.88945204989534</v>
      </c>
      <c r="P215" s="310">
        <f t="shared" ca="1" si="105"/>
        <v>6</v>
      </c>
      <c r="Q215" s="304">
        <f t="shared" ca="1" si="106"/>
        <v>570.67000000000019</v>
      </c>
      <c r="R215" s="306">
        <f t="shared" ca="1" si="107"/>
        <v>0.28639268450278627</v>
      </c>
      <c r="S215" s="307">
        <f t="shared" ca="1" si="108"/>
        <v>5.3575104519109784</v>
      </c>
      <c r="T215" s="304">
        <f t="shared" ca="1" si="88"/>
        <v>52.557177533246701</v>
      </c>
      <c r="U215" s="311">
        <f t="shared" ca="1" si="89"/>
        <v>0</v>
      </c>
      <c r="V215" s="306">
        <f t="shared" ca="1" si="90"/>
        <v>1.1740891845984072</v>
      </c>
      <c r="W215" s="304">
        <f t="shared" ca="1" si="91"/>
        <v>286.27551278332106</v>
      </c>
      <c r="Y215" s="314" t="str">
        <f t="shared" ca="1" si="109"/>
        <v/>
      </c>
      <c r="Z215" s="315" t="str">
        <f t="shared" ca="1" si="110"/>
        <v/>
      </c>
      <c r="AA215" s="316" t="str">
        <f t="shared" ca="1" si="111"/>
        <v/>
      </c>
      <c r="AC215" s="310" t="e">
        <f t="shared" ca="1" si="112"/>
        <v>#N/A</v>
      </c>
      <c r="AD215" s="323" t="e">
        <f t="shared" ca="1" si="113"/>
        <v>#N/A</v>
      </c>
      <c r="AE215" s="324">
        <f t="shared" ca="1" si="92"/>
        <v>424.41786431641145</v>
      </c>
      <c r="AG215" s="306">
        <f t="shared" ca="1" si="114"/>
        <v>43.607590014305025</v>
      </c>
      <c r="AH215" s="304">
        <f t="shared" ca="1" si="115"/>
        <v>53.233849943775574</v>
      </c>
    </row>
    <row r="216" spans="1:34" x14ac:dyDescent="0.2">
      <c r="A216" s="347">
        <f t="shared" ca="1" si="93"/>
        <v>0.01</v>
      </c>
      <c r="B216" s="304">
        <f t="shared" ca="1" si="94"/>
        <v>2.1199999999999988</v>
      </c>
      <c r="D216" s="306">
        <f t="shared" ca="1" si="95"/>
        <v>10.182211078994518</v>
      </c>
      <c r="E216" s="307">
        <f t="shared" ca="1" si="96"/>
        <v>42.038637040059683</v>
      </c>
      <c r="F216" s="304">
        <f t="shared" ca="1" si="97"/>
        <v>43.254183920669185</v>
      </c>
      <c r="G216" s="306">
        <f t="shared" ca="1" si="98"/>
        <v>54.405275300882117</v>
      </c>
      <c r="H216" s="307">
        <f t="shared" ca="1" si="99"/>
        <v>276.93793375098329</v>
      </c>
      <c r="I216" s="304">
        <f t="shared" ca="1" si="100"/>
        <v>282.23138225723375</v>
      </c>
      <c r="J216" s="306">
        <f t="shared" ca="1" si="101"/>
        <v>80.803213301538435</v>
      </c>
      <c r="K216" s="307">
        <f t="shared" ca="1" si="102"/>
        <v>427.18514172206926</v>
      </c>
      <c r="L216" s="304">
        <f t="shared" ca="1" si="87"/>
        <v>434.76005403895874</v>
      </c>
      <c r="M216" s="306">
        <f t="shared" ca="1" si="103"/>
        <v>1.37681370241303</v>
      </c>
      <c r="N216" s="304">
        <f t="shared" ca="1" si="104"/>
        <v>78.885614324047509</v>
      </c>
      <c r="P216" s="310">
        <f t="shared" ca="1" si="105"/>
        <v>6</v>
      </c>
      <c r="Q216" s="304">
        <f t="shared" ca="1" si="106"/>
        <v>569.21000000000015</v>
      </c>
      <c r="R216" s="306">
        <f t="shared" ca="1" si="107"/>
        <v>0.28565997852669833</v>
      </c>
      <c r="S216" s="307">
        <f t="shared" ca="1" si="108"/>
        <v>5.3546538521257112</v>
      </c>
      <c r="T216" s="304">
        <f t="shared" ca="1" si="88"/>
        <v>52.52915428935323</v>
      </c>
      <c r="U216" s="311">
        <f t="shared" ca="1" si="89"/>
        <v>0</v>
      </c>
      <c r="V216" s="306">
        <f t="shared" ca="1" si="90"/>
        <v>1.1737641792073739</v>
      </c>
      <c r="W216" s="304">
        <f t="shared" ca="1" si="91"/>
        <v>287.07468412918138</v>
      </c>
      <c r="Y216" s="314" t="str">
        <f t="shared" ca="1" si="109"/>
        <v/>
      </c>
      <c r="Z216" s="315" t="str">
        <f t="shared" ca="1" si="110"/>
        <v/>
      </c>
      <c r="AA216" s="316" t="str">
        <f t="shared" ca="1" si="111"/>
        <v/>
      </c>
      <c r="AC216" s="310" t="e">
        <f t="shared" ca="1" si="112"/>
        <v>#N/A</v>
      </c>
      <c r="AD216" s="323" t="e">
        <f t="shared" ca="1" si="113"/>
        <v>#N/A</v>
      </c>
      <c r="AE216" s="324">
        <f t="shared" ca="1" si="92"/>
        <v>427.18514172206926</v>
      </c>
      <c r="AG216" s="306">
        <f t="shared" ca="1" si="114"/>
        <v>43.212854182701776</v>
      </c>
      <c r="AH216" s="304">
        <f t="shared" ca="1" si="115"/>
        <v>52.838987361313499</v>
      </c>
    </row>
    <row r="217" spans="1:34" x14ac:dyDescent="0.2">
      <c r="A217" s="347">
        <f t="shared" ca="1" si="93"/>
        <v>0.01</v>
      </c>
      <c r="B217" s="304">
        <f t="shared" ca="1" si="94"/>
        <v>2.1299999999999986</v>
      </c>
      <c r="D217" s="306">
        <f t="shared" ca="1" si="95"/>
        <v>10.109732925140493</v>
      </c>
      <c r="E217" s="307">
        <f t="shared" ca="1" si="96"/>
        <v>41.651343253552064</v>
      </c>
      <c r="F217" s="304">
        <f t="shared" ca="1" si="97"/>
        <v>42.860717383670639</v>
      </c>
      <c r="G217" s="306">
        <f t="shared" ca="1" si="98"/>
        <v>54.506372630133519</v>
      </c>
      <c r="H217" s="307">
        <f t="shared" ca="1" si="99"/>
        <v>277.3544471835188</v>
      </c>
      <c r="I217" s="304">
        <f t="shared" ca="1" si="100"/>
        <v>282.65957268376792</v>
      </c>
      <c r="J217" s="306">
        <f t="shared" ca="1" si="101"/>
        <v>81.347771541193509</v>
      </c>
      <c r="K217" s="307">
        <f t="shared" ca="1" si="102"/>
        <v>429.95660362674175</v>
      </c>
      <c r="L217" s="304">
        <f t="shared" ca="1" si="87"/>
        <v>437.58443863666054</v>
      </c>
      <c r="M217" s="306">
        <f t="shared" ca="1" si="103"/>
        <v>1.3767468001175427</v>
      </c>
      <c r="N217" s="304">
        <f t="shared" ca="1" si="104"/>
        <v>78.881781104876353</v>
      </c>
      <c r="P217" s="310">
        <f t="shared" ca="1" si="105"/>
        <v>6</v>
      </c>
      <c r="Q217" s="304">
        <f t="shared" ca="1" si="106"/>
        <v>567.75000000000023</v>
      </c>
      <c r="R217" s="306">
        <f t="shared" ca="1" si="107"/>
        <v>0.28492727255061051</v>
      </c>
      <c r="S217" s="307">
        <f t="shared" ca="1" si="108"/>
        <v>5.3518045794002047</v>
      </c>
      <c r="T217" s="304">
        <f t="shared" ca="1" si="88"/>
        <v>52.501202923916011</v>
      </c>
      <c r="U217" s="311">
        <f t="shared" ca="1" si="89"/>
        <v>0</v>
      </c>
      <c r="V217" s="306">
        <f t="shared" ca="1" si="90"/>
        <v>1.1734387706091105</v>
      </c>
      <c r="W217" s="304">
        <f t="shared" ca="1" si="91"/>
        <v>287.86659305360473</v>
      </c>
      <c r="Y217" s="314" t="str">
        <f t="shared" ca="1" si="109"/>
        <v/>
      </c>
      <c r="Z217" s="315" t="str">
        <f t="shared" ca="1" si="110"/>
        <v/>
      </c>
      <c r="AA217" s="316" t="str">
        <f t="shared" ca="1" si="111"/>
        <v/>
      </c>
      <c r="AC217" s="310" t="e">
        <f t="shared" ca="1" si="112"/>
        <v>#N/A</v>
      </c>
      <c r="AD217" s="323" t="e">
        <f t="shared" ca="1" si="113"/>
        <v>#N/A</v>
      </c>
      <c r="AE217" s="324">
        <f t="shared" ca="1" si="92"/>
        <v>429.95660362674175</v>
      </c>
      <c r="AG217" s="306">
        <f t="shared" ca="1" si="114"/>
        <v>42.818979395380779</v>
      </c>
      <c r="AH217" s="304">
        <f t="shared" ca="1" si="115"/>
        <v>52.444985930759657</v>
      </c>
    </row>
    <row r="218" spans="1:34" x14ac:dyDescent="0.2">
      <c r="A218" s="347">
        <f t="shared" ca="1" si="93"/>
        <v>0.01</v>
      </c>
      <c r="B218" s="304">
        <f t="shared" ca="1" si="94"/>
        <v>2.1399999999999983</v>
      </c>
      <c r="D218" s="306">
        <f t="shared" ca="1" si="95"/>
        <v>10.037366041559993</v>
      </c>
      <c r="E218" s="307">
        <f t="shared" ca="1" si="96"/>
        <v>41.264910607726463</v>
      </c>
      <c r="F218" s="304">
        <f t="shared" ca="1" si="97"/>
        <v>42.46812409932793</v>
      </c>
      <c r="G218" s="306">
        <f t="shared" ca="1" si="98"/>
        <v>54.606746290549118</v>
      </c>
      <c r="H218" s="307">
        <f t="shared" ca="1" si="99"/>
        <v>277.76709628959605</v>
      </c>
      <c r="I218" s="304">
        <f t="shared" ca="1" si="100"/>
        <v>283.08383302759296</v>
      </c>
      <c r="J218" s="306">
        <f t="shared" ca="1" si="101"/>
        <v>81.893337135796926</v>
      </c>
      <c r="K218" s="307">
        <f t="shared" ca="1" si="102"/>
        <v>432.73221134410733</v>
      </c>
      <c r="L218" s="304">
        <f t="shared" ca="1" si="87"/>
        <v>440.41308495774564</v>
      </c>
      <c r="M218" s="306">
        <f t="shared" ca="1" si="103"/>
        <v>1.3766799753397772</v>
      </c>
      <c r="N218" s="304">
        <f t="shared" ca="1" si="104"/>
        <v>78.877952327143475</v>
      </c>
      <c r="P218" s="310">
        <f t="shared" ca="1" si="105"/>
        <v>6</v>
      </c>
      <c r="Q218" s="304">
        <f t="shared" ca="1" si="106"/>
        <v>566.29000000000019</v>
      </c>
      <c r="R218" s="306">
        <f t="shared" ca="1" si="107"/>
        <v>0.28419456657452263</v>
      </c>
      <c r="S218" s="307">
        <f t="shared" ca="1" si="108"/>
        <v>5.3489626337344598</v>
      </c>
      <c r="T218" s="304">
        <f t="shared" ca="1" si="88"/>
        <v>52.473323436935054</v>
      </c>
      <c r="U218" s="311">
        <f t="shared" ca="1" si="89"/>
        <v>0</v>
      </c>
      <c r="V218" s="306">
        <f t="shared" ca="1" si="90"/>
        <v>1.1731129637080815</v>
      </c>
      <c r="W218" s="304">
        <f t="shared" ca="1" si="91"/>
        <v>288.65122664276873</v>
      </c>
      <c r="Y218" s="314" t="str">
        <f t="shared" ca="1" si="109"/>
        <v/>
      </c>
      <c r="Z218" s="315" t="str">
        <f t="shared" ca="1" si="110"/>
        <v/>
      </c>
      <c r="AA218" s="316" t="str">
        <f t="shared" ca="1" si="111"/>
        <v/>
      </c>
      <c r="AC218" s="310" t="e">
        <f t="shared" ca="1" si="112"/>
        <v>#N/A</v>
      </c>
      <c r="AD218" s="323" t="e">
        <f t="shared" ca="1" si="113"/>
        <v>#N/A</v>
      </c>
      <c r="AE218" s="324">
        <f t="shared" ca="1" si="92"/>
        <v>432.73221134410733</v>
      </c>
      <c r="AG218" s="306">
        <f t="shared" ca="1" si="114"/>
        <v>42.425971176239145</v>
      </c>
      <c r="AH218" s="304">
        <f t="shared" ca="1" si="115"/>
        <v>52.051851173992951</v>
      </c>
    </row>
    <row r="219" spans="1:34" x14ac:dyDescent="0.2">
      <c r="A219" s="347">
        <f t="shared" ca="1" si="93"/>
        <v>0.01</v>
      </c>
      <c r="B219" s="304">
        <f t="shared" ca="1" si="94"/>
        <v>2.1499999999999981</v>
      </c>
      <c r="D219" s="306">
        <f t="shared" ca="1" si="95"/>
        <v>9.9651117932202613</v>
      </c>
      <c r="E219" s="307">
        <f t="shared" ca="1" si="96"/>
        <v>40.879344358227392</v>
      </c>
      <c r="F219" s="304">
        <f t="shared" ca="1" si="97"/>
        <v>42.076409640199998</v>
      </c>
      <c r="G219" s="306">
        <f t="shared" ca="1" si="98"/>
        <v>54.706397408481322</v>
      </c>
      <c r="H219" s="307">
        <f t="shared" ca="1" si="99"/>
        <v>278.17588973317834</v>
      </c>
      <c r="I219" s="304">
        <f t="shared" ca="1" si="100"/>
        <v>283.50417200856162</v>
      </c>
      <c r="J219" s="306">
        <f t="shared" ca="1" si="101"/>
        <v>82.439902854292072</v>
      </c>
      <c r="K219" s="307">
        <f t="shared" ca="1" si="102"/>
        <v>435.5119262742212</v>
      </c>
      <c r="L219" s="304">
        <f t="shared" ca="1" si="87"/>
        <v>443.24595374318739</v>
      </c>
      <c r="M219" s="306">
        <f t="shared" ca="1" si="103"/>
        <v>1.3766132269511111</v>
      </c>
      <c r="N219" s="304">
        <f t="shared" ca="1" si="104"/>
        <v>78.874127926183618</v>
      </c>
      <c r="P219" s="310">
        <f t="shared" ca="1" si="105"/>
        <v>6</v>
      </c>
      <c r="Q219" s="304">
        <f t="shared" ca="1" si="106"/>
        <v>564.83000000000027</v>
      </c>
      <c r="R219" s="306">
        <f t="shared" ca="1" si="107"/>
        <v>0.28346186059843481</v>
      </c>
      <c r="S219" s="307">
        <f t="shared" ca="1" si="108"/>
        <v>5.3461280151284756</v>
      </c>
      <c r="T219" s="304">
        <f t="shared" ca="1" si="88"/>
        <v>52.44551582841035</v>
      </c>
      <c r="U219" s="311">
        <f t="shared" ca="1" si="89"/>
        <v>0</v>
      </c>
      <c r="V219" s="306">
        <f t="shared" ca="1" si="90"/>
        <v>1.172786763393973</v>
      </c>
      <c r="W219" s="304">
        <f t="shared" ca="1" si="91"/>
        <v>289.4285725789066</v>
      </c>
      <c r="Y219" s="314" t="str">
        <f t="shared" ca="1" si="109"/>
        <v/>
      </c>
      <c r="Z219" s="315" t="str">
        <f t="shared" ca="1" si="110"/>
        <v/>
      </c>
      <c r="AA219" s="316" t="str">
        <f t="shared" ca="1" si="111"/>
        <v/>
      </c>
      <c r="AC219" s="310" t="e">
        <f t="shared" ca="1" si="112"/>
        <v>#N/A</v>
      </c>
      <c r="AD219" s="323" t="e">
        <f t="shared" ca="1" si="113"/>
        <v>#N/A</v>
      </c>
      <c r="AE219" s="324">
        <f t="shared" ca="1" si="92"/>
        <v>435.5119262742212</v>
      </c>
      <c r="AG219" s="306">
        <f t="shared" ca="1" si="114"/>
        <v>42.033834941385734</v>
      </c>
      <c r="AH219" s="304">
        <f t="shared" ca="1" si="115"/>
        <v>51.659588505120098</v>
      </c>
    </row>
    <row r="220" spans="1:34" x14ac:dyDescent="0.2">
      <c r="A220" s="347">
        <f t="shared" ca="1" si="93"/>
        <v>0.01</v>
      </c>
      <c r="B220" s="304">
        <f t="shared" ca="1" si="94"/>
        <v>2.1599999999999979</v>
      </c>
      <c r="D220" s="306">
        <f t="shared" ca="1" si="95"/>
        <v>9.8929715231509867</v>
      </c>
      <c r="E220" s="307">
        <f t="shared" ca="1" si="96"/>
        <v>40.49464965567028</v>
      </c>
      <c r="F220" s="304">
        <f t="shared" ca="1" si="97"/>
        <v>41.685579476521056</v>
      </c>
      <c r="G220" s="306">
        <f t="shared" ca="1" si="98"/>
        <v>54.805327123712836</v>
      </c>
      <c r="H220" s="307">
        <f t="shared" ca="1" si="99"/>
        <v>278.58083622973504</v>
      </c>
      <c r="I220" s="304">
        <f t="shared" ca="1" si="100"/>
        <v>283.9205983996153</v>
      </c>
      <c r="J220" s="306">
        <f t="shared" ca="1" si="101"/>
        <v>82.987461476953044</v>
      </c>
      <c r="K220" s="307">
        <f t="shared" ca="1" si="102"/>
        <v>438.29570990403579</v>
      </c>
      <c r="L220" s="304">
        <f t="shared" ca="1" si="87"/>
        <v>446.08300582141823</v>
      </c>
      <c r="M220" s="306">
        <f t="shared" ca="1" si="103"/>
        <v>1.3765465538327759</v>
      </c>
      <c r="N220" s="304">
        <f t="shared" ca="1" si="104"/>
        <v>78.870307837896036</v>
      </c>
      <c r="P220" s="310">
        <f t="shared" ca="1" si="105"/>
        <v>6</v>
      </c>
      <c r="Q220" s="304">
        <f t="shared" ca="1" si="106"/>
        <v>563.37000000000035</v>
      </c>
      <c r="R220" s="306">
        <f t="shared" ca="1" si="107"/>
        <v>0.28272915462234693</v>
      </c>
      <c r="S220" s="307">
        <f t="shared" ca="1" si="108"/>
        <v>5.3433007235822521</v>
      </c>
      <c r="T220" s="304">
        <f t="shared" ca="1" si="88"/>
        <v>52.417780098341893</v>
      </c>
      <c r="U220" s="311">
        <f t="shared" ca="1" si="89"/>
        <v>0</v>
      </c>
      <c r="V220" s="306">
        <f t="shared" ca="1" si="90"/>
        <v>1.1724601745416312</v>
      </c>
      <c r="W220" s="304">
        <f t="shared" ca="1" si="91"/>
        <v>290.19861913542519</v>
      </c>
      <c r="Y220" s="314" t="str">
        <f t="shared" ca="1" si="109"/>
        <v/>
      </c>
      <c r="Z220" s="315" t="str">
        <f t="shared" ca="1" si="110"/>
        <v/>
      </c>
      <c r="AA220" s="316" t="str">
        <f t="shared" ca="1" si="111"/>
        <v/>
      </c>
      <c r="AC220" s="310" t="e">
        <f t="shared" ca="1" si="112"/>
        <v>#N/A</v>
      </c>
      <c r="AD220" s="323" t="e">
        <f t="shared" ca="1" si="113"/>
        <v>#N/A</v>
      </c>
      <c r="AE220" s="324">
        <f t="shared" ca="1" si="92"/>
        <v>438.29570990403579</v>
      </c>
      <c r="AG220" s="306">
        <f t="shared" ca="1" si="114"/>
        <v>41.642575999689988</v>
      </c>
      <c r="AH220" s="304">
        <f t="shared" ca="1" si="115"/>
        <v>51.268203231024238</v>
      </c>
    </row>
    <row r="221" spans="1:34" x14ac:dyDescent="0.2">
      <c r="A221" s="347">
        <f t="shared" ca="1" si="93"/>
        <v>0.01</v>
      </c>
      <c r="B221" s="304">
        <f t="shared" ca="1" si="94"/>
        <v>2.1699999999999977</v>
      </c>
      <c r="D221" s="306">
        <f t="shared" ca="1" si="95"/>
        <v>9.8209465525490867</v>
      </c>
      <c r="E221" s="307">
        <f t="shared" ca="1" si="96"/>
        <v>40.110831546189104</v>
      </c>
      <c r="F221" s="304">
        <f t="shared" ca="1" si="97"/>
        <v>41.295638976952333</v>
      </c>
      <c r="G221" s="306">
        <f t="shared" ca="1" si="98"/>
        <v>54.903536589238328</v>
      </c>
      <c r="H221" s="307">
        <f t="shared" ca="1" si="99"/>
        <v>278.98194454519694</v>
      </c>
      <c r="I221" s="304">
        <f t="shared" ca="1" si="100"/>
        <v>284.33312102571728</v>
      </c>
      <c r="J221" s="306">
        <f t="shared" ca="1" si="101"/>
        <v>83.536005795517795</v>
      </c>
      <c r="K221" s="307">
        <f t="shared" ca="1" si="102"/>
        <v>441.08352380791047</v>
      </c>
      <c r="L221" s="304">
        <f t="shared" ca="1" si="87"/>
        <v>448.92420210885524</v>
      </c>
      <c r="M221" s="306">
        <f t="shared" ca="1" si="103"/>
        <v>1.3764799548757136</v>
      </c>
      <c r="N221" s="304">
        <f t="shared" ca="1" si="104"/>
        <v>78.866491998736393</v>
      </c>
      <c r="P221" s="310">
        <f t="shared" ca="1" si="105"/>
        <v>6</v>
      </c>
      <c r="Q221" s="304">
        <f t="shared" ca="1" si="106"/>
        <v>561.91000000000031</v>
      </c>
      <c r="R221" s="306">
        <f t="shared" ca="1" si="107"/>
        <v>0.28199644864625906</v>
      </c>
      <c r="S221" s="307">
        <f t="shared" ca="1" si="108"/>
        <v>5.3404807590957892</v>
      </c>
      <c r="T221" s="304">
        <f t="shared" ca="1" si="88"/>
        <v>52.390116246729697</v>
      </c>
      <c r="U221" s="311">
        <f t="shared" ca="1" si="89"/>
        <v>0</v>
      </c>
      <c r="V221" s="306">
        <f t="shared" ca="1" si="90"/>
        <v>1.1721332020110027</v>
      </c>
      <c r="W221" s="304">
        <f t="shared" ca="1" si="91"/>
        <v>290.96135517200184</v>
      </c>
      <c r="Y221" s="314" t="str">
        <f t="shared" ca="1" si="109"/>
        <v/>
      </c>
      <c r="Z221" s="315" t="str">
        <f t="shared" ca="1" si="110"/>
        <v/>
      </c>
      <c r="AA221" s="316" t="str">
        <f t="shared" ca="1" si="111"/>
        <v/>
      </c>
      <c r="AC221" s="310" t="e">
        <f t="shared" ca="1" si="112"/>
        <v>#N/A</v>
      </c>
      <c r="AD221" s="323" t="e">
        <f t="shared" ca="1" si="113"/>
        <v>#N/A</v>
      </c>
      <c r="AE221" s="324">
        <f t="shared" ca="1" si="92"/>
        <v>441.08352380791047</v>
      </c>
      <c r="AG221" s="306">
        <f t="shared" ca="1" si="114"/>
        <v>41.25219955333899</v>
      </c>
      <c r="AH221" s="304">
        <f t="shared" ca="1" si="115"/>
        <v>50.877700551921713</v>
      </c>
    </row>
    <row r="222" spans="1:34" x14ac:dyDescent="0.2">
      <c r="A222" s="347">
        <f t="shared" ca="1" si="93"/>
        <v>0.01</v>
      </c>
      <c r="B222" s="304">
        <f t="shared" ca="1" si="94"/>
        <v>2.1799999999999975</v>
      </c>
      <c r="D222" s="306">
        <f t="shared" ca="1" si="95"/>
        <v>9.7490381808847726</v>
      </c>
      <c r="E222" s="307">
        <f t="shared" ca="1" si="96"/>
        <v>39.727894971991923</v>
      </c>
      <c r="F222" s="304">
        <f t="shared" ca="1" si="97"/>
        <v>40.906593409351139</v>
      </c>
      <c r="G222" s="306">
        <f t="shared" ca="1" si="98"/>
        <v>55.001026971047175</v>
      </c>
      <c r="H222" s="307">
        <f t="shared" ca="1" si="99"/>
        <v>279.37922349491686</v>
      </c>
      <c r="I222" s="304">
        <f t="shared" ca="1" si="100"/>
        <v>284.7417487627913</v>
      </c>
      <c r="J222" s="306">
        <f t="shared" ca="1" si="101"/>
        <v>84.085528613319227</v>
      </c>
      <c r="K222" s="307">
        <f t="shared" ca="1" si="102"/>
        <v>443.87532964811106</v>
      </c>
      <c r="L222" s="304">
        <f t="shared" ca="1" si="87"/>
        <v>451.7695036104148</v>
      </c>
      <c r="M222" s="306">
        <f t="shared" ca="1" si="103"/>
        <v>1.3764134289804342</v>
      </c>
      <c r="N222" s="304">
        <f t="shared" ca="1" si="104"/>
        <v>78.862680345708554</v>
      </c>
      <c r="P222" s="310">
        <f t="shared" ca="1" si="105"/>
        <v>6</v>
      </c>
      <c r="Q222" s="304">
        <f t="shared" ca="1" si="106"/>
        <v>560.45000000000039</v>
      </c>
      <c r="R222" s="306">
        <f t="shared" ca="1" si="107"/>
        <v>0.28126374267017124</v>
      </c>
      <c r="S222" s="307">
        <f t="shared" ca="1" si="108"/>
        <v>5.3376681216690871</v>
      </c>
      <c r="T222" s="304">
        <f t="shared" ca="1" si="88"/>
        <v>52.362524273573747</v>
      </c>
      <c r="U222" s="311">
        <f t="shared" ca="1" si="89"/>
        <v>0</v>
      </c>
      <c r="V222" s="306">
        <f t="shared" ca="1" si="90"/>
        <v>1.1718058506470754</v>
      </c>
      <c r="W222" s="304">
        <f t="shared" ca="1" si="91"/>
        <v>291.71677012965887</v>
      </c>
      <c r="Y222" s="314" t="str">
        <f t="shared" ca="1" si="109"/>
        <v/>
      </c>
      <c r="Z222" s="315" t="str">
        <f t="shared" ca="1" si="110"/>
        <v/>
      </c>
      <c r="AA222" s="316" t="str">
        <f t="shared" ca="1" si="111"/>
        <v/>
      </c>
      <c r="AC222" s="310" t="e">
        <f t="shared" ca="1" si="112"/>
        <v>#N/A</v>
      </c>
      <c r="AD222" s="323" t="e">
        <f t="shared" ca="1" si="113"/>
        <v>#N/A</v>
      </c>
      <c r="AE222" s="324">
        <f t="shared" ca="1" si="92"/>
        <v>443.87532964811106</v>
      </c>
      <c r="AG222" s="306">
        <f t="shared" ca="1" si="114"/>
        <v>40.862710698402502</v>
      </c>
      <c r="AH222" s="304">
        <f t="shared" ca="1" si="115"/>
        <v>50.488085561926908</v>
      </c>
    </row>
    <row r="223" spans="1:34" x14ac:dyDescent="0.2">
      <c r="A223" s="347">
        <f t="shared" ca="1" si="93"/>
        <v>0.01</v>
      </c>
      <c r="B223" s="304">
        <f t="shared" ca="1" si="94"/>
        <v>2.1899999999999973</v>
      </c>
      <c r="D223" s="306">
        <f t="shared" ca="1" si="95"/>
        <v>9.6772476860091121</v>
      </c>
      <c r="E223" s="307">
        <f t="shared" ca="1" si="96"/>
        <v>39.345844771924121</v>
      </c>
      <c r="F223" s="304">
        <f t="shared" ca="1" si="97"/>
        <v>40.518447941557653</v>
      </c>
      <c r="G223" s="306">
        <f t="shared" ca="1" si="98"/>
        <v>55.097799447907263</v>
      </c>
      <c r="H223" s="307">
        <f t="shared" ca="1" si="99"/>
        <v>279.7726819426361</v>
      </c>
      <c r="I223" s="304">
        <f t="shared" ca="1" si="100"/>
        <v>285.14649053666648</v>
      </c>
      <c r="J223" s="306">
        <f t="shared" ca="1" si="101"/>
        <v>84.636022745413996</v>
      </c>
      <c r="K223" s="307">
        <f t="shared" ca="1" si="102"/>
        <v>446.67108917529885</v>
      </c>
      <c r="L223" s="304">
        <f t="shared" ca="1" si="87"/>
        <v>454.61887142001706</v>
      </c>
      <c r="M223" s="306">
        <f t="shared" ca="1" si="103"/>
        <v>1.3763469750568769</v>
      </c>
      <c r="N223" s="304">
        <f t="shared" ca="1" si="104"/>
        <v>78.858872816356637</v>
      </c>
      <c r="P223" s="310">
        <f t="shared" ca="1" si="105"/>
        <v>6</v>
      </c>
      <c r="Q223" s="304">
        <f t="shared" ca="1" si="106"/>
        <v>558.99000000000035</v>
      </c>
      <c r="R223" s="306">
        <f t="shared" ca="1" si="107"/>
        <v>0.28053103669408336</v>
      </c>
      <c r="S223" s="307">
        <f t="shared" ca="1" si="108"/>
        <v>5.3348628113021466</v>
      </c>
      <c r="T223" s="304">
        <f t="shared" ca="1" si="88"/>
        <v>52.335004178874058</v>
      </c>
      <c r="U223" s="311">
        <f t="shared" ca="1" si="89"/>
        <v>0</v>
      </c>
      <c r="V223" s="306">
        <f t="shared" ca="1" si="90"/>
        <v>1.1714781252798241</v>
      </c>
      <c r="W223" s="304">
        <f t="shared" ca="1" si="91"/>
        <v>292.46485402582238</v>
      </c>
      <c r="Y223" s="314" t="str">
        <f t="shared" ca="1" si="109"/>
        <v/>
      </c>
      <c r="Z223" s="315" t="str">
        <f t="shared" ca="1" si="110"/>
        <v/>
      </c>
      <c r="AA223" s="316" t="str">
        <f t="shared" ca="1" si="111"/>
        <v/>
      </c>
      <c r="AC223" s="310" t="e">
        <f t="shared" ca="1" si="112"/>
        <v>#N/A</v>
      </c>
      <c r="AD223" s="323" t="e">
        <f t="shared" ca="1" si="113"/>
        <v>#N/A</v>
      </c>
      <c r="AE223" s="324">
        <f t="shared" ca="1" si="92"/>
        <v>446.67108917529885</v>
      </c>
      <c r="AG223" s="306">
        <f t="shared" ca="1" si="114"/>
        <v>40.474114425405872</v>
      </c>
      <c r="AH223" s="304">
        <f t="shared" ca="1" si="115"/>
        <v>50.099363249624929</v>
      </c>
    </row>
    <row r="224" spans="1:34" x14ac:dyDescent="0.2">
      <c r="A224" s="347">
        <f t="shared" ca="1" si="93"/>
        <v>0.01</v>
      </c>
      <c r="B224" s="304">
        <f t="shared" ca="1" si="94"/>
        <v>2.1999999999999971</v>
      </c>
      <c r="D224" s="306">
        <f t="shared" ca="1" si="95"/>
        <v>9.6055763242627989</v>
      </c>
      <c r="E224" s="307">
        <f t="shared" ca="1" si="96"/>
        <v>38.964685682038841</v>
      </c>
      <c r="F224" s="304">
        <f t="shared" ca="1" si="97"/>
        <v>40.131207642199364</v>
      </c>
      <c r="G224" s="306">
        <f t="shared" ca="1" si="98"/>
        <v>55.193855211149895</v>
      </c>
      <c r="H224" s="307">
        <f t="shared" ca="1" si="99"/>
        <v>280.16232879945647</v>
      </c>
      <c r="I224" s="304">
        <f t="shared" ca="1" si="100"/>
        <v>285.54735532202733</v>
      </c>
      <c r="J224" s="306">
        <f t="shared" ca="1" si="101"/>
        <v>85.187481018709278</v>
      </c>
      <c r="K224" s="307">
        <f t="shared" ca="1" si="102"/>
        <v>449.47076422900932</v>
      </c>
      <c r="L224" s="304">
        <f t="shared" ca="1" si="87"/>
        <v>457.47226672107962</v>
      </c>
      <c r="M224" s="306">
        <f t="shared" ca="1" si="103"/>
        <v>1.3762805920242729</v>
      </c>
      <c r="N224" s="304">
        <f t="shared" ca="1" si="104"/>
        <v>78.855069348757141</v>
      </c>
      <c r="P224" s="310">
        <f t="shared" ca="1" si="105"/>
        <v>6</v>
      </c>
      <c r="Q224" s="304">
        <f t="shared" ca="1" si="106"/>
        <v>557.53000000000043</v>
      </c>
      <c r="R224" s="306">
        <f t="shared" ca="1" si="107"/>
        <v>0.27979833071799548</v>
      </c>
      <c r="S224" s="307">
        <f t="shared" ca="1" si="108"/>
        <v>5.3320648279949667</v>
      </c>
      <c r="T224" s="304">
        <f t="shared" ca="1" si="88"/>
        <v>52.307555962630623</v>
      </c>
      <c r="U224" s="311">
        <f t="shared" ca="1" si="89"/>
        <v>0</v>
      </c>
      <c r="V224" s="306">
        <f t="shared" ca="1" si="90"/>
        <v>1.1711500307241527</v>
      </c>
      <c r="W224" s="304">
        <f t="shared" ca="1" si="91"/>
        <v>293.20559744935883</v>
      </c>
      <c r="Y224" s="314" t="str">
        <f t="shared" ca="1" si="109"/>
        <v/>
      </c>
      <c r="Z224" s="315" t="str">
        <f t="shared" ca="1" si="110"/>
        <v/>
      </c>
      <c r="AA224" s="316" t="str">
        <f t="shared" ca="1" si="111"/>
        <v/>
      </c>
      <c r="AC224" s="310" t="e">
        <f t="shared" ca="1" si="112"/>
        <v>#N/A</v>
      </c>
      <c r="AD224" s="323" t="e">
        <f t="shared" ca="1" si="113"/>
        <v>#N/A</v>
      </c>
      <c r="AE224" s="324">
        <f t="shared" ca="1" si="92"/>
        <v>449.47076422900932</v>
      </c>
      <c r="AG224" s="306">
        <f t="shared" ca="1" si="114"/>
        <v>40.086415619910319</v>
      </c>
      <c r="AH224" s="304">
        <f t="shared" ca="1" si="115"/>
        <v>49.711538498651628</v>
      </c>
    </row>
    <row r="225" spans="1:34" x14ac:dyDescent="0.2">
      <c r="A225" s="347">
        <f t="shared" ca="1" si="93"/>
        <v>0.01</v>
      </c>
      <c r="B225" s="304">
        <f t="shared" ca="1" si="94"/>
        <v>2.2099999999999969</v>
      </c>
      <c r="D225" s="306">
        <f t="shared" ca="1" si="95"/>
        <v>9.5340253305863776</v>
      </c>
      <c r="E225" s="307">
        <f t="shared" ca="1" si="96"/>
        <v>38.584422336175109</v>
      </c>
      <c r="F225" s="304">
        <f t="shared" ca="1" si="97"/>
        <v>39.744877481514415</v>
      </c>
      <c r="G225" s="306">
        <f t="shared" ca="1" si="98"/>
        <v>55.289195464455759</v>
      </c>
      <c r="H225" s="307">
        <f t="shared" ca="1" si="99"/>
        <v>280.54817302281822</v>
      </c>
      <c r="I225" s="304">
        <f t="shared" ca="1" si="100"/>
        <v>285.94435214137025</v>
      </c>
      <c r="J225" s="306">
        <f t="shared" ca="1" si="101"/>
        <v>85.739896272087307</v>
      </c>
      <c r="K225" s="307">
        <f t="shared" ca="1" si="102"/>
        <v>452.27431673812072</v>
      </c>
      <c r="L225" s="304">
        <f t="shared" ca="1" si="87"/>
        <v>460.32965078700096</v>
      </c>
      <c r="M225" s="306">
        <f t="shared" ca="1" si="103"/>
        <v>1.3762142788110094</v>
      </c>
      <c r="N225" s="304">
        <f t="shared" ca="1" si="104"/>
        <v>78.8512698815112</v>
      </c>
      <c r="P225" s="310">
        <f t="shared" ca="1" si="105"/>
        <v>6</v>
      </c>
      <c r="Q225" s="304">
        <f t="shared" ca="1" si="106"/>
        <v>556.07000000000039</v>
      </c>
      <c r="R225" s="306">
        <f t="shared" ca="1" si="107"/>
        <v>0.2790656247419076</v>
      </c>
      <c r="S225" s="307">
        <f t="shared" ca="1" si="108"/>
        <v>5.3292741717475476</v>
      </c>
      <c r="T225" s="304">
        <f t="shared" ca="1" si="88"/>
        <v>52.280179624843441</v>
      </c>
      <c r="U225" s="311">
        <f t="shared" ca="1" si="89"/>
        <v>0</v>
      </c>
      <c r="V225" s="306">
        <f t="shared" ca="1" si="90"/>
        <v>1.1708215717798414</v>
      </c>
      <c r="W225" s="304">
        <f t="shared" ca="1" si="91"/>
        <v>293.93899155559814</v>
      </c>
      <c r="Y225" s="314" t="str">
        <f t="shared" ca="1" si="109"/>
        <v/>
      </c>
      <c r="Z225" s="315" t="str">
        <f t="shared" ca="1" si="110"/>
        <v/>
      </c>
      <c r="AA225" s="316" t="str">
        <f t="shared" ca="1" si="111"/>
        <v/>
      </c>
      <c r="AC225" s="310" t="e">
        <f t="shared" ca="1" si="112"/>
        <v>#N/A</v>
      </c>
      <c r="AD225" s="323" t="e">
        <f t="shared" ca="1" si="113"/>
        <v>#N/A</v>
      </c>
      <c r="AE225" s="324">
        <f t="shared" ca="1" si="92"/>
        <v>452.27431673812072</v>
      </c>
      <c r="AG225" s="306">
        <f t="shared" ca="1" si="114"/>
        <v>39.699619063100904</v>
      </c>
      <c r="AH225" s="304">
        <f t="shared" ca="1" si="115"/>
        <v>49.324616088281388</v>
      </c>
    </row>
    <row r="226" spans="1:34" x14ac:dyDescent="0.2">
      <c r="A226" s="347">
        <f t="shared" ca="1" si="93"/>
        <v>0.01</v>
      </c>
      <c r="B226" s="304">
        <f t="shared" ca="1" si="94"/>
        <v>2.2199999999999966</v>
      </c>
      <c r="D226" s="306">
        <f t="shared" ca="1" si="95"/>
        <v>9.4625959186317292</v>
      </c>
      <c r="E226" s="307">
        <f t="shared" ca="1" si="96"/>
        <v>38.205059266542705</v>
      </c>
      <c r="F226" s="304">
        <f t="shared" ca="1" si="97"/>
        <v>39.359462332193338</v>
      </c>
      <c r="G226" s="306">
        <f t="shared" ca="1" si="98"/>
        <v>55.383821423642075</v>
      </c>
      <c r="H226" s="307">
        <f t="shared" ca="1" si="99"/>
        <v>280.93022361548367</v>
      </c>
      <c r="I226" s="304">
        <f t="shared" ca="1" si="100"/>
        <v>286.3374900639655</v>
      </c>
      <c r="J226" s="306">
        <f t="shared" ca="1" si="101"/>
        <v>86.293261356527793</v>
      </c>
      <c r="K226" s="307">
        <f t="shared" ca="1" si="102"/>
        <v>455.08170872131222</v>
      </c>
      <c r="L226" s="304">
        <f t="shared" ca="1" si="87"/>
        <v>463.19098498163294</v>
      </c>
      <c r="M226" s="306">
        <f t="shared" ca="1" si="103"/>
        <v>1.3761480343544981</v>
      </c>
      <c r="N226" s="304">
        <f t="shared" ca="1" si="104"/>
        <v>78.847474353736956</v>
      </c>
      <c r="P226" s="310">
        <f t="shared" ca="1" si="105"/>
        <v>6</v>
      </c>
      <c r="Q226" s="304">
        <f t="shared" ca="1" si="106"/>
        <v>554.61000000000047</v>
      </c>
      <c r="R226" s="306">
        <f t="shared" ca="1" si="107"/>
        <v>0.27833291876581978</v>
      </c>
      <c r="S226" s="307">
        <f t="shared" ca="1" si="108"/>
        <v>5.3264908425598891</v>
      </c>
      <c r="T226" s="304">
        <f t="shared" ca="1" si="88"/>
        <v>52.252875165512513</v>
      </c>
      <c r="U226" s="311">
        <f t="shared" ca="1" si="89"/>
        <v>0</v>
      </c>
      <c r="V226" s="306">
        <f t="shared" ca="1" si="90"/>
        <v>1.1704927532314948</v>
      </c>
      <c r="W226" s="304">
        <f t="shared" ca="1" si="91"/>
        <v>294.66502806133906</v>
      </c>
      <c r="Y226" s="314" t="str">
        <f t="shared" ca="1" si="109"/>
        <v/>
      </c>
      <c r="Z226" s="315" t="str">
        <f t="shared" ca="1" si="110"/>
        <v/>
      </c>
      <c r="AA226" s="316" t="str">
        <f t="shared" ca="1" si="111"/>
        <v/>
      </c>
      <c r="AC226" s="310" t="e">
        <f t="shared" ca="1" si="112"/>
        <v>#N/A</v>
      </c>
      <c r="AD226" s="323" t="e">
        <f t="shared" ca="1" si="113"/>
        <v>#N/A</v>
      </c>
      <c r="AE226" s="324">
        <f t="shared" ca="1" si="92"/>
        <v>455.08170872131222</v>
      </c>
      <c r="AG226" s="306">
        <f t="shared" ca="1" si="114"/>
        <v>39.313729432381471</v>
      </c>
      <c r="AH226" s="304">
        <f t="shared" ca="1" si="115"/>
        <v>48.938600694021837</v>
      </c>
    </row>
    <row r="227" spans="1:34" x14ac:dyDescent="0.2">
      <c r="A227" s="347">
        <f t="shared" ca="1" si="93"/>
        <v>0.01</v>
      </c>
      <c r="B227" s="304">
        <f t="shared" ca="1" si="94"/>
        <v>2.2299999999999964</v>
      </c>
      <c r="D227" s="306">
        <f t="shared" ca="1" si="95"/>
        <v>9.3912892808747213</v>
      </c>
      <c r="E227" s="307">
        <f t="shared" ca="1" si="96"/>
        <v>37.826600904313914</v>
      </c>
      <c r="F227" s="304">
        <f t="shared" ca="1" si="97"/>
        <v>38.974966970240203</v>
      </c>
      <c r="G227" s="306">
        <f t="shared" ca="1" si="98"/>
        <v>55.477734316450821</v>
      </c>
      <c r="H227" s="307">
        <f t="shared" ca="1" si="99"/>
        <v>281.30848962452683</v>
      </c>
      <c r="I227" s="304">
        <f t="shared" ca="1" si="100"/>
        <v>286.72677820482551</v>
      </c>
      <c r="J227" s="306">
        <f t="shared" ca="1" si="101"/>
        <v>86.847569135228255</v>
      </c>
      <c r="K227" s="307">
        <f t="shared" ca="1" si="102"/>
        <v>457.8929022875123</v>
      </c>
      <c r="L227" s="304">
        <f t="shared" ca="1" si="87"/>
        <v>466.05623075974381</v>
      </c>
      <c r="M227" s="306">
        <f t="shared" ca="1" si="103"/>
        <v>1.3760818576010436</v>
      </c>
      <c r="N227" s="304">
        <f t="shared" ca="1" si="104"/>
        <v>78.843682705062136</v>
      </c>
      <c r="P227" s="310">
        <f t="shared" ca="1" si="105"/>
        <v>6</v>
      </c>
      <c r="Q227" s="304">
        <f t="shared" ca="1" si="106"/>
        <v>553.15000000000055</v>
      </c>
      <c r="R227" s="306">
        <f t="shared" ca="1" si="107"/>
        <v>0.2776002127897319</v>
      </c>
      <c r="S227" s="307">
        <f t="shared" ca="1" si="108"/>
        <v>5.3237148404319914</v>
      </c>
      <c r="T227" s="304">
        <f t="shared" ca="1" si="88"/>
        <v>52.225642584637839</v>
      </c>
      <c r="U227" s="311">
        <f t="shared" ca="1" si="89"/>
        <v>0</v>
      </c>
      <c r="V227" s="306">
        <f t="shared" ca="1" si="90"/>
        <v>1.1701635798484913</v>
      </c>
      <c r="W227" s="304">
        <f t="shared" ca="1" si="91"/>
        <v>295.38369923984118</v>
      </c>
      <c r="Y227" s="314" t="str">
        <f t="shared" ca="1" si="109"/>
        <v/>
      </c>
      <c r="Z227" s="315" t="str">
        <f t="shared" ca="1" si="110"/>
        <v/>
      </c>
      <c r="AA227" s="316" t="str">
        <f t="shared" ca="1" si="111"/>
        <v/>
      </c>
      <c r="AC227" s="310" t="e">
        <f t="shared" ca="1" si="112"/>
        <v>#N/A</v>
      </c>
      <c r="AD227" s="323" t="e">
        <f t="shared" ca="1" si="113"/>
        <v>#N/A</v>
      </c>
      <c r="AE227" s="324">
        <f t="shared" ca="1" si="92"/>
        <v>457.8929022875123</v>
      </c>
      <c r="AG227" s="306">
        <f t="shared" ca="1" si="114"/>
        <v>38.928751301976554</v>
      </c>
      <c r="AH227" s="304">
        <f t="shared" ca="1" si="115"/>
        <v>48.55349688821552</v>
      </c>
    </row>
    <row r="228" spans="1:34" x14ac:dyDescent="0.2">
      <c r="A228" s="347">
        <f t="shared" ca="1" si="93"/>
        <v>0.01</v>
      </c>
      <c r="B228" s="304">
        <f t="shared" ca="1" si="94"/>
        <v>2.2399999999999962</v>
      </c>
      <c r="D228" s="306">
        <f t="shared" ca="1" si="95"/>
        <v>9.320106588729157</v>
      </c>
      <c r="E228" s="307">
        <f t="shared" ca="1" si="96"/>
        <v>37.449051580221997</v>
      </c>
      <c r="F228" s="304">
        <f t="shared" ca="1" si="97"/>
        <v>38.591396075853496</v>
      </c>
      <c r="G228" s="306">
        <f t="shared" ca="1" si="98"/>
        <v>55.570935382338114</v>
      </c>
      <c r="H228" s="307">
        <f t="shared" ca="1" si="99"/>
        <v>281.68298014032905</v>
      </c>
      <c r="I228" s="304">
        <f t="shared" ca="1" si="100"/>
        <v>287.11222572367939</v>
      </c>
      <c r="J228" s="306">
        <f t="shared" ca="1" si="101"/>
        <v>87.402812483722201</v>
      </c>
      <c r="K228" s="307">
        <f t="shared" ca="1" si="102"/>
        <v>460.70785963633659</v>
      </c>
      <c r="L228" s="304">
        <f t="shared" ca="1" si="87"/>
        <v>468.92534966747013</v>
      </c>
      <c r="M228" s="306">
        <f t="shared" ca="1" si="103"/>
        <v>1.3760157475057146</v>
      </c>
      <c r="N228" s="304">
        <f t="shared" ca="1" si="104"/>
        <v>78.839894875616579</v>
      </c>
      <c r="P228" s="310">
        <f t="shared" ca="1" si="105"/>
        <v>6</v>
      </c>
      <c r="Q228" s="304">
        <f t="shared" ca="1" si="106"/>
        <v>551.69000000000051</v>
      </c>
      <c r="R228" s="306">
        <f t="shared" ca="1" si="107"/>
        <v>0.27686750681364403</v>
      </c>
      <c r="S228" s="307">
        <f t="shared" ca="1" si="108"/>
        <v>5.3209461653638552</v>
      </c>
      <c r="T228" s="304">
        <f t="shared" ca="1" si="88"/>
        <v>52.198481882219426</v>
      </c>
      <c r="U228" s="311">
        <f t="shared" ca="1" si="89"/>
        <v>0</v>
      </c>
      <c r="V228" s="306">
        <f t="shared" ca="1" si="90"/>
        <v>1.1698340563849348</v>
      </c>
      <c r="W228" s="304">
        <f t="shared" ca="1" si="91"/>
        <v>296.0949979158035</v>
      </c>
      <c r="Y228" s="314" t="str">
        <f t="shared" ca="1" si="109"/>
        <v/>
      </c>
      <c r="Z228" s="315" t="str">
        <f t="shared" ca="1" si="110"/>
        <v/>
      </c>
      <c r="AA228" s="316" t="str">
        <f t="shared" ca="1" si="111"/>
        <v/>
      </c>
      <c r="AC228" s="310" t="e">
        <f t="shared" ca="1" si="112"/>
        <v>#N/A</v>
      </c>
      <c r="AD228" s="323" t="e">
        <f t="shared" ca="1" si="113"/>
        <v>#N/A</v>
      </c>
      <c r="AE228" s="324">
        <f t="shared" ca="1" si="92"/>
        <v>460.70785963633659</v>
      </c>
      <c r="AG228" s="306">
        <f t="shared" ca="1" si="114"/>
        <v>38.544689143540097</v>
      </c>
      <c r="AH228" s="304">
        <f t="shared" ca="1" si="115"/>
        <v>48.169309140648423</v>
      </c>
    </row>
    <row r="229" spans="1:34" x14ac:dyDescent="0.2">
      <c r="A229" s="347">
        <f t="shared" ca="1" si="93"/>
        <v>0.01</v>
      </c>
      <c r="B229" s="304">
        <f t="shared" ca="1" si="94"/>
        <v>2.249999999999996</v>
      </c>
      <c r="D229" s="306">
        <f t="shared" ca="1" si="95"/>
        <v>9.2490489926619333</v>
      </c>
      <c r="E229" s="307">
        <f t="shared" ca="1" si="96"/>
        <v>37.072415525165944</v>
      </c>
      <c r="F229" s="304">
        <f t="shared" ca="1" si="97"/>
        <v>38.208754234327316</v>
      </c>
      <c r="G229" s="306">
        <f t="shared" ca="1" si="98"/>
        <v>55.663425872264732</v>
      </c>
      <c r="H229" s="307">
        <f t="shared" ca="1" si="99"/>
        <v>282.0537042955807</v>
      </c>
      <c r="I229" s="304">
        <f t="shared" ca="1" si="100"/>
        <v>287.49384182395278</v>
      </c>
      <c r="J229" s="306">
        <f t="shared" ca="1" si="101"/>
        <v>87.958984289995215</v>
      </c>
      <c r="K229" s="307">
        <f t="shared" ca="1" si="102"/>
        <v>463.52654305851615</v>
      </c>
      <c r="L229" s="304">
        <f t="shared" ca="1" si="87"/>
        <v>471.79830334275903</v>
      </c>
      <c r="M229" s="306">
        <f t="shared" ca="1" si="103"/>
        <v>1.3759497030322185</v>
      </c>
      <c r="N229" s="304">
        <f t="shared" ca="1" si="104"/>
        <v>78.83611080602509</v>
      </c>
      <c r="P229" s="310">
        <f t="shared" ca="1" si="105"/>
        <v>6</v>
      </c>
      <c r="Q229" s="304">
        <f t="shared" ca="1" si="106"/>
        <v>550.23000000000059</v>
      </c>
      <c r="R229" s="306">
        <f t="shared" ca="1" si="107"/>
        <v>0.2761348008375562</v>
      </c>
      <c r="S229" s="307">
        <f t="shared" ca="1" si="108"/>
        <v>5.3181848173554798</v>
      </c>
      <c r="T229" s="304">
        <f t="shared" ca="1" si="88"/>
        <v>52.171393058257259</v>
      </c>
      <c r="U229" s="311">
        <f t="shared" ca="1" si="89"/>
        <v>0</v>
      </c>
      <c r="V229" s="306">
        <f t="shared" ca="1" si="90"/>
        <v>1.1695041875796042</v>
      </c>
      <c r="W229" s="304">
        <f t="shared" ca="1" si="91"/>
        <v>296.79891746032837</v>
      </c>
      <c r="Y229" s="314" t="str">
        <f t="shared" ca="1" si="109"/>
        <v/>
      </c>
      <c r="Z229" s="315" t="str">
        <f t="shared" ca="1" si="110"/>
        <v/>
      </c>
      <c r="AA229" s="316" t="str">
        <f t="shared" ca="1" si="111"/>
        <v/>
      </c>
      <c r="AC229" s="310" t="e">
        <f t="shared" ca="1" si="112"/>
        <v>#N/A</v>
      </c>
      <c r="AD229" s="323" t="e">
        <f t="shared" ca="1" si="113"/>
        <v>#N/A</v>
      </c>
      <c r="AE229" s="324">
        <f t="shared" ca="1" si="92"/>
        <v>463.52654305851615</v>
      </c>
      <c r="AG229" s="306">
        <f t="shared" ca="1" si="114"/>
        <v>38.161547326770624</v>
      </c>
      <c r="AH229" s="304">
        <f t="shared" ca="1" si="115"/>
        <v>47.78604181916495</v>
      </c>
    </row>
    <row r="230" spans="1:34" x14ac:dyDescent="0.2">
      <c r="A230" s="347">
        <f t="shared" ca="1" si="93"/>
        <v>0.01</v>
      </c>
      <c r="B230" s="304">
        <f t="shared" ca="1" si="94"/>
        <v>2.2599999999999958</v>
      </c>
      <c r="D230" s="306">
        <f t="shared" ca="1" si="95"/>
        <v>9.1781176223092782</v>
      </c>
      <c r="E230" s="307">
        <f t="shared" ca="1" si="96"/>
        <v>36.696696870821867</v>
      </c>
      <c r="F230" s="304">
        <f t="shared" ca="1" si="97"/>
        <v>37.827045936973875</v>
      </c>
      <c r="G230" s="306">
        <f t="shared" ca="1" si="98"/>
        <v>55.755207048487826</v>
      </c>
      <c r="H230" s="307">
        <f t="shared" ca="1" si="99"/>
        <v>282.4206712642889</v>
      </c>
      <c r="I230" s="304">
        <f t="shared" ca="1" si="100"/>
        <v>287.87163575175532</v>
      </c>
      <c r="J230" s="306">
        <f t="shared" ca="1" si="101"/>
        <v>88.516077454598971</v>
      </c>
      <c r="K230" s="307">
        <f t="shared" ca="1" si="102"/>
        <v>466.34891493631551</v>
      </c>
      <c r="L230" s="304">
        <f t="shared" ca="1" si="87"/>
        <v>474.67505351579979</v>
      </c>
      <c r="M230" s="306">
        <f t="shared" ca="1" si="103"/>
        <v>1.3758837231527756</v>
      </c>
      <c r="N230" s="304">
        <f t="shared" ca="1" si="104"/>
        <v>78.83233043740023</v>
      </c>
      <c r="P230" s="310">
        <f t="shared" ca="1" si="105"/>
        <v>6</v>
      </c>
      <c r="Q230" s="304">
        <f t="shared" ca="1" si="106"/>
        <v>548.77000000000055</v>
      </c>
      <c r="R230" s="306">
        <f t="shared" ca="1" si="107"/>
        <v>0.27540209486146833</v>
      </c>
      <c r="S230" s="307">
        <f t="shared" ca="1" si="108"/>
        <v>5.315430796406865</v>
      </c>
      <c r="T230" s="304">
        <f t="shared" ca="1" si="88"/>
        <v>52.144376112751345</v>
      </c>
      <c r="U230" s="311">
        <f t="shared" ca="1" si="89"/>
        <v>0</v>
      </c>
      <c r="V230" s="306">
        <f t="shared" ca="1" si="90"/>
        <v>1.1691739781559114</v>
      </c>
      <c r="W230" s="304">
        <f t="shared" ca="1" si="91"/>
        <v>297.49545178587857</v>
      </c>
      <c r="Y230" s="314" t="str">
        <f t="shared" ca="1" si="109"/>
        <v/>
      </c>
      <c r="Z230" s="315" t="str">
        <f t="shared" ca="1" si="110"/>
        <v/>
      </c>
      <c r="AA230" s="316" t="str">
        <f t="shared" ca="1" si="111"/>
        <v/>
      </c>
      <c r="AC230" s="310" t="e">
        <f t="shared" ca="1" si="112"/>
        <v>#N/A</v>
      </c>
      <c r="AD230" s="323" t="e">
        <f t="shared" ca="1" si="113"/>
        <v>#N/A</v>
      </c>
      <c r="AE230" s="324">
        <f t="shared" ca="1" si="92"/>
        <v>466.34891493631551</v>
      </c>
      <c r="AG230" s="306">
        <f t="shared" ca="1" si="114"/>
        <v>37.779330120033109</v>
      </c>
      <c r="AH230" s="304">
        <f t="shared" ca="1" si="115"/>
        <v>47.403699190289537</v>
      </c>
    </row>
    <row r="231" spans="1:34" x14ac:dyDescent="0.2">
      <c r="A231" s="347">
        <f t="shared" ca="1" si="93"/>
        <v>0.01</v>
      </c>
      <c r="B231" s="304">
        <f t="shared" ca="1" si="94"/>
        <v>2.2699999999999956</v>
      </c>
      <c r="D231" s="306">
        <f t="shared" ca="1" si="95"/>
        <v>9.107313586594147</v>
      </c>
      <c r="E231" s="307">
        <f t="shared" ca="1" si="96"/>
        <v>36.32189965025978</v>
      </c>
      <c r="F231" s="304">
        <f t="shared" ca="1" si="97"/>
        <v>37.44627558206696</v>
      </c>
      <c r="G231" s="306">
        <f t="shared" ca="1" si="98"/>
        <v>55.846280184353766</v>
      </c>
      <c r="H231" s="307">
        <f t="shared" ca="1" si="99"/>
        <v>282.78389026079151</v>
      </c>
      <c r="I231" s="304">
        <f t="shared" ca="1" si="100"/>
        <v>288.24561679487289</v>
      </c>
      <c r="J231" s="306">
        <f t="shared" ca="1" si="101"/>
        <v>89.074084890763174</v>
      </c>
      <c r="K231" s="307">
        <f t="shared" ca="1" si="102"/>
        <v>469.17493774394092</v>
      </c>
      <c r="L231" s="304">
        <f t="shared" ca="1" si="87"/>
        <v>477.55556200944591</v>
      </c>
      <c r="M231" s="306">
        <f t="shared" ca="1" si="103"/>
        <v>1.3758178068479974</v>
      </c>
      <c r="N231" s="304">
        <f t="shared" ca="1" si="104"/>
        <v>78.828553711335346</v>
      </c>
      <c r="P231" s="310">
        <f t="shared" ca="1" si="105"/>
        <v>6</v>
      </c>
      <c r="Q231" s="304">
        <f t="shared" ca="1" si="106"/>
        <v>547.31000000000063</v>
      </c>
      <c r="R231" s="306">
        <f t="shared" ca="1" si="107"/>
        <v>0.27466938888538045</v>
      </c>
      <c r="S231" s="307">
        <f t="shared" ca="1" si="108"/>
        <v>5.3126841025180109</v>
      </c>
      <c r="T231" s="304">
        <f t="shared" ca="1" si="88"/>
        <v>52.117431045701693</v>
      </c>
      <c r="U231" s="311">
        <f t="shared" ca="1" si="89"/>
        <v>0</v>
      </c>
      <c r="V231" s="306">
        <f t="shared" ca="1" si="90"/>
        <v>1.1688434328218533</v>
      </c>
      <c r="W231" s="304">
        <f t="shared" ca="1" si="91"/>
        <v>298.18459534121951</v>
      </c>
      <c r="Y231" s="314" t="str">
        <f t="shared" ca="1" si="109"/>
        <v/>
      </c>
      <c r="Z231" s="315" t="str">
        <f t="shared" ca="1" si="110"/>
        <v/>
      </c>
      <c r="AA231" s="316" t="str">
        <f t="shared" ca="1" si="111"/>
        <v/>
      </c>
      <c r="AC231" s="310" t="e">
        <f t="shared" ca="1" si="112"/>
        <v>#N/A</v>
      </c>
      <c r="AD231" s="323" t="e">
        <f t="shared" ca="1" si="113"/>
        <v>#N/A</v>
      </c>
      <c r="AE231" s="324">
        <f t="shared" ca="1" si="92"/>
        <v>469.17493774394092</v>
      </c>
      <c r="AG231" s="306">
        <f t="shared" ca="1" si="114"/>
        <v>37.398041690986311</v>
      </c>
      <c r="AH231" s="304">
        <f t="shared" ca="1" si="115"/>
        <v>47.022285419853858</v>
      </c>
    </row>
    <row r="232" spans="1:34" x14ac:dyDescent="0.2">
      <c r="A232" s="347">
        <f t="shared" ca="1" si="93"/>
        <v>0.01</v>
      </c>
      <c r="B232" s="304">
        <f t="shared" ca="1" si="94"/>
        <v>2.2799999999999954</v>
      </c>
      <c r="D232" s="306">
        <f t="shared" ca="1" si="95"/>
        <v>9.0366379738447442</v>
      </c>
      <c r="E232" s="307">
        <f t="shared" ca="1" si="96"/>
        <v>35.948027798566862</v>
      </c>
      <c r="F232" s="304">
        <f t="shared" ca="1" si="97"/>
        <v>37.066447475808481</v>
      </c>
      <c r="G232" s="306">
        <f t="shared" ca="1" si="98"/>
        <v>55.936646564092214</v>
      </c>
      <c r="H232" s="307">
        <f t="shared" ca="1" si="99"/>
        <v>283.14337053877716</v>
      </c>
      <c r="I232" s="304">
        <f t="shared" ca="1" si="100"/>
        <v>288.61579428176731</v>
      </c>
      <c r="J232" s="306">
        <f t="shared" ca="1" si="101"/>
        <v>89.632999524505408</v>
      </c>
      <c r="K232" s="307">
        <f t="shared" ca="1" si="102"/>
        <v>472.00457404793877</v>
      </c>
      <c r="L232" s="304">
        <f t="shared" ca="1" si="87"/>
        <v>480.43979073962652</v>
      </c>
      <c r="M232" s="306">
        <f t="shared" ca="1" si="103"/>
        <v>1.375751953106765</v>
      </c>
      <c r="N232" s="304">
        <f t="shared" ca="1" si="104"/>
        <v>78.824780569897584</v>
      </c>
      <c r="P232" s="310">
        <f t="shared" ca="1" si="105"/>
        <v>6</v>
      </c>
      <c r="Q232" s="304">
        <f t="shared" ca="1" si="106"/>
        <v>545.8500000000007</v>
      </c>
      <c r="R232" s="306">
        <f t="shared" ca="1" si="107"/>
        <v>0.27393668290929263</v>
      </c>
      <c r="S232" s="307">
        <f t="shared" ca="1" si="108"/>
        <v>5.3099447356889176</v>
      </c>
      <c r="T232" s="304">
        <f t="shared" ca="1" si="88"/>
        <v>52.090557857108287</v>
      </c>
      <c r="U232" s="311">
        <f t="shared" ca="1" si="89"/>
        <v>0</v>
      </c>
      <c r="V232" s="306">
        <f t="shared" ca="1" si="90"/>
        <v>1.1685125562699701</v>
      </c>
      <c r="W232" s="304">
        <f t="shared" ca="1" si="91"/>
        <v>298.86634310635571</v>
      </c>
      <c r="Y232" s="314" t="str">
        <f t="shared" ca="1" si="109"/>
        <v/>
      </c>
      <c r="Z232" s="315" t="str">
        <f t="shared" ca="1" si="110"/>
        <v/>
      </c>
      <c r="AA232" s="316" t="str">
        <f t="shared" ca="1" si="111"/>
        <v/>
      </c>
      <c r="AC232" s="310" t="e">
        <f t="shared" ca="1" si="112"/>
        <v>#N/A</v>
      </c>
      <c r="AD232" s="323" t="e">
        <f t="shared" ca="1" si="113"/>
        <v>#N/A</v>
      </c>
      <c r="AE232" s="324">
        <f t="shared" ca="1" si="92"/>
        <v>472.00457404793877</v>
      </c>
      <c r="AG232" s="306">
        <f t="shared" ca="1" si="114"/>
        <v>37.017686107216846</v>
      </c>
      <c r="AH232" s="304">
        <f t="shared" ca="1" si="115"/>
        <v>46.641804573630623</v>
      </c>
    </row>
    <row r="233" spans="1:34" x14ac:dyDescent="0.2">
      <c r="A233" s="347">
        <f t="shared" ca="1" si="93"/>
        <v>0.01</v>
      </c>
      <c r="B233" s="304">
        <f t="shared" ca="1" si="94"/>
        <v>2.2899999999999952</v>
      </c>
      <c r="D233" s="306">
        <f t="shared" ca="1" si="95"/>
        <v>8.9660918519140598</v>
      </c>
      <c r="E233" s="307">
        <f t="shared" ca="1" si="96"/>
        <v>35.575085153475925</v>
      </c>
      <c r="F233" s="304">
        <f t="shared" ca="1" si="97"/>
        <v>36.687565833317734</v>
      </c>
      <c r="G233" s="306">
        <f t="shared" ca="1" si="98"/>
        <v>56.026307482611358</v>
      </c>
      <c r="H233" s="307">
        <f t="shared" ca="1" si="99"/>
        <v>283.49912139031193</v>
      </c>
      <c r="I233" s="304">
        <f t="shared" ca="1" si="100"/>
        <v>288.98217758058183</v>
      </c>
      <c r="J233" s="306">
        <f t="shared" ca="1" si="101"/>
        <v>90.192814294738923</v>
      </c>
      <c r="K233" s="307">
        <f t="shared" ca="1" si="102"/>
        <v>474.83778650758421</v>
      </c>
      <c r="L233" s="304">
        <f t="shared" ca="1" si="87"/>
        <v>483.32770171574833</v>
      </c>
      <c r="M233" s="306">
        <f t="shared" ca="1" si="103"/>
        <v>1.3756861609261117</v>
      </c>
      <c r="N233" s="304">
        <f t="shared" ca="1" si="104"/>
        <v>78.82101095562119</v>
      </c>
      <c r="P233" s="310">
        <f t="shared" ca="1" si="105"/>
        <v>6</v>
      </c>
      <c r="Q233" s="304">
        <f t="shared" ca="1" si="106"/>
        <v>544.39000000000067</v>
      </c>
      <c r="R233" s="306">
        <f t="shared" ca="1" si="107"/>
        <v>0.27320397693320475</v>
      </c>
      <c r="S233" s="307">
        <f t="shared" ca="1" si="108"/>
        <v>5.3072126959195858</v>
      </c>
      <c r="T233" s="304">
        <f t="shared" ca="1" si="88"/>
        <v>52.063756546971142</v>
      </c>
      <c r="U233" s="311">
        <f t="shared" ca="1" si="89"/>
        <v>0</v>
      </c>
      <c r="V233" s="306">
        <f t="shared" ca="1" si="90"/>
        <v>1.1681813531773031</v>
      </c>
      <c r="W233" s="304">
        <f t="shared" ca="1" si="91"/>
        <v>299.54069058745745</v>
      </c>
      <c r="Y233" s="314" t="str">
        <f t="shared" ca="1" si="109"/>
        <v/>
      </c>
      <c r="Z233" s="315" t="str">
        <f t="shared" ca="1" si="110"/>
        <v/>
      </c>
      <c r="AA233" s="316" t="str">
        <f t="shared" ca="1" si="111"/>
        <v/>
      </c>
      <c r="AC233" s="310" t="e">
        <f t="shared" ca="1" si="112"/>
        <v>#N/A</v>
      </c>
      <c r="AD233" s="323" t="e">
        <f t="shared" ca="1" si="113"/>
        <v>#N/A</v>
      </c>
      <c r="AE233" s="324">
        <f t="shared" ca="1" si="92"/>
        <v>474.83778650758421</v>
      </c>
      <c r="AG233" s="306">
        <f t="shared" ca="1" si="114"/>
        <v>36.638267336878386</v>
      </c>
      <c r="AH233" s="304">
        <f t="shared" ca="1" si="115"/>
        <v>46.262260617972622</v>
      </c>
    </row>
    <row r="234" spans="1:34" x14ac:dyDescent="0.2">
      <c r="A234" s="347">
        <f t="shared" ca="1" si="93"/>
        <v>0.01</v>
      </c>
      <c r="B234" s="304">
        <f t="shared" ca="1" si="94"/>
        <v>2.2999999999999949</v>
      </c>
      <c r="D234" s="306">
        <f t="shared" ca="1" si="95"/>
        <v>8.8956762683004538</v>
      </c>
      <c r="E234" s="307">
        <f t="shared" ca="1" si="96"/>
        <v>35.203075455999738</v>
      </c>
      <c r="F234" s="304">
        <f t="shared" ca="1" si="97"/>
        <v>36.309634779645123</v>
      </c>
      <c r="G234" s="306">
        <f t="shared" ca="1" si="98"/>
        <v>56.115264245294362</v>
      </c>
      <c r="H234" s="307">
        <f t="shared" ca="1" si="99"/>
        <v>283.85115214487195</v>
      </c>
      <c r="I234" s="304">
        <f t="shared" ca="1" si="100"/>
        <v>289.34477609815332</v>
      </c>
      <c r="J234" s="306">
        <f t="shared" ca="1" si="101"/>
        <v>90.753522153378455</v>
      </c>
      <c r="K234" s="307">
        <f t="shared" ca="1" si="102"/>
        <v>477.67453787526011</v>
      </c>
      <c r="L234" s="304">
        <f t="shared" ca="1" si="87"/>
        <v>486.21925704108742</v>
      </c>
      <c r="M234" s="306">
        <f t="shared" ca="1" si="103"/>
        <v>1.3756204293111043</v>
      </c>
      <c r="N234" s="304">
        <f t="shared" ca="1" si="104"/>
        <v>78.817244811500672</v>
      </c>
      <c r="P234" s="310">
        <f t="shared" ca="1" si="105"/>
        <v>6</v>
      </c>
      <c r="Q234" s="304">
        <f t="shared" ca="1" si="106"/>
        <v>542.93000000000075</v>
      </c>
      <c r="R234" s="306">
        <f t="shared" ca="1" si="107"/>
        <v>0.27247127095711693</v>
      </c>
      <c r="S234" s="307">
        <f t="shared" ca="1" si="108"/>
        <v>5.3044879832100147</v>
      </c>
      <c r="T234" s="304">
        <f t="shared" ca="1" si="88"/>
        <v>52.037027115290243</v>
      </c>
      <c r="U234" s="311">
        <f t="shared" ca="1" si="89"/>
        <v>0</v>
      </c>
      <c r="V234" s="306">
        <f t="shared" ca="1" si="90"/>
        <v>1.1678498282053558</v>
      </c>
      <c r="W234" s="304">
        <f t="shared" ca="1" si="91"/>
        <v>300.20763381178142</v>
      </c>
      <c r="Y234" s="314" t="str">
        <f t="shared" ca="1" si="109"/>
        <v/>
      </c>
      <c r="Z234" s="315" t="str">
        <f t="shared" ca="1" si="110"/>
        <v/>
      </c>
      <c r="AA234" s="316" t="str">
        <f t="shared" ca="1" si="111"/>
        <v/>
      </c>
      <c r="AC234" s="310" t="e">
        <f t="shared" ca="1" si="112"/>
        <v>#N/A</v>
      </c>
      <c r="AD234" s="323" t="e">
        <f t="shared" ca="1" si="113"/>
        <v>#N/A</v>
      </c>
      <c r="AE234" s="324">
        <f t="shared" ca="1" si="92"/>
        <v>477.67453787526011</v>
      </c>
      <c r="AG234" s="306">
        <f t="shared" ca="1" si="114"/>
        <v>36.259789249336912</v>
      </c>
      <c r="AH234" s="304">
        <f t="shared" ca="1" si="115"/>
        <v>45.88365742045778</v>
      </c>
    </row>
    <row r="235" spans="1:34" x14ac:dyDescent="0.2">
      <c r="A235" s="347">
        <f t="shared" ca="1" si="93"/>
        <v>0.01</v>
      </c>
      <c r="B235" s="304">
        <f t="shared" ca="1" si="94"/>
        <v>2.3099999999999947</v>
      </c>
      <c r="D235" s="306">
        <f t="shared" ca="1" si="95"/>
        <v>8.8253922502692497</v>
      </c>
      <c r="E235" s="307">
        <f t="shared" ca="1" si="96"/>
        <v>34.832002351070102</v>
      </c>
      <c r="F235" s="304">
        <f t="shared" ca="1" si="97"/>
        <v>35.932658350810421</v>
      </c>
      <c r="G235" s="306">
        <f t="shared" ca="1" si="98"/>
        <v>56.203518167797057</v>
      </c>
      <c r="H235" s="307">
        <f t="shared" ca="1" si="99"/>
        <v>284.19947216838267</v>
      </c>
      <c r="I235" s="304">
        <f t="shared" ca="1" si="100"/>
        <v>289.70359927903075</v>
      </c>
      <c r="J235" s="306">
        <f t="shared" ca="1" si="101"/>
        <v>91.315116065443917</v>
      </c>
      <c r="K235" s="307">
        <f t="shared" ca="1" si="102"/>
        <v>480.51479099682638</v>
      </c>
      <c r="L235" s="304">
        <f t="shared" ca="1" si="87"/>
        <v>489.11441891317128</v>
      </c>
      <c r="M235" s="306">
        <f t="shared" ca="1" si="103"/>
        <v>1.3755547572747295</v>
      </c>
      <c r="N235" s="304">
        <f t="shared" ca="1" si="104"/>
        <v>78.813482080984372</v>
      </c>
      <c r="P235" s="310">
        <f t="shared" ca="1" si="105"/>
        <v>6</v>
      </c>
      <c r="Q235" s="304">
        <f t="shared" ca="1" si="106"/>
        <v>541.47000000000071</v>
      </c>
      <c r="R235" s="306">
        <f t="shared" ca="1" si="107"/>
        <v>0.271738564981029</v>
      </c>
      <c r="S235" s="307">
        <f t="shared" ca="1" si="108"/>
        <v>5.3017705975602043</v>
      </c>
      <c r="T235" s="304">
        <f t="shared" ca="1" si="88"/>
        <v>52.010369562065605</v>
      </c>
      <c r="U235" s="311">
        <f t="shared" ca="1" si="89"/>
        <v>0</v>
      </c>
      <c r="V235" s="306">
        <f t="shared" ca="1" si="90"/>
        <v>1.167517986000052</v>
      </c>
      <c r="W235" s="304">
        <f t="shared" ca="1" si="91"/>
        <v>300.86716932258383</v>
      </c>
      <c r="Y235" s="314" t="str">
        <f t="shared" ca="1" si="109"/>
        <v/>
      </c>
      <c r="Z235" s="315" t="str">
        <f t="shared" ca="1" si="110"/>
        <v/>
      </c>
      <c r="AA235" s="316" t="str">
        <f t="shared" ca="1" si="111"/>
        <v/>
      </c>
      <c r="AC235" s="310" t="e">
        <f t="shared" ca="1" si="112"/>
        <v>#N/A</v>
      </c>
      <c r="AD235" s="323" t="e">
        <f t="shared" ca="1" si="113"/>
        <v>#N/A</v>
      </c>
      <c r="AE235" s="324">
        <f t="shared" ca="1" si="92"/>
        <v>480.51479099682638</v>
      </c>
      <c r="AG235" s="306">
        <f t="shared" ca="1" si="114"/>
        <v>35.882255615820782</v>
      </c>
      <c r="AH235" s="304">
        <f t="shared" ca="1" si="115"/>
        <v>45.505998750539042</v>
      </c>
    </row>
    <row r="236" spans="1:34" x14ac:dyDescent="0.2">
      <c r="A236" s="347">
        <f t="shared" ca="1" si="93"/>
        <v>0.01</v>
      </c>
      <c r="B236" s="304">
        <f t="shared" ca="1" si="94"/>
        <v>2.3199999999999945</v>
      </c>
      <c r="D236" s="306">
        <f t="shared" ca="1" si="95"/>
        <v>8.7552408049752941</v>
      </c>
      <c r="E236" s="307">
        <f t="shared" ca="1" si="96"/>
        <v>34.461869388182684</v>
      </c>
      <c r="F236" s="304">
        <f t="shared" ca="1" si="97"/>
        <v>35.556640494867722</v>
      </c>
      <c r="G236" s="306">
        <f t="shared" ca="1" si="98"/>
        <v>56.29107057584681</v>
      </c>
      <c r="H236" s="307">
        <f t="shared" ca="1" si="99"/>
        <v>284.54409086226451</v>
      </c>
      <c r="I236" s="304">
        <f t="shared" ca="1" si="100"/>
        <v>290.05865660450058</v>
      </c>
      <c r="J236" s="306">
        <f t="shared" ca="1" si="101"/>
        <v>91.877589009162136</v>
      </c>
      <c r="K236" s="307">
        <f t="shared" ca="1" si="102"/>
        <v>483.35850881197962</v>
      </c>
      <c r="L236" s="304">
        <f t="shared" ca="1" si="87"/>
        <v>492.01314962415086</v>
      </c>
      <c r="M236" s="306">
        <f t="shared" ca="1" si="103"/>
        <v>1.3754891438377801</v>
      </c>
      <c r="N236" s="304">
        <f t="shared" ca="1" si="104"/>
        <v>78.809722707967822</v>
      </c>
      <c r="P236" s="310">
        <f t="shared" ca="1" si="105"/>
        <v>6</v>
      </c>
      <c r="Q236" s="304">
        <f t="shared" ca="1" si="106"/>
        <v>540.01000000000079</v>
      </c>
      <c r="R236" s="306">
        <f t="shared" ca="1" si="107"/>
        <v>0.27100585900494117</v>
      </c>
      <c r="S236" s="307">
        <f t="shared" ca="1" si="108"/>
        <v>5.2990605389701546</v>
      </c>
      <c r="T236" s="304">
        <f t="shared" ca="1" si="88"/>
        <v>51.983783887297221</v>
      </c>
      <c r="U236" s="311">
        <f t="shared" ca="1" si="89"/>
        <v>0</v>
      </c>
      <c r="V236" s="306">
        <f t="shared" ca="1" si="90"/>
        <v>1.1671858311917016</v>
      </c>
      <c r="W236" s="304">
        <f t="shared" ca="1" si="91"/>
        <v>301.51929417403107</v>
      </c>
      <c r="Y236" s="314" t="str">
        <f t="shared" ca="1" si="109"/>
        <v/>
      </c>
      <c r="Z236" s="315" t="str">
        <f t="shared" ca="1" si="110"/>
        <v/>
      </c>
      <c r="AA236" s="316" t="str">
        <f t="shared" ca="1" si="111"/>
        <v/>
      </c>
      <c r="AC236" s="310" t="e">
        <f t="shared" ca="1" si="112"/>
        <v>#N/A</v>
      </c>
      <c r="AD236" s="323" t="e">
        <f t="shared" ca="1" si="113"/>
        <v>#N/A</v>
      </c>
      <c r="AE236" s="324">
        <f t="shared" ca="1" si="92"/>
        <v>483.35850881197962</v>
      </c>
      <c r="AG236" s="306">
        <f t="shared" ca="1" si="114"/>
        <v>35.505670110076743</v>
      </c>
      <c r="AH236" s="304">
        <f t="shared" ca="1" si="115"/>
        <v>45.129288280200164</v>
      </c>
    </row>
    <row r="237" spans="1:34" x14ac:dyDescent="0.2">
      <c r="A237" s="347">
        <f t="shared" ca="1" si="93"/>
        <v>0.01</v>
      </c>
      <c r="B237" s="304">
        <f t="shared" ca="1" si="94"/>
        <v>2.3299999999999943</v>
      </c>
      <c r="D237" s="306">
        <f t="shared" ca="1" si="95"/>
        <v>8.6852229195863764</v>
      </c>
      <c r="E237" s="307">
        <f t="shared" ca="1" si="96"/>
        <v>34.092680022045961</v>
      </c>
      <c r="F237" s="304">
        <f t="shared" ca="1" si="97"/>
        <v>35.181585072996931</v>
      </c>
      <c r="G237" s="306">
        <f t="shared" ca="1" si="98"/>
        <v>56.377922805042672</v>
      </c>
      <c r="H237" s="307">
        <f t="shared" ca="1" si="99"/>
        <v>284.88501766248498</v>
      </c>
      <c r="I237" s="304">
        <f t="shared" ca="1" si="100"/>
        <v>290.40995759161865</v>
      </c>
      <c r="J237" s="306">
        <f t="shared" ca="1" si="101"/>
        <v>92.440933976066589</v>
      </c>
      <c r="K237" s="307">
        <f t="shared" ca="1" si="102"/>
        <v>486.20565435460338</v>
      </c>
      <c r="L237" s="304">
        <f t="shared" ca="1" si="87"/>
        <v>494.91541156116318</v>
      </c>
      <c r="M237" s="306">
        <f t="shared" ca="1" si="103"/>
        <v>1.3754235880287426</v>
      </c>
      <c r="N237" s="304">
        <f t="shared" ca="1" si="104"/>
        <v>78.805966636787417</v>
      </c>
      <c r="P237" s="310">
        <f t="shared" ca="1" si="105"/>
        <v>6</v>
      </c>
      <c r="Q237" s="304">
        <f t="shared" ca="1" si="106"/>
        <v>538.55000000000086</v>
      </c>
      <c r="R237" s="306">
        <f t="shared" ca="1" si="107"/>
        <v>0.27027315302885335</v>
      </c>
      <c r="S237" s="307">
        <f t="shared" ca="1" si="108"/>
        <v>5.2963578074398665</v>
      </c>
      <c r="T237" s="304">
        <f t="shared" ca="1" si="88"/>
        <v>51.957270090985091</v>
      </c>
      <c r="U237" s="311">
        <f t="shared" ca="1" si="89"/>
        <v>0</v>
      </c>
      <c r="V237" s="306">
        <f t="shared" ca="1" si="90"/>
        <v>1.1668533683949633</v>
      </c>
      <c r="W237" s="304">
        <f t="shared" ca="1" si="91"/>
        <v>302.16400592610449</v>
      </c>
      <c r="Y237" s="314" t="str">
        <f t="shared" ca="1" si="109"/>
        <v/>
      </c>
      <c r="Z237" s="315" t="str">
        <f t="shared" ca="1" si="110"/>
        <v/>
      </c>
      <c r="AA237" s="316" t="str">
        <f t="shared" ca="1" si="111"/>
        <v/>
      </c>
      <c r="AC237" s="310" t="e">
        <f t="shared" ca="1" si="112"/>
        <v>#N/A</v>
      </c>
      <c r="AD237" s="323" t="e">
        <f t="shared" ca="1" si="113"/>
        <v>#N/A</v>
      </c>
      <c r="AE237" s="324">
        <f t="shared" ca="1" si="92"/>
        <v>486.20565435460338</v>
      </c>
      <c r="AG237" s="306">
        <f t="shared" ca="1" si="114"/>
        <v>35.130036309029947</v>
      </c>
      <c r="AH237" s="304">
        <f t="shared" ca="1" si="115"/>
        <v>44.753529584615585</v>
      </c>
    </row>
    <row r="238" spans="1:34" x14ac:dyDescent="0.2">
      <c r="A238" s="347">
        <f t="shared" ca="1" si="93"/>
        <v>0.01</v>
      </c>
      <c r="B238" s="304">
        <f t="shared" ca="1" si="94"/>
        <v>2.3399999999999941</v>
      </c>
      <c r="D238" s="306">
        <f t="shared" ca="1" si="95"/>
        <v>8.6153395614076711</v>
      </c>
      <c r="E238" s="307">
        <f t="shared" ca="1" si="96"/>
        <v>33.724437613235374</v>
      </c>
      <c r="F238" s="304">
        <f t="shared" ca="1" si="97"/>
        <v>34.807495860624059</v>
      </c>
      <c r="G238" s="306">
        <f t="shared" ca="1" si="98"/>
        <v>56.464076200656748</v>
      </c>
      <c r="H238" s="307">
        <f t="shared" ca="1" si="99"/>
        <v>285.22226203861732</v>
      </c>
      <c r="I238" s="304">
        <f t="shared" ca="1" si="100"/>
        <v>290.75751179224801</v>
      </c>
      <c r="J238" s="306">
        <f t="shared" ca="1" si="101"/>
        <v>93.00514397109508</v>
      </c>
      <c r="K238" s="307">
        <f t="shared" ca="1" si="102"/>
        <v>489.05619075310892</v>
      </c>
      <c r="L238" s="304">
        <f t="shared" ca="1" si="87"/>
        <v>497.82116720668415</v>
      </c>
      <c r="M238" s="306">
        <f t="shared" ca="1" si="103"/>
        <v>1.3753580888836887</v>
      </c>
      <c r="N238" s="304">
        <f t="shared" ca="1" si="104"/>
        <v>78.802213812214106</v>
      </c>
      <c r="P238" s="310">
        <f t="shared" ca="1" si="105"/>
        <v>6</v>
      </c>
      <c r="Q238" s="304">
        <f t="shared" ca="1" si="106"/>
        <v>537.09000000000083</v>
      </c>
      <c r="R238" s="306">
        <f t="shared" ca="1" si="107"/>
        <v>0.26954044705276542</v>
      </c>
      <c r="S238" s="307">
        <f t="shared" ca="1" si="108"/>
        <v>5.2936624029693391</v>
      </c>
      <c r="T238" s="304">
        <f t="shared" ca="1" si="88"/>
        <v>51.930828173129221</v>
      </c>
      <c r="U238" s="311">
        <f t="shared" ca="1" si="89"/>
        <v>0</v>
      </c>
      <c r="V238" s="306">
        <f t="shared" ca="1" si="90"/>
        <v>1.166520602208809</v>
      </c>
      <c r="W238" s="304">
        <f t="shared" ca="1" si="91"/>
        <v>302.80130263950116</v>
      </c>
      <c r="Y238" s="314" t="str">
        <f t="shared" ca="1" si="109"/>
        <v/>
      </c>
      <c r="Z238" s="315" t="str">
        <f t="shared" ca="1" si="110"/>
        <v/>
      </c>
      <c r="AA238" s="316" t="str">
        <f t="shared" ca="1" si="111"/>
        <v/>
      </c>
      <c r="AC238" s="310" t="e">
        <f t="shared" ca="1" si="112"/>
        <v>#N/A</v>
      </c>
      <c r="AD238" s="323" t="e">
        <f t="shared" ca="1" si="113"/>
        <v>#N/A</v>
      </c>
      <c r="AE238" s="324">
        <f t="shared" ca="1" si="92"/>
        <v>489.05619075310892</v>
      </c>
      <c r="AG238" s="306">
        <f t="shared" ca="1" si="114"/>
        <v>34.755357693449497</v>
      </c>
      <c r="AH238" s="304">
        <f t="shared" ca="1" si="115"/>
        <v>44.378726142815765</v>
      </c>
    </row>
    <row r="239" spans="1:34" x14ac:dyDescent="0.2">
      <c r="A239" s="347">
        <f t="shared" ca="1" si="93"/>
        <v>0.01</v>
      </c>
      <c r="B239" s="304">
        <f t="shared" ca="1" si="94"/>
        <v>2.3499999999999939</v>
      </c>
      <c r="D239" s="306">
        <f t="shared" ca="1" si="95"/>
        <v>8.5455916780070194</v>
      </c>
      <c r="E239" s="307">
        <f t="shared" ca="1" si="96"/>
        <v>33.357145428852242</v>
      </c>
      <c r="F239" s="304">
        <f t="shared" ca="1" si="97"/>
        <v>34.434376548571642</v>
      </c>
      <c r="G239" s="306">
        <f t="shared" ca="1" si="98"/>
        <v>56.549532117436819</v>
      </c>
      <c r="H239" s="307">
        <f t="shared" ca="1" si="99"/>
        <v>285.55583349290583</v>
      </c>
      <c r="I239" s="304">
        <f t="shared" ca="1" si="100"/>
        <v>291.10132879210494</v>
      </c>
      <c r="J239" s="306">
        <f t="shared" ca="1" si="101"/>
        <v>93.570212012685545</v>
      </c>
      <c r="K239" s="307">
        <f t="shared" ca="1" si="102"/>
        <v>491.91008123076654</v>
      </c>
      <c r="L239" s="304">
        <f t="shared" ca="1" si="87"/>
        <v>500.7303791388718</v>
      </c>
      <c r="M239" s="306">
        <f t="shared" ca="1" si="103"/>
        <v>1.375292645446166</v>
      </c>
      <c r="N239" s="304">
        <f t="shared" ca="1" si="104"/>
        <v>78.798464179447237</v>
      </c>
      <c r="P239" s="310">
        <f t="shared" ca="1" si="105"/>
        <v>6</v>
      </c>
      <c r="Q239" s="304">
        <f t="shared" ca="1" si="106"/>
        <v>535.6300000000009</v>
      </c>
      <c r="R239" s="306">
        <f t="shared" ca="1" si="107"/>
        <v>0.2688077410766776</v>
      </c>
      <c r="S239" s="307">
        <f t="shared" ca="1" si="108"/>
        <v>5.2909743255585724</v>
      </c>
      <c r="T239" s="304">
        <f t="shared" ca="1" si="88"/>
        <v>51.904458133729598</v>
      </c>
      <c r="U239" s="311">
        <f t="shared" ca="1" si="89"/>
        <v>0</v>
      </c>
      <c r="V239" s="306">
        <f t="shared" ca="1" si="90"/>
        <v>1.166187537216492</v>
      </c>
      <c r="W239" s="304">
        <f t="shared" ca="1" si="91"/>
        <v>303.43118287053619</v>
      </c>
      <c r="Y239" s="314" t="str">
        <f t="shared" ca="1" si="109"/>
        <v/>
      </c>
      <c r="Z239" s="315" t="str">
        <f t="shared" ca="1" si="110"/>
        <v/>
      </c>
      <c r="AA239" s="316" t="str">
        <f t="shared" ca="1" si="111"/>
        <v/>
      </c>
      <c r="AC239" s="310" t="e">
        <f t="shared" ca="1" si="112"/>
        <v>#N/A</v>
      </c>
      <c r="AD239" s="323" t="e">
        <f t="shared" ca="1" si="113"/>
        <v>#N/A</v>
      </c>
      <c r="AE239" s="324">
        <f t="shared" ca="1" si="92"/>
        <v>491.91008123076654</v>
      </c>
      <c r="AG239" s="306">
        <f t="shared" ca="1" si="114"/>
        <v>34.381637648618693</v>
      </c>
      <c r="AH239" s="304">
        <f t="shared" ca="1" si="115"/>
        <v>44.004881338357251</v>
      </c>
    </row>
    <row r="240" spans="1:34" x14ac:dyDescent="0.2">
      <c r="A240" s="347">
        <f t="shared" ca="1" si="93"/>
        <v>0.01</v>
      </c>
      <c r="B240" s="304">
        <f t="shared" ca="1" si="94"/>
        <v>2.3599999999999937</v>
      </c>
      <c r="D240" s="306">
        <f t="shared" ca="1" si="95"/>
        <v>8.4759801973409346</v>
      </c>
      <c r="E240" s="307">
        <f t="shared" ca="1" si="96"/>
        <v>32.990806643186069</v>
      </c>
      <c r="F240" s="304">
        <f t="shared" ca="1" si="97"/>
        <v>34.062230744239372</v>
      </c>
      <c r="G240" s="306">
        <f t="shared" ca="1" si="98"/>
        <v>56.634291919410231</v>
      </c>
      <c r="H240" s="307">
        <f t="shared" ca="1" si="99"/>
        <v>285.8857415593377</v>
      </c>
      <c r="I240" s="304">
        <f t="shared" ca="1" si="100"/>
        <v>291.44141820981008</v>
      </c>
      <c r="J240" s="306">
        <f t="shared" ca="1" si="101"/>
        <v>94.136131132869778</v>
      </c>
      <c r="K240" s="307">
        <f t="shared" ca="1" si="102"/>
        <v>494.76728910602776</v>
      </c>
      <c r="L240" s="304">
        <f t="shared" ca="1" si="87"/>
        <v>503.64301003189996</v>
      </c>
      <c r="M240" s="306">
        <f t="shared" ca="1" si="103"/>
        <v>1.375227256767092</v>
      </c>
      <c r="N240" s="304">
        <f t="shared" ca="1" si="104"/>
        <v>78.794717684108349</v>
      </c>
      <c r="P240" s="310">
        <f t="shared" ca="1" si="105"/>
        <v>6</v>
      </c>
      <c r="Q240" s="304">
        <f t="shared" ca="1" si="106"/>
        <v>534.17000000000087</v>
      </c>
      <c r="R240" s="306">
        <f t="shared" ca="1" si="107"/>
        <v>0.26807503510058972</v>
      </c>
      <c r="S240" s="307">
        <f t="shared" ca="1" si="108"/>
        <v>5.2882935752075664</v>
      </c>
      <c r="T240" s="304">
        <f t="shared" ca="1" si="88"/>
        <v>51.878159972786229</v>
      </c>
      <c r="U240" s="311">
        <f t="shared" ca="1" si="89"/>
        <v>0</v>
      </c>
      <c r="V240" s="306">
        <f t="shared" ca="1" si="90"/>
        <v>1.1658541779855145</v>
      </c>
      <c r="W240" s="304">
        <f t="shared" ca="1" si="91"/>
        <v>304.05364566604004</v>
      </c>
      <c r="Y240" s="314" t="str">
        <f t="shared" ca="1" si="109"/>
        <v/>
      </c>
      <c r="Z240" s="315" t="str">
        <f t="shared" ca="1" si="110"/>
        <v/>
      </c>
      <c r="AA240" s="316" t="str">
        <f t="shared" ca="1" si="111"/>
        <v/>
      </c>
      <c r="AC240" s="310" t="e">
        <f t="shared" ca="1" si="112"/>
        <v>#N/A</v>
      </c>
      <c r="AD240" s="323" t="e">
        <f t="shared" ca="1" si="113"/>
        <v>#N/A</v>
      </c>
      <c r="AE240" s="324">
        <f t="shared" ca="1" si="92"/>
        <v>494.76728910602776</v>
      </c>
      <c r="AG240" s="306">
        <f t="shared" ca="1" si="114"/>
        <v>34.008879465008768</v>
      </c>
      <c r="AH240" s="304">
        <f t="shared" ca="1" si="115"/>
        <v>43.631998459996268</v>
      </c>
    </row>
    <row r="241" spans="1:34" x14ac:dyDescent="0.2">
      <c r="A241" s="347">
        <f t="shared" ca="1" si="93"/>
        <v>0.01</v>
      </c>
      <c r="B241" s="304">
        <f t="shared" ca="1" si="94"/>
        <v>2.3699999999999934</v>
      </c>
      <c r="D241" s="306">
        <f t="shared" ca="1" si="95"/>
        <v>8.406506027881619</v>
      </c>
      <c r="E241" s="307">
        <f t="shared" ca="1" si="96"/>
        <v>32.625424338382118</v>
      </c>
      <c r="F241" s="304">
        <f t="shared" ca="1" si="97"/>
        <v>33.691061972818638</v>
      </c>
      <c r="G241" s="306">
        <f t="shared" ca="1" si="98"/>
        <v>56.718356979689048</v>
      </c>
      <c r="H241" s="307">
        <f t="shared" ca="1" si="99"/>
        <v>286.2119958027215</v>
      </c>
      <c r="I241" s="304">
        <f t="shared" ca="1" si="100"/>
        <v>291.77778969594738</v>
      </c>
      <c r="J241" s="306">
        <f t="shared" ca="1" si="101"/>
        <v>94.702894377365268</v>
      </c>
      <c r="K241" s="307">
        <f t="shared" ca="1" si="102"/>
        <v>497.62777779283806</v>
      </c>
      <c r="L241" s="304">
        <f t="shared" ca="1" si="87"/>
        <v>506.55902265628299</v>
      </c>
      <c r="M241" s="306">
        <f t="shared" ca="1" si="103"/>
        <v>1.3751619219046485</v>
      </c>
      <c r="N241" s="304">
        <f t="shared" ca="1" si="104"/>
        <v>78.790974272235275</v>
      </c>
      <c r="P241" s="310">
        <f t="shared" ca="1" si="105"/>
        <v>6</v>
      </c>
      <c r="Q241" s="304">
        <f t="shared" ca="1" si="106"/>
        <v>532.71000000000095</v>
      </c>
      <c r="R241" s="306">
        <f t="shared" ca="1" si="107"/>
        <v>0.2673423291245019</v>
      </c>
      <c r="S241" s="307">
        <f t="shared" ca="1" si="108"/>
        <v>5.2856201519163211</v>
      </c>
      <c r="T241" s="304">
        <f t="shared" ca="1" si="88"/>
        <v>51.851933690299113</v>
      </c>
      <c r="U241" s="311">
        <f t="shared" ca="1" si="89"/>
        <v>0</v>
      </c>
      <c r="V241" s="306">
        <f t="shared" ca="1" si="90"/>
        <v>1.1655205290675967</v>
      </c>
      <c r="W241" s="304">
        <f t="shared" ca="1" si="91"/>
        <v>304.66869055825754</v>
      </c>
      <c r="Y241" s="314" t="str">
        <f t="shared" ca="1" si="109"/>
        <v/>
      </c>
      <c r="Z241" s="315" t="str">
        <f t="shared" ca="1" si="110"/>
        <v/>
      </c>
      <c r="AA241" s="316" t="str">
        <f t="shared" ca="1" si="111"/>
        <v/>
      </c>
      <c r="AC241" s="310" t="e">
        <f t="shared" ca="1" si="112"/>
        <v>#N/A</v>
      </c>
      <c r="AD241" s="323" t="e">
        <f t="shared" ca="1" si="113"/>
        <v>#N/A</v>
      </c>
      <c r="AE241" s="324">
        <f t="shared" ca="1" si="92"/>
        <v>497.62777779283806</v>
      </c>
      <c r="AG241" s="306">
        <f t="shared" ca="1" si="114"/>
        <v>33.637086338958063</v>
      </c>
      <c r="AH241" s="304">
        <f t="shared" ca="1" si="115"/>
        <v>43.260080702367667</v>
      </c>
    </row>
    <row r="242" spans="1:34" x14ac:dyDescent="0.2">
      <c r="A242" s="347">
        <f t="shared" ca="1" si="93"/>
        <v>0.01</v>
      </c>
      <c r="B242" s="304">
        <f t="shared" ca="1" si="94"/>
        <v>2.3799999999999932</v>
      </c>
      <c r="D242" s="306">
        <f t="shared" ca="1" si="95"/>
        <v>8.3371700587446256</v>
      </c>
      <c r="E242" s="307">
        <f t="shared" ca="1" si="96"/>
        <v>32.26100150511224</v>
      </c>
      <c r="F242" s="304">
        <f t="shared" ca="1" si="97"/>
        <v>33.320873678540934</v>
      </c>
      <c r="G242" s="306">
        <f t="shared" ca="1" si="98"/>
        <v>56.801728680276497</v>
      </c>
      <c r="H242" s="307">
        <f t="shared" ca="1" si="99"/>
        <v>286.53460581777261</v>
      </c>
      <c r="I242" s="304">
        <f t="shared" ca="1" si="100"/>
        <v>292.11045293212993</v>
      </c>
      <c r="J242" s="306">
        <f t="shared" ca="1" si="101"/>
        <v>95.270494805665095</v>
      </c>
      <c r="K242" s="307">
        <f t="shared" ca="1" si="102"/>
        <v>500.49151080094055</v>
      </c>
      <c r="L242" s="304">
        <f t="shared" ca="1" si="87"/>
        <v>509.47837987919002</v>
      </c>
      <c r="M242" s="306">
        <f t="shared" ca="1" si="103"/>
        <v>1.3750966399241789</v>
      </c>
      <c r="N242" s="304">
        <f t="shared" ca="1" si="104"/>
        <v>78.787233890276113</v>
      </c>
      <c r="P242" s="310">
        <f t="shared" ca="1" si="105"/>
        <v>6</v>
      </c>
      <c r="Q242" s="304">
        <f t="shared" ca="1" si="106"/>
        <v>531.25000000000102</v>
      </c>
      <c r="R242" s="306">
        <f t="shared" ca="1" si="107"/>
        <v>0.26660962314841402</v>
      </c>
      <c r="S242" s="307">
        <f t="shared" ca="1" si="108"/>
        <v>5.2829540556848373</v>
      </c>
      <c r="T242" s="304">
        <f t="shared" ca="1" si="88"/>
        <v>51.825779286268258</v>
      </c>
      <c r="U242" s="311">
        <f t="shared" ca="1" si="89"/>
        <v>0</v>
      </c>
      <c r="V242" s="306">
        <f t="shared" ca="1" si="90"/>
        <v>1.1651865949986486</v>
      </c>
      <c r="W242" s="304">
        <f t="shared" ca="1" si="91"/>
        <v>305.27631755974875</v>
      </c>
      <c r="Y242" s="314" t="str">
        <f t="shared" ca="1" si="109"/>
        <v/>
      </c>
      <c r="Z242" s="315" t="str">
        <f t="shared" ca="1" si="110"/>
        <v/>
      </c>
      <c r="AA242" s="316" t="str">
        <f t="shared" ca="1" si="111"/>
        <v/>
      </c>
      <c r="AC242" s="310" t="e">
        <f t="shared" ca="1" si="112"/>
        <v>#N/A</v>
      </c>
      <c r="AD242" s="323" t="e">
        <f t="shared" ca="1" si="113"/>
        <v>#N/A</v>
      </c>
      <c r="AE242" s="324">
        <f t="shared" ca="1" si="92"/>
        <v>500.49151080094055</v>
      </c>
      <c r="AG242" s="306">
        <f t="shared" ca="1" si="114"/>
        <v>33.266261373354439</v>
      </c>
      <c r="AH242" s="304">
        <f t="shared" ca="1" si="115"/>
        <v>42.889131166667205</v>
      </c>
    </row>
    <row r="243" spans="1:34" x14ac:dyDescent="0.2">
      <c r="A243" s="347">
        <f t="shared" ca="1" si="93"/>
        <v>0.01</v>
      </c>
      <c r="B243" s="304">
        <f t="shared" ca="1" si="94"/>
        <v>2.389999999999993</v>
      </c>
      <c r="D243" s="306">
        <f t="shared" ca="1" si="95"/>
        <v>8.2679731598172488</v>
      </c>
      <c r="E243" s="307">
        <f t="shared" ca="1" si="96"/>
        <v>31.897541043249561</v>
      </c>
      <c r="F243" s="304">
        <f t="shared" ca="1" si="97"/>
        <v>32.951669225962569</v>
      </c>
      <c r="G243" s="306">
        <f t="shared" ca="1" si="98"/>
        <v>56.884408411874666</v>
      </c>
      <c r="H243" s="307">
        <f t="shared" ca="1" si="99"/>
        <v>286.85358122820509</v>
      </c>
      <c r="I243" s="304">
        <f t="shared" ca="1" si="100"/>
        <v>292.43941763007155</v>
      </c>
      <c r="J243" s="306">
        <f t="shared" ca="1" si="101"/>
        <v>95.838925491125849</v>
      </c>
      <c r="K243" s="307">
        <f t="shared" ca="1" si="102"/>
        <v>503.35845173617042</v>
      </c>
      <c r="L243" s="304">
        <f t="shared" ca="1" si="87"/>
        <v>512.401044664751</v>
      </c>
      <c r="M243" s="306">
        <f t="shared" ca="1" si="103"/>
        <v>1.375031409898086</v>
      </c>
      <c r="N243" s="304">
        <f t="shared" ca="1" si="104"/>
        <v>78.783496485083461</v>
      </c>
      <c r="P243" s="310">
        <f t="shared" ca="1" si="105"/>
        <v>6</v>
      </c>
      <c r="Q243" s="304">
        <f t="shared" ca="1" si="106"/>
        <v>529.79000000000099</v>
      </c>
      <c r="R243" s="306">
        <f t="shared" ca="1" si="107"/>
        <v>0.26587691717232614</v>
      </c>
      <c r="S243" s="307">
        <f t="shared" ca="1" si="108"/>
        <v>5.2802952865131143</v>
      </c>
      <c r="T243" s="304">
        <f t="shared" ca="1" si="88"/>
        <v>51.799696760693656</v>
      </c>
      <c r="U243" s="311">
        <f t="shared" ca="1" si="89"/>
        <v>0</v>
      </c>
      <c r="V243" s="306">
        <f t="shared" ca="1" si="90"/>
        <v>1.1648523802987414</v>
      </c>
      <c r="W243" s="304">
        <f t="shared" ca="1" si="91"/>
        <v>305.87652715828779</v>
      </c>
      <c r="Y243" s="314" t="str">
        <f t="shared" ca="1" si="109"/>
        <v/>
      </c>
      <c r="Z243" s="315" t="str">
        <f t="shared" ca="1" si="110"/>
        <v/>
      </c>
      <c r="AA243" s="316" t="str">
        <f t="shared" ca="1" si="111"/>
        <v/>
      </c>
      <c r="AC243" s="310" t="e">
        <f t="shared" ca="1" si="112"/>
        <v>#N/A</v>
      </c>
      <c r="AD243" s="323" t="e">
        <f t="shared" ca="1" si="113"/>
        <v>#N/A</v>
      </c>
      <c r="AE243" s="324">
        <f t="shared" ca="1" si="92"/>
        <v>503.35845173617042</v>
      </c>
      <c r="AG243" s="306">
        <f t="shared" ca="1" si="114"/>
        <v>32.896407578321636</v>
      </c>
      <c r="AH243" s="304">
        <f t="shared" ca="1" si="115"/>
        <v>42.519152861337737</v>
      </c>
    </row>
    <row r="244" spans="1:34" x14ac:dyDescent="0.2">
      <c r="A244" s="347">
        <f t="shared" ca="1" si="93"/>
        <v>0.01</v>
      </c>
      <c r="B244" s="304">
        <f t="shared" ca="1" si="94"/>
        <v>2.3999999999999928</v>
      </c>
      <c r="D244" s="306">
        <f t="shared" ca="1" si="95"/>
        <v>8.1989161818877925</v>
      </c>
      <c r="E244" s="307">
        <f t="shared" ca="1" si="96"/>
        <v>31.535045762547398</v>
      </c>
      <c r="F244" s="304">
        <f t="shared" ca="1" si="97"/>
        <v>32.583451901288484</v>
      </c>
      <c r="G244" s="306">
        <f t="shared" ca="1" si="98"/>
        <v>56.966397573693541</v>
      </c>
      <c r="H244" s="307">
        <f t="shared" ca="1" si="99"/>
        <v>287.16893168583056</v>
      </c>
      <c r="I244" s="304">
        <f t="shared" ca="1" si="100"/>
        <v>292.76469353066693</v>
      </c>
      <c r="J244" s="306">
        <f t="shared" ca="1" si="101"/>
        <v>96.408179521053697</v>
      </c>
      <c r="K244" s="307">
        <f t="shared" ca="1" si="102"/>
        <v>506.22856430074057</v>
      </c>
      <c r="L244" s="304">
        <f t="shared" ca="1" si="87"/>
        <v>515.32698007435317</v>
      </c>
      <c r="M244" s="306">
        <f t="shared" ca="1" si="103"/>
        <v>1.3749662309057318</v>
      </c>
      <c r="N244" s="304">
        <f t="shared" ca="1" si="104"/>
        <v>78.779762003908644</v>
      </c>
      <c r="P244" s="310">
        <f t="shared" ca="1" si="105"/>
        <v>6</v>
      </c>
      <c r="Q244" s="304">
        <f t="shared" ca="1" si="106"/>
        <v>528.33000000000106</v>
      </c>
      <c r="R244" s="306">
        <f t="shared" ca="1" si="107"/>
        <v>0.26514421119623832</v>
      </c>
      <c r="S244" s="307">
        <f t="shared" ca="1" si="108"/>
        <v>5.277643844401152</v>
      </c>
      <c r="T244" s="304">
        <f t="shared" ca="1" si="88"/>
        <v>51.773686113575302</v>
      </c>
      <c r="U244" s="311">
        <f t="shared" ca="1" si="89"/>
        <v>0</v>
      </c>
      <c r="V244" s="306">
        <f t="shared" ca="1" si="90"/>
        <v>1.1645178894720805</v>
      </c>
      <c r="W244" s="304">
        <f t="shared" ca="1" si="91"/>
        <v>306.46932031176868</v>
      </c>
      <c r="Y244" s="314" t="str">
        <f t="shared" ca="1" si="109"/>
        <v/>
      </c>
      <c r="Z244" s="315" t="str">
        <f t="shared" ca="1" si="110"/>
        <v/>
      </c>
      <c r="AA244" s="316" t="str">
        <f t="shared" ca="1" si="111"/>
        <v/>
      </c>
      <c r="AC244" s="310" t="e">
        <f t="shared" ca="1" si="112"/>
        <v>#N/A</v>
      </c>
      <c r="AD244" s="323" t="e">
        <f t="shared" ca="1" si="113"/>
        <v>#N/A</v>
      </c>
      <c r="AE244" s="324">
        <f t="shared" ca="1" si="92"/>
        <v>506.22856430074057</v>
      </c>
      <c r="AG244" s="306">
        <f t="shared" ca="1" si="114"/>
        <v>32.527527871910031</v>
      </c>
      <c r="AH244" s="304">
        <f t="shared" ca="1" si="115"/>
        <v>42.150148702759765</v>
      </c>
    </row>
    <row r="245" spans="1:34" x14ac:dyDescent="0.2">
      <c r="A245" s="347">
        <f t="shared" ca="1" si="93"/>
        <v>0.01</v>
      </c>
      <c r="B245" s="304">
        <f t="shared" ca="1" si="94"/>
        <v>2.4099999999999926</v>
      </c>
      <c r="D245" s="306">
        <f t="shared" ca="1" si="95"/>
        <v>8.129999956775352</v>
      </c>
      <c r="E245" s="307">
        <f t="shared" ca="1" si="96"/>
        <v>31.173518383320719</v>
      </c>
      <c r="F245" s="304">
        <f t="shared" ca="1" si="97"/>
        <v>32.216224913735658</v>
      </c>
      <c r="G245" s="306">
        <f t="shared" ca="1" si="98"/>
        <v>57.047697573261296</v>
      </c>
      <c r="H245" s="307">
        <f t="shared" ca="1" si="99"/>
        <v>287.48066686966376</v>
      </c>
      <c r="I245" s="304">
        <f t="shared" ca="1" si="100"/>
        <v>293.08629040307716</v>
      </c>
      <c r="J245" s="306">
        <f t="shared" ca="1" si="101"/>
        <v>96.978249996788477</v>
      </c>
      <c r="K245" s="307">
        <f t="shared" ca="1" si="102"/>
        <v>509.10181229351804</v>
      </c>
      <c r="L245" s="304">
        <f t="shared" ca="1" si="87"/>
        <v>518.25614926692776</v>
      </c>
      <c r="M245" s="306">
        <f t="shared" ca="1" si="103"/>
        <v>1.3749011020333382</v>
      </c>
      <c r="N245" s="304">
        <f t="shared" ca="1" si="104"/>
        <v>78.776030394396045</v>
      </c>
      <c r="P245" s="310">
        <f t="shared" ca="1" si="105"/>
        <v>6</v>
      </c>
      <c r="Q245" s="304">
        <f t="shared" ca="1" si="106"/>
        <v>526.87000000000103</v>
      </c>
      <c r="R245" s="306">
        <f t="shared" ca="1" si="107"/>
        <v>0.26441150522015039</v>
      </c>
      <c r="S245" s="307">
        <f t="shared" ca="1" si="108"/>
        <v>5.2749997293489503</v>
      </c>
      <c r="T245" s="304">
        <f t="shared" ca="1" si="88"/>
        <v>51.747747344913208</v>
      </c>
      <c r="U245" s="311">
        <f t="shared" ca="1" si="89"/>
        <v>0</v>
      </c>
      <c r="V245" s="306">
        <f t="shared" ca="1" si="90"/>
        <v>1.1641831270069829</v>
      </c>
      <c r="W245" s="304">
        <f t="shared" ca="1" si="91"/>
        <v>307.05469844311119</v>
      </c>
      <c r="Y245" s="314" t="str">
        <f t="shared" ca="1" si="109"/>
        <v/>
      </c>
      <c r="Z245" s="315" t="str">
        <f t="shared" ca="1" si="110"/>
        <v/>
      </c>
      <c r="AA245" s="316" t="str">
        <f t="shared" ca="1" si="111"/>
        <v/>
      </c>
      <c r="AC245" s="310" t="e">
        <f t="shared" ca="1" si="112"/>
        <v>#N/A</v>
      </c>
      <c r="AD245" s="323" t="e">
        <f t="shared" ca="1" si="113"/>
        <v>#N/A</v>
      </c>
      <c r="AE245" s="324">
        <f t="shared" ca="1" si="92"/>
        <v>509.10181229351804</v>
      </c>
      <c r="AG245" s="306">
        <f t="shared" ca="1" si="114"/>
        <v>32.159625080789844</v>
      </c>
      <c r="AH245" s="304">
        <f t="shared" ca="1" si="115"/>
        <v>41.782121515944532</v>
      </c>
    </row>
    <row r="246" spans="1:34" x14ac:dyDescent="0.2">
      <c r="A246" s="347">
        <f t="shared" ca="1" si="93"/>
        <v>0.01</v>
      </c>
      <c r="B246" s="304">
        <f t="shared" ca="1" si="94"/>
        <v>2.4199999999999924</v>
      </c>
      <c r="D246" s="306">
        <f t="shared" ca="1" si="95"/>
        <v>8.0612252974603749</v>
      </c>
      <c r="E246" s="307">
        <f t="shared" ca="1" si="96"/>
        <v>30.812961537131656</v>
      </c>
      <c r="F246" s="304">
        <f t="shared" ca="1" si="97"/>
        <v>31.849991396940283</v>
      </c>
      <c r="G246" s="306">
        <f t="shared" ca="1" si="98"/>
        <v>57.128309826235899</v>
      </c>
      <c r="H246" s="307">
        <f t="shared" ca="1" si="99"/>
        <v>287.78879648503511</v>
      </c>
      <c r="I246" s="304">
        <f t="shared" ca="1" si="100"/>
        <v>293.40421804382322</v>
      </c>
      <c r="J246" s="306">
        <f t="shared" ca="1" si="101"/>
        <v>97.549130033785957</v>
      </c>
      <c r="K246" s="307">
        <f t="shared" ca="1" si="102"/>
        <v>511.97815961029153</v>
      </c>
      <c r="L246" s="304">
        <f t="shared" ca="1" si="87"/>
        <v>521.18851549922863</v>
      </c>
      <c r="M246" s="306">
        <f t="shared" ca="1" si="103"/>
        <v>1.37483602237389</v>
      </c>
      <c r="N246" s="304">
        <f t="shared" ca="1" si="104"/>
        <v>78.772301604577521</v>
      </c>
      <c r="P246" s="310">
        <f t="shared" ca="1" si="105"/>
        <v>6</v>
      </c>
      <c r="Q246" s="304">
        <f t="shared" ca="1" si="106"/>
        <v>525.41000000000111</v>
      </c>
      <c r="R246" s="306">
        <f t="shared" ca="1" si="107"/>
        <v>0.26367879924406257</v>
      </c>
      <c r="S246" s="307">
        <f t="shared" ca="1" si="108"/>
        <v>5.2723629413565094</v>
      </c>
      <c r="T246" s="304">
        <f t="shared" ca="1" si="88"/>
        <v>51.72188045470736</v>
      </c>
      <c r="U246" s="311">
        <f t="shared" ca="1" si="89"/>
        <v>0</v>
      </c>
      <c r="V246" s="306">
        <f t="shared" ca="1" si="90"/>
        <v>1.1638480973758485</v>
      </c>
      <c r="W246" s="304">
        <f t="shared" ca="1" si="91"/>
        <v>307.63266343517211</v>
      </c>
      <c r="Y246" s="314" t="str">
        <f t="shared" ca="1" si="109"/>
        <v/>
      </c>
      <c r="Z246" s="315" t="str">
        <f t="shared" ca="1" si="110"/>
        <v/>
      </c>
      <c r="AA246" s="316" t="str">
        <f t="shared" ca="1" si="111"/>
        <v/>
      </c>
      <c r="AC246" s="310" t="e">
        <f t="shared" ca="1" si="112"/>
        <v>#N/A</v>
      </c>
      <c r="AD246" s="323" t="e">
        <f t="shared" ca="1" si="113"/>
        <v>#N/A</v>
      </c>
      <c r="AE246" s="324">
        <f t="shared" ca="1" si="92"/>
        <v>511.97815961029153</v>
      </c>
      <c r="AG246" s="306">
        <f t="shared" ca="1" si="114"/>
        <v>31.792701940948653</v>
      </c>
      <c r="AH246" s="304">
        <f t="shared" ca="1" si="115"/>
        <v>41.415074035231342</v>
      </c>
    </row>
    <row r="247" spans="1:34" x14ac:dyDescent="0.2">
      <c r="A247" s="347">
        <f t="shared" ca="1" si="93"/>
        <v>0.01</v>
      </c>
      <c r="B247" s="304">
        <f t="shared" ca="1" si="94"/>
        <v>2.4299999999999922</v>
      </c>
      <c r="D247" s="306">
        <f t="shared" ca="1" si="95"/>
        <v>7.9925929982158195</v>
      </c>
      <c r="E247" s="307">
        <f t="shared" ca="1" si="96"/>
        <v>30.453377767477761</v>
      </c>
      <c r="F247" s="304">
        <f t="shared" ca="1" si="97"/>
        <v>31.484754410410087</v>
      </c>
      <c r="G247" s="306">
        <f t="shared" ca="1" si="98"/>
        <v>57.208235756218059</v>
      </c>
      <c r="H247" s="307">
        <f t="shared" ca="1" si="99"/>
        <v>288.09333026270991</v>
      </c>
      <c r="I247" s="304">
        <f t="shared" ca="1" si="100"/>
        <v>293.71848627588605</v>
      </c>
      <c r="J247" s="306">
        <f t="shared" ca="1" si="101"/>
        <v>98.120812761698232</v>
      </c>
      <c r="K247" s="307">
        <f t="shared" ca="1" si="102"/>
        <v>514.85757024403028</v>
      </c>
      <c r="L247" s="304">
        <f t="shared" ca="1" si="87"/>
        <v>524.1240421261009</v>
      </c>
      <c r="M247" s="306">
        <f t="shared" ca="1" si="103"/>
        <v>1.3747709910270396</v>
      </c>
      <c r="N247" s="304">
        <f t="shared" ca="1" si="104"/>
        <v>78.76857558286693</v>
      </c>
      <c r="P247" s="310">
        <f t="shared" ca="1" si="105"/>
        <v>6</v>
      </c>
      <c r="Q247" s="304">
        <f t="shared" ca="1" si="106"/>
        <v>523.95000000000118</v>
      </c>
      <c r="R247" s="306">
        <f t="shared" ca="1" si="107"/>
        <v>0.26294609326797475</v>
      </c>
      <c r="S247" s="307">
        <f t="shared" ca="1" si="108"/>
        <v>5.2697334804238301</v>
      </c>
      <c r="T247" s="304">
        <f t="shared" ca="1" si="88"/>
        <v>51.696085442957774</v>
      </c>
      <c r="U247" s="311">
        <f t="shared" ca="1" si="89"/>
        <v>0</v>
      </c>
      <c r="V247" s="306">
        <f t="shared" ca="1" si="90"/>
        <v>1.1635128050351429</v>
      </c>
      <c r="W247" s="304">
        <f t="shared" ca="1" si="91"/>
        <v>308.20321762566209</v>
      </c>
      <c r="Y247" s="314" t="str">
        <f t="shared" ca="1" si="109"/>
        <v/>
      </c>
      <c r="Z247" s="315" t="str">
        <f t="shared" ca="1" si="110"/>
        <v/>
      </c>
      <c r="AA247" s="316" t="str">
        <f t="shared" ca="1" si="111"/>
        <v/>
      </c>
      <c r="AC247" s="310" t="e">
        <f t="shared" ca="1" si="112"/>
        <v>#N/A</v>
      </c>
      <c r="AD247" s="323" t="e">
        <f t="shared" ca="1" si="113"/>
        <v>#N/A</v>
      </c>
      <c r="AE247" s="324">
        <f t="shared" ca="1" si="92"/>
        <v>514.85757024403028</v>
      </c>
      <c r="AG247" s="306">
        <f t="shared" ca="1" si="114"/>
        <v>31.426761098391587</v>
      </c>
      <c r="AH247" s="304">
        <f t="shared" ca="1" si="115"/>
        <v>41.049008904987595</v>
      </c>
    </row>
    <row r="248" spans="1:34" x14ac:dyDescent="0.2">
      <c r="A248" s="347">
        <f t="shared" ca="1" si="93"/>
        <v>0.01</v>
      </c>
      <c r="B248" s="304">
        <f t="shared" ca="1" si="94"/>
        <v>2.439999999999992</v>
      </c>
      <c r="D248" s="306">
        <f t="shared" ca="1" si="95"/>
        <v>7.9241038347388724</v>
      </c>
      <c r="E248" s="307">
        <f t="shared" ca="1" si="96"/>
        <v>30.094769530483255</v>
      </c>
      <c r="F248" s="304">
        <f t="shared" ca="1" si="97"/>
        <v>31.120516941025041</v>
      </c>
      <c r="G248" s="306">
        <f t="shared" ca="1" si="98"/>
        <v>57.28747679456545</v>
      </c>
      <c r="H248" s="307">
        <f t="shared" ca="1" si="99"/>
        <v>288.39427795801475</v>
      </c>
      <c r="I248" s="304">
        <f t="shared" ca="1" si="100"/>
        <v>294.02910494781389</v>
      </c>
      <c r="J248" s="306">
        <f t="shared" ca="1" si="101"/>
        <v>98.693291324452147</v>
      </c>
      <c r="K248" s="307">
        <f t="shared" ca="1" si="102"/>
        <v>517.74000828513385</v>
      </c>
      <c r="L248" s="304">
        <f t="shared" ca="1" si="87"/>
        <v>527.06269260074146</v>
      </c>
      <c r="M248" s="306">
        <f t="shared" ca="1" si="103"/>
        <v>1.3747060070990105</v>
      </c>
      <c r="N248" s="304">
        <f t="shared" ca="1" si="104"/>
        <v>78.76485227805469</v>
      </c>
      <c r="P248" s="310">
        <f t="shared" ca="1" si="105"/>
        <v>6</v>
      </c>
      <c r="Q248" s="304">
        <f t="shared" ca="1" si="106"/>
        <v>522.49000000000115</v>
      </c>
      <c r="R248" s="306">
        <f t="shared" ca="1" si="107"/>
        <v>0.26221338729188687</v>
      </c>
      <c r="S248" s="307">
        <f t="shared" ca="1" si="108"/>
        <v>5.2671113465509114</v>
      </c>
      <c r="T248" s="304">
        <f t="shared" ca="1" si="88"/>
        <v>51.670362309664441</v>
      </c>
      <c r="U248" s="311">
        <f t="shared" ca="1" si="89"/>
        <v>0</v>
      </c>
      <c r="V248" s="306">
        <f t="shared" ca="1" si="90"/>
        <v>1.163177254425372</v>
      </c>
      <c r="W248" s="304">
        <f t="shared" ca="1" si="91"/>
        <v>308.76636380206781</v>
      </c>
      <c r="Y248" s="314" t="str">
        <f t="shared" ca="1" si="109"/>
        <v/>
      </c>
      <c r="Z248" s="315" t="str">
        <f t="shared" ca="1" si="110"/>
        <v/>
      </c>
      <c r="AA248" s="316" t="str">
        <f t="shared" ca="1" si="111"/>
        <v/>
      </c>
      <c r="AC248" s="310" t="e">
        <f t="shared" ca="1" si="112"/>
        <v>#N/A</v>
      </c>
      <c r="AD248" s="323" t="e">
        <f t="shared" ca="1" si="113"/>
        <v>#N/A</v>
      </c>
      <c r="AE248" s="324">
        <f t="shared" ca="1" si="92"/>
        <v>517.74000828513385</v>
      </c>
      <c r="AG248" s="306">
        <f t="shared" ca="1" si="114"/>
        <v>31.06180510984462</v>
      </c>
      <c r="AH248" s="304">
        <f t="shared" ca="1" si="115"/>
        <v>40.683928680311936</v>
      </c>
    </row>
    <row r="249" spans="1:34" x14ac:dyDescent="0.2">
      <c r="A249" s="347">
        <f t="shared" ca="1" si="93"/>
        <v>0.01</v>
      </c>
      <c r="B249" s="304">
        <f t="shared" ca="1" si="94"/>
        <v>2.4499999999999917</v>
      </c>
      <c r="D249" s="306">
        <f t="shared" ca="1" si="95"/>
        <v>7.8557585642833736</v>
      </c>
      <c r="E249" s="307">
        <f t="shared" ca="1" si="96"/>
        <v>29.737139195593187</v>
      </c>
      <c r="F249" s="304">
        <f t="shared" ca="1" si="97"/>
        <v>30.757281904589622</v>
      </c>
      <c r="G249" s="306">
        <f t="shared" ca="1" si="98"/>
        <v>57.366034380208283</v>
      </c>
      <c r="H249" s="307">
        <f t="shared" ca="1" si="99"/>
        <v>288.6916493499707</v>
      </c>
      <c r="I249" s="304">
        <f t="shared" ca="1" si="100"/>
        <v>294.33608393283635</v>
      </c>
      <c r="J249" s="306">
        <f t="shared" ca="1" si="101"/>
        <v>99.266558880326016</v>
      </c>
      <c r="K249" s="307">
        <f t="shared" ca="1" si="102"/>
        <v>520.62543792167378</v>
      </c>
      <c r="L249" s="304">
        <f t="shared" ca="1" si="87"/>
        <v>530.00443047494969</v>
      </c>
      <c r="M249" s="306">
        <f t="shared" ca="1" si="103"/>
        <v>1.3746410697025062</v>
      </c>
      <c r="N249" s="304">
        <f t="shared" ca="1" si="104"/>
        <v>78.76113163930242</v>
      </c>
      <c r="P249" s="310">
        <f t="shared" ca="1" si="105"/>
        <v>6</v>
      </c>
      <c r="Q249" s="304">
        <f t="shared" ca="1" si="106"/>
        <v>521.03000000000122</v>
      </c>
      <c r="R249" s="306">
        <f t="shared" ca="1" si="107"/>
        <v>0.26148068131579899</v>
      </c>
      <c r="S249" s="307">
        <f t="shared" ca="1" si="108"/>
        <v>5.2644965397377534</v>
      </c>
      <c r="T249" s="304">
        <f t="shared" ca="1" si="88"/>
        <v>51.644711054827361</v>
      </c>
      <c r="U249" s="311">
        <f t="shared" ca="1" si="89"/>
        <v>0</v>
      </c>
      <c r="V249" s="306">
        <f t="shared" ca="1" si="90"/>
        <v>1.1628414499710646</v>
      </c>
      <c r="W249" s="304">
        <f t="shared" ca="1" si="91"/>
        <v>309.32210519658071</v>
      </c>
      <c r="Y249" s="314" t="str">
        <f t="shared" ca="1" si="109"/>
        <v/>
      </c>
      <c r="Z249" s="315" t="str">
        <f t="shared" ca="1" si="110"/>
        <v/>
      </c>
      <c r="AA249" s="316" t="str">
        <f t="shared" ca="1" si="111"/>
        <v/>
      </c>
      <c r="AC249" s="310" t="e">
        <f t="shared" ca="1" si="112"/>
        <v>#N/A</v>
      </c>
      <c r="AD249" s="323" t="e">
        <f t="shared" ca="1" si="113"/>
        <v>#N/A</v>
      </c>
      <c r="AE249" s="324">
        <f t="shared" ca="1" si="92"/>
        <v>520.62543792167378</v>
      </c>
      <c r="AG249" s="306">
        <f t="shared" ca="1" si="114"/>
        <v>30.69783644346083</v>
      </c>
      <c r="AH249" s="304">
        <f t="shared" ca="1" si="115"/>
        <v>40.319835827740356</v>
      </c>
    </row>
    <row r="250" spans="1:34" x14ac:dyDescent="0.2">
      <c r="A250" s="347">
        <f t="shared" ca="1" si="93"/>
        <v>0.01</v>
      </c>
      <c r="B250" s="304">
        <f t="shared" ca="1" si="94"/>
        <v>2.4599999999999915</v>
      </c>
      <c r="D250" s="306">
        <f t="shared" ca="1" si="95"/>
        <v>7.7875579257926013</v>
      </c>
      <c r="E250" s="307">
        <f t="shared" ca="1" si="96"/>
        <v>29.380489046270043</v>
      </c>
      <c r="F250" s="304">
        <f t="shared" ca="1" si="97"/>
        <v>30.395052147439543</v>
      </c>
      <c r="G250" s="306">
        <f t="shared" ca="1" si="98"/>
        <v>57.443909959466211</v>
      </c>
      <c r="H250" s="307">
        <f t="shared" ca="1" si="99"/>
        <v>288.9854542404334</v>
      </c>
      <c r="I250" s="304">
        <f t="shared" ca="1" si="100"/>
        <v>294.63943312798591</v>
      </c>
      <c r="J250" s="306">
        <f t="shared" ca="1" si="101"/>
        <v>99.840608602024389</v>
      </c>
      <c r="K250" s="307">
        <f t="shared" ca="1" si="102"/>
        <v>523.51382343962575</v>
      </c>
      <c r="L250" s="304">
        <f t="shared" ca="1" si="87"/>
        <v>532.94921939937035</v>
      </c>
      <c r="M250" s="306">
        <f t="shared" ca="1" si="103"/>
        <v>1.374576177956617</v>
      </c>
      <c r="N250" s="304">
        <f t="shared" ca="1" si="104"/>
        <v>78.75741361613774</v>
      </c>
      <c r="P250" s="310">
        <f t="shared" ca="1" si="105"/>
        <v>6</v>
      </c>
      <c r="Q250" s="304">
        <f t="shared" ca="1" si="106"/>
        <v>519.57000000000119</v>
      </c>
      <c r="R250" s="306">
        <f t="shared" ca="1" si="107"/>
        <v>0.26074797533971111</v>
      </c>
      <c r="S250" s="307">
        <f t="shared" ca="1" si="108"/>
        <v>5.2618890599843562</v>
      </c>
      <c r="T250" s="304">
        <f t="shared" ca="1" si="88"/>
        <v>51.619131678446536</v>
      </c>
      <c r="U250" s="311">
        <f t="shared" ca="1" si="89"/>
        <v>0</v>
      </c>
      <c r="V250" s="306">
        <f t="shared" ca="1" si="90"/>
        <v>1.1625053960807514</v>
      </c>
      <c r="W250" s="304">
        <f t="shared" ca="1" si="91"/>
        <v>309.87044548103364</v>
      </c>
      <c r="Y250" s="314" t="str">
        <f t="shared" ca="1" si="109"/>
        <v/>
      </c>
      <c r="Z250" s="315" t="str">
        <f t="shared" ca="1" si="110"/>
        <v/>
      </c>
      <c r="AA250" s="316" t="str">
        <f t="shared" ca="1" si="111"/>
        <v/>
      </c>
      <c r="AC250" s="310" t="e">
        <f t="shared" ca="1" si="112"/>
        <v>#N/A</v>
      </c>
      <c r="AD250" s="323" t="e">
        <f t="shared" ca="1" si="113"/>
        <v>#N/A</v>
      </c>
      <c r="AE250" s="324">
        <f t="shared" ca="1" si="92"/>
        <v>523.51382343962575</v>
      </c>
      <c r="AG250" s="306">
        <f t="shared" ca="1" si="114"/>
        <v>30.334857479529177</v>
      </c>
      <c r="AH250" s="304">
        <f t="shared" ca="1" si="115"/>
        <v>39.956732725954801</v>
      </c>
    </row>
    <row r="251" spans="1:34" x14ac:dyDescent="0.2">
      <c r="A251" s="347">
        <f t="shared" ca="1" si="93"/>
        <v>0.01</v>
      </c>
      <c r="B251" s="304">
        <f t="shared" ca="1" si="94"/>
        <v>2.4699999999999913</v>
      </c>
      <c r="D251" s="306">
        <f t="shared" ca="1" si="95"/>
        <v>7.7195026400327622</v>
      </c>
      <c r="E251" s="307">
        <f t="shared" ca="1" si="96"/>
        <v>29.024821280693018</v>
      </c>
      <c r="F251" s="304">
        <f t="shared" ca="1" si="97"/>
        <v>30.033830448107064</v>
      </c>
      <c r="G251" s="306">
        <f t="shared" ca="1" si="98"/>
        <v>57.521104985866536</v>
      </c>
      <c r="H251" s="307">
        <f t="shared" ca="1" si="99"/>
        <v>289.27570245324034</v>
      </c>
      <c r="I251" s="304">
        <f t="shared" ca="1" si="100"/>
        <v>294.93916245322646</v>
      </c>
      <c r="J251" s="306">
        <f t="shared" ca="1" si="101"/>
        <v>100.41543367675105</v>
      </c>
      <c r="K251" s="307">
        <f t="shared" ca="1" si="102"/>
        <v>526.40512922309415</v>
      </c>
      <c r="L251" s="304">
        <f t="shared" ca="1" si="87"/>
        <v>535.89702312372708</v>
      </c>
      <c r="M251" s="306">
        <f t="shared" ca="1" si="103"/>
        <v>1.3745113309867305</v>
      </c>
      <c r="N251" s="304">
        <f t="shared" ca="1" si="104"/>
        <v>78.753698158449026</v>
      </c>
      <c r="P251" s="310">
        <f t="shared" ca="1" si="105"/>
        <v>6</v>
      </c>
      <c r="Q251" s="304">
        <f t="shared" ca="1" si="106"/>
        <v>518.11000000000126</v>
      </c>
      <c r="R251" s="306">
        <f t="shared" ca="1" si="107"/>
        <v>0.26001526936362329</v>
      </c>
      <c r="S251" s="307">
        <f t="shared" ca="1" si="108"/>
        <v>5.2592889072907196</v>
      </c>
      <c r="T251" s="304">
        <f t="shared" ca="1" si="88"/>
        <v>51.593624180521964</v>
      </c>
      <c r="U251" s="311">
        <f t="shared" ca="1" si="89"/>
        <v>0</v>
      </c>
      <c r="V251" s="306">
        <f t="shared" ca="1" si="90"/>
        <v>1.1621690971469494</v>
      </c>
      <c r="W251" s="304">
        <f t="shared" ca="1" si="91"/>
        <v>310.41138876184613</v>
      </c>
      <c r="Y251" s="314" t="str">
        <f t="shared" ca="1" si="109"/>
        <v/>
      </c>
      <c r="Z251" s="315" t="str">
        <f t="shared" ca="1" si="110"/>
        <v/>
      </c>
      <c r="AA251" s="316" t="str">
        <f t="shared" ca="1" si="111"/>
        <v/>
      </c>
      <c r="AC251" s="310" t="e">
        <f t="shared" ca="1" si="112"/>
        <v>#N/A</v>
      </c>
      <c r="AD251" s="323" t="e">
        <f t="shared" ca="1" si="113"/>
        <v>#N/A</v>
      </c>
      <c r="AE251" s="324">
        <f t="shared" ca="1" si="92"/>
        <v>526.40512922309415</v>
      </c>
      <c r="AG251" s="306">
        <f t="shared" ca="1" si="114"/>
        <v>29.97287051118602</v>
      </c>
      <c r="AH251" s="304">
        <f t="shared" ca="1" si="115"/>
        <v>39.594621666494561</v>
      </c>
    </row>
    <row r="252" spans="1:34" x14ac:dyDescent="0.2">
      <c r="A252" s="347">
        <f t="shared" ca="1" si="93"/>
        <v>0.01</v>
      </c>
      <c r="B252" s="304">
        <f t="shared" ca="1" si="94"/>
        <v>2.4799999999999911</v>
      </c>
      <c r="D252" s="306">
        <f t="shared" ca="1" si="95"/>
        <v>7.6515934097267966</v>
      </c>
      <c r="E252" s="307">
        <f t="shared" ca="1" si="96"/>
        <v>28.67013801245929</v>
      </c>
      <c r="F252" s="304">
        <f t="shared" ca="1" si="97"/>
        <v>29.673619519048192</v>
      </c>
      <c r="G252" s="306">
        <f t="shared" ca="1" si="98"/>
        <v>57.597620919963802</v>
      </c>
      <c r="H252" s="307">
        <f t="shared" ca="1" si="99"/>
        <v>289.56240383336495</v>
      </c>
      <c r="I252" s="304">
        <f t="shared" ca="1" si="100"/>
        <v>295.23528185058876</v>
      </c>
      <c r="J252" s="306">
        <f t="shared" ca="1" si="101"/>
        <v>100.9910273062802</v>
      </c>
      <c r="K252" s="307">
        <f t="shared" ca="1" si="102"/>
        <v>529.29931975452723</v>
      </c>
      <c r="L252" s="304">
        <f t="shared" ca="1" si="87"/>
        <v>538.84780549704669</v>
      </c>
      <c r="M252" s="306">
        <f t="shared" ca="1" si="103"/>
        <v>1.3744465279244409</v>
      </c>
      <c r="N252" s="304">
        <f t="shared" ca="1" si="104"/>
        <v>78.749985216480312</v>
      </c>
      <c r="P252" s="310">
        <f t="shared" ca="1" si="105"/>
        <v>6</v>
      </c>
      <c r="Q252" s="304">
        <f t="shared" ca="1" si="106"/>
        <v>516.65000000000123</v>
      </c>
      <c r="R252" s="306">
        <f t="shared" ca="1" si="107"/>
        <v>0.25928256338753541</v>
      </c>
      <c r="S252" s="307">
        <f t="shared" ca="1" si="108"/>
        <v>5.2566960816568447</v>
      </c>
      <c r="T252" s="304">
        <f t="shared" ca="1" si="88"/>
        <v>51.568188561053645</v>
      </c>
      <c r="U252" s="311">
        <f t="shared" ca="1" si="89"/>
        <v>0</v>
      </c>
      <c r="V252" s="306">
        <f t="shared" ca="1" si="90"/>
        <v>1.1618325575461437</v>
      </c>
      <c r="W252" s="304">
        <f t="shared" ca="1" si="91"/>
        <v>310.94493957497758</v>
      </c>
      <c r="Y252" s="314" t="str">
        <f t="shared" ca="1" si="109"/>
        <v/>
      </c>
      <c r="Z252" s="315" t="str">
        <f t="shared" ca="1" si="110"/>
        <v/>
      </c>
      <c r="AA252" s="316" t="str">
        <f t="shared" ca="1" si="111"/>
        <v/>
      </c>
      <c r="AC252" s="310" t="e">
        <f t="shared" ca="1" si="112"/>
        <v>#N/A</v>
      </c>
      <c r="AD252" s="323" t="e">
        <f t="shared" ca="1" si="113"/>
        <v>#N/A</v>
      </c>
      <c r="AE252" s="324">
        <f t="shared" ca="1" si="92"/>
        <v>529.29931975452723</v>
      </c>
      <c r="AG252" s="306">
        <f t="shared" ca="1" si="114"/>
        <v>29.611877745128609</v>
      </c>
      <c r="AH252" s="304">
        <f t="shared" ca="1" si="115"/>
        <v>39.233504854469594</v>
      </c>
    </row>
    <row r="253" spans="1:34" x14ac:dyDescent="0.2">
      <c r="A253" s="347">
        <f t="shared" ca="1" si="93"/>
        <v>0.01</v>
      </c>
      <c r="B253" s="304">
        <f t="shared" ca="1" si="94"/>
        <v>2.4899999999999909</v>
      </c>
      <c r="D253" s="306">
        <f t="shared" ca="1" si="95"/>
        <v>7.5838309196888503</v>
      </c>
      <c r="E253" s="307">
        <f t="shared" ca="1" si="96"/>
        <v>28.316441271287893</v>
      </c>
      <c r="F253" s="304">
        <f t="shared" ca="1" si="97"/>
        <v>29.314422008436818</v>
      </c>
      <c r="G253" s="306">
        <f t="shared" ca="1" si="98"/>
        <v>57.673459229160692</v>
      </c>
      <c r="H253" s="307">
        <f t="shared" ca="1" si="99"/>
        <v>289.84556824607785</v>
      </c>
      <c r="I253" s="304">
        <f t="shared" ca="1" si="100"/>
        <v>295.52780128331318</v>
      </c>
      <c r="J253" s="306">
        <f t="shared" ca="1" si="101"/>
        <v>101.56738270702583</v>
      </c>
      <c r="K253" s="307">
        <f t="shared" ca="1" si="102"/>
        <v>532.1963596149244</v>
      </c>
      <c r="L253" s="304">
        <f t="shared" ca="1" si="87"/>
        <v>541.80153046787655</v>
      </c>
      <c r="M253" s="306">
        <f t="shared" ca="1" si="103"/>
        <v>1.3743817679074626</v>
      </c>
      <c r="N253" s="304">
        <f t="shared" ca="1" si="104"/>
        <v>78.746274740826252</v>
      </c>
      <c r="P253" s="310">
        <f t="shared" ca="1" si="105"/>
        <v>6</v>
      </c>
      <c r="Q253" s="304">
        <f t="shared" ca="1" si="106"/>
        <v>515.19000000000131</v>
      </c>
      <c r="R253" s="306">
        <f t="shared" ca="1" si="107"/>
        <v>0.25854985741144754</v>
      </c>
      <c r="S253" s="307">
        <f t="shared" ca="1" si="108"/>
        <v>5.2541105830827304</v>
      </c>
      <c r="T253" s="304">
        <f t="shared" ca="1" si="88"/>
        <v>51.542824820041588</v>
      </c>
      <c r="U253" s="311">
        <f t="shared" ca="1" si="89"/>
        <v>0</v>
      </c>
      <c r="V253" s="306">
        <f t="shared" ca="1" si="90"/>
        <v>1.1614957816387737</v>
      </c>
      <c r="W253" s="304">
        <f t="shared" ca="1" si="91"/>
        <v>311.47110288089129</v>
      </c>
      <c r="Y253" s="314" t="str">
        <f t="shared" ca="1" si="109"/>
        <v/>
      </c>
      <c r="Z253" s="315" t="str">
        <f t="shared" ca="1" si="110"/>
        <v/>
      </c>
      <c r="AA253" s="316" t="str">
        <f t="shared" ca="1" si="111"/>
        <v/>
      </c>
      <c r="AC253" s="310" t="e">
        <f t="shared" ca="1" si="112"/>
        <v>#N/A</v>
      </c>
      <c r="AD253" s="323" t="e">
        <f t="shared" ca="1" si="113"/>
        <v>#N/A</v>
      </c>
      <c r="AE253" s="324">
        <f t="shared" ca="1" si="92"/>
        <v>532.1963596149244</v>
      </c>
      <c r="AG253" s="306">
        <f t="shared" ca="1" si="114"/>
        <v>29.251881302331363</v>
      </c>
      <c r="AH253" s="304">
        <f t="shared" ca="1" si="115"/>
        <v>38.87338440927666</v>
      </c>
    </row>
    <row r="254" spans="1:34" x14ac:dyDescent="0.2">
      <c r="A254" s="347">
        <f t="shared" ca="1" si="93"/>
        <v>0.01</v>
      </c>
      <c r="B254" s="304">
        <f t="shared" ca="1" si="94"/>
        <v>2.4999999999999907</v>
      </c>
      <c r="D254" s="306">
        <f t="shared" ca="1" si="95"/>
        <v>7.5162158369589775</v>
      </c>
      <c r="E254" s="307">
        <f t="shared" ca="1" si="96"/>
        <v>27.963733003725174</v>
      </c>
      <c r="F254" s="304">
        <f t="shared" ca="1" si="97"/>
        <v>28.956240502029637</v>
      </c>
      <c r="G254" s="306">
        <f t="shared" ca="1" si="98"/>
        <v>57.748621387530278</v>
      </c>
      <c r="H254" s="307">
        <f t="shared" ca="1" si="99"/>
        <v>290.12520557611509</v>
      </c>
      <c r="I254" s="304">
        <f t="shared" ca="1" si="100"/>
        <v>295.81673073499979</v>
      </c>
      <c r="J254" s="306">
        <f t="shared" ca="1" si="101"/>
        <v>102.14449311010928</v>
      </c>
      <c r="K254" s="307">
        <f t="shared" ca="1" si="102"/>
        <v>535.09621348403539</v>
      </c>
      <c r="L254" s="304">
        <f t="shared" ca="1" si="87"/>
        <v>544.75816208449191</v>
      </c>
      <c r="M254" s="306">
        <f t="shared" ca="1" si="103"/>
        <v>1.3743170500795425</v>
      </c>
      <c r="N254" s="304">
        <f t="shared" ca="1" si="104"/>
        <v>78.742566682427181</v>
      </c>
      <c r="P254" s="310">
        <f t="shared" ca="1" si="105"/>
        <v>6</v>
      </c>
      <c r="Q254" s="304">
        <f t="shared" ca="1" si="106"/>
        <v>513.73000000000138</v>
      </c>
      <c r="R254" s="306">
        <f t="shared" ca="1" si="107"/>
        <v>0.25781715143535971</v>
      </c>
      <c r="S254" s="307">
        <f t="shared" ca="1" si="108"/>
        <v>5.2515324115683768</v>
      </c>
      <c r="T254" s="304">
        <f t="shared" ca="1" si="88"/>
        <v>51.517532957485777</v>
      </c>
      <c r="U254" s="311">
        <f t="shared" ca="1" si="89"/>
        <v>0</v>
      </c>
      <c r="V254" s="306">
        <f t="shared" ca="1" si="90"/>
        <v>1.1611587737692195</v>
      </c>
      <c r="W254" s="304">
        <f t="shared" ca="1" si="91"/>
        <v>311.98988405952906</v>
      </c>
      <c r="Y254" s="314" t="str">
        <f t="shared" ca="1" si="109"/>
        <v/>
      </c>
      <c r="Z254" s="315" t="str">
        <f t="shared" ca="1" si="110"/>
        <v/>
      </c>
      <c r="AA254" s="316" t="str">
        <f t="shared" ca="1" si="111"/>
        <v/>
      </c>
      <c r="AC254" s="310" t="e">
        <f t="shared" ca="1" si="112"/>
        <v>#N/A</v>
      </c>
      <c r="AD254" s="323" t="e">
        <f t="shared" ca="1" si="113"/>
        <v>#N/A</v>
      </c>
      <c r="AE254" s="324">
        <f t="shared" ca="1" si="92"/>
        <v>535.09621348403539</v>
      </c>
      <c r="AG254" s="306">
        <f t="shared" ca="1" si="114"/>
        <v>28.892883218763622</v>
      </c>
      <c r="AH254" s="304">
        <f t="shared" ca="1" si="115"/>
        <v>38.514262365316945</v>
      </c>
    </row>
    <row r="255" spans="1:34" x14ac:dyDescent="0.2">
      <c r="A255" s="347">
        <f t="shared" ca="1" si="93"/>
        <v>0.01</v>
      </c>
      <c r="B255" s="304">
        <f t="shared" ca="1" si="94"/>
        <v>2.5099999999999905</v>
      </c>
      <c r="D255" s="306">
        <f t="shared" ca="1" si="95"/>
        <v>7.4379136811370508</v>
      </c>
      <c r="E255" s="307">
        <f t="shared" ca="1" si="96"/>
        <v>27.557580107518362</v>
      </c>
      <c r="F255" s="304">
        <f t="shared" ca="1" si="97"/>
        <v>28.543699502873441</v>
      </c>
      <c r="G255" s="306">
        <f t="shared" ca="1" si="98"/>
        <v>57.823000524341651</v>
      </c>
      <c r="H255" s="307">
        <f t="shared" ca="1" si="99"/>
        <v>290.4007813771903</v>
      </c>
      <c r="I255" s="304">
        <f t="shared" ca="1" si="100"/>
        <v>296.10152518033522</v>
      </c>
      <c r="J255" s="306">
        <f t="shared" ca="1" si="101"/>
        <v>102.72235121966864</v>
      </c>
      <c r="K255" s="307">
        <f t="shared" ca="1" si="102"/>
        <v>537.99884341880193</v>
      </c>
      <c r="L255" s="304">
        <f t="shared" ca="1" si="87"/>
        <v>547.71766172003754</v>
      </c>
      <c r="M255" s="306">
        <f t="shared" ca="1" si="103"/>
        <v>1.3742523734691421</v>
      </c>
      <c r="N255" s="304">
        <f t="shared" ca="1" si="104"/>
        <v>78.738860985618032</v>
      </c>
      <c r="P255" s="310">
        <f t="shared" ca="1" si="105"/>
        <v>7</v>
      </c>
      <c r="Q255" s="304">
        <f t="shared" ca="1" si="106"/>
        <v>511.97872340425727</v>
      </c>
      <c r="R255" s="306">
        <f t="shared" ca="1" si="107"/>
        <v>0.25693826730694563</v>
      </c>
      <c r="S255" s="307">
        <f t="shared" ca="1" si="108"/>
        <v>5.2489630288953073</v>
      </c>
      <c r="T255" s="304">
        <f t="shared" ca="1" si="88"/>
        <v>51.492327313462965</v>
      </c>
      <c r="U255" s="311">
        <f t="shared" ca="1" si="89"/>
        <v>0</v>
      </c>
      <c r="V255" s="306">
        <f t="shared" ca="1" si="90"/>
        <v>1.160821538581962</v>
      </c>
      <c r="W255" s="304">
        <f t="shared" ca="1" si="91"/>
        <v>312.50011745566917</v>
      </c>
      <c r="Y255" s="314" t="str">
        <f t="shared" ca="1" si="109"/>
        <v/>
      </c>
      <c r="Z255" s="315" t="str">
        <f t="shared" ca="1" si="110"/>
        <v/>
      </c>
      <c r="AA255" s="316" t="str">
        <f t="shared" ca="1" si="111"/>
        <v/>
      </c>
      <c r="AC255" s="310" t="e">
        <f t="shared" ca="1" si="112"/>
        <v>#N/A</v>
      </c>
      <c r="AD255" s="323" t="e">
        <f t="shared" ca="1" si="113"/>
        <v>#N/A</v>
      </c>
      <c r="AE255" s="324">
        <f t="shared" ca="1" si="92"/>
        <v>537.99884341880193</v>
      </c>
      <c r="AG255" s="306">
        <f t="shared" ca="1" si="114"/>
        <v>28.47938260296096</v>
      </c>
      <c r="AH255" s="304">
        <f t="shared" ca="1" si="115"/>
        <v>38.100637829567205</v>
      </c>
    </row>
    <row r="256" spans="1:34" x14ac:dyDescent="0.2">
      <c r="A256" s="347">
        <f t="shared" ca="1" si="93"/>
        <v>0.01</v>
      </c>
      <c r="B256" s="304">
        <f t="shared" ca="1" si="94"/>
        <v>2.5199999999999902</v>
      </c>
      <c r="D256" s="306">
        <f t="shared" ca="1" si="95"/>
        <v>7.3489402709814824</v>
      </c>
      <c r="E256" s="307">
        <f t="shared" ca="1" si="96"/>
        <v>27.098115760767513</v>
      </c>
      <c r="F256" s="304">
        <f t="shared" ca="1" si="97"/>
        <v>28.076944294036167</v>
      </c>
      <c r="G256" s="306">
        <f t="shared" ca="1" si="98"/>
        <v>57.896489927051469</v>
      </c>
      <c r="H256" s="307">
        <f t="shared" ca="1" si="99"/>
        <v>290.67176253479795</v>
      </c>
      <c r="I256" s="304">
        <f t="shared" ca="1" si="100"/>
        <v>296.3816409310117</v>
      </c>
      <c r="J256" s="306">
        <f t="shared" ca="1" si="101"/>
        <v>103.30094867192561</v>
      </c>
      <c r="K256" s="307">
        <f t="shared" ca="1" si="102"/>
        <v>540.90420613836181</v>
      </c>
      <c r="L256" s="304">
        <f t="shared" ca="1" si="87"/>
        <v>550.67998530425211</v>
      </c>
      <c r="M256" s="306">
        <f t="shared" ca="1" si="103"/>
        <v>1.3741877369903623</v>
      </c>
      <c r="N256" s="304">
        <f t="shared" ca="1" si="104"/>
        <v>78.735157588181366</v>
      </c>
      <c r="P256" s="310">
        <f t="shared" ca="1" si="105"/>
        <v>7</v>
      </c>
      <c r="Q256" s="304">
        <f t="shared" ca="1" si="106"/>
        <v>509.93617021276793</v>
      </c>
      <c r="R256" s="306">
        <f t="shared" ca="1" si="107"/>
        <v>0.25591320502620485</v>
      </c>
      <c r="S256" s="307">
        <f t="shared" ca="1" si="108"/>
        <v>5.2464038968450453</v>
      </c>
      <c r="T256" s="304">
        <f t="shared" ca="1" si="88"/>
        <v>51.467222228049899</v>
      </c>
      <c r="U256" s="311">
        <f t="shared" ca="1" si="89"/>
        <v>0</v>
      </c>
      <c r="V256" s="306">
        <f t="shared" ca="1" si="90"/>
        <v>1.1604840813364505</v>
      </c>
      <c r="W256" s="304">
        <f t="shared" ca="1" si="91"/>
        <v>313.00063769618237</v>
      </c>
      <c r="Y256" s="314" t="str">
        <f t="shared" ca="1" si="109"/>
        <v/>
      </c>
      <c r="Z256" s="315" t="str">
        <f t="shared" ca="1" si="110"/>
        <v/>
      </c>
      <c r="AA256" s="316" t="str">
        <f t="shared" ca="1" si="111"/>
        <v/>
      </c>
      <c r="AC256" s="310" t="e">
        <f t="shared" ca="1" si="112"/>
        <v>#N/A</v>
      </c>
      <c r="AD256" s="323" t="e">
        <f t="shared" ca="1" si="113"/>
        <v>#N/A</v>
      </c>
      <c r="AE256" s="324">
        <f t="shared" ca="1" si="92"/>
        <v>540.90420613836181</v>
      </c>
      <c r="AG256" s="306">
        <f t="shared" ca="1" si="114"/>
        <v>28.011513155385799</v>
      </c>
      <c r="AH256" s="304">
        <f t="shared" ca="1" si="115"/>
        <v>37.632644500708011</v>
      </c>
    </row>
    <row r="257" spans="1:34" x14ac:dyDescent="0.2">
      <c r="A257" s="347">
        <f t="shared" ca="1" si="93"/>
        <v>0.01</v>
      </c>
      <c r="B257" s="304">
        <f t="shared" ca="1" si="94"/>
        <v>2.52999999999999</v>
      </c>
      <c r="D257" s="306">
        <f t="shared" ca="1" si="95"/>
        <v>7.26016440948524</v>
      </c>
      <c r="E257" s="307">
        <f t="shared" ca="1" si="96"/>
        <v>26.639960746436543</v>
      </c>
      <c r="F257" s="304">
        <f t="shared" ca="1" si="97"/>
        <v>27.611546422184251</v>
      </c>
      <c r="G257" s="306">
        <f t="shared" ca="1" si="98"/>
        <v>57.969091571146322</v>
      </c>
      <c r="H257" s="307">
        <f t="shared" ca="1" si="99"/>
        <v>290.93816214226234</v>
      </c>
      <c r="I257" s="304">
        <f t="shared" ca="1" si="100"/>
        <v>296.65709121526368</v>
      </c>
      <c r="J257" s="306">
        <f t="shared" ca="1" si="101"/>
        <v>103.8802765794166</v>
      </c>
      <c r="K257" s="307">
        <f t="shared" ca="1" si="102"/>
        <v>543.81225576174711</v>
      </c>
      <c r="L257" s="304">
        <f t="shared" ca="1" si="87"/>
        <v>553.64508611464794</v>
      </c>
      <c r="M257" s="306">
        <f t="shared" ca="1" si="103"/>
        <v>1.374123139564807</v>
      </c>
      <c r="N257" s="304">
        <f t="shared" ca="1" si="104"/>
        <v>78.731456428329636</v>
      </c>
      <c r="P257" s="310">
        <f t="shared" ca="1" si="105"/>
        <v>7</v>
      </c>
      <c r="Q257" s="304">
        <f t="shared" ca="1" si="106"/>
        <v>507.8936170212786</v>
      </c>
      <c r="R257" s="306">
        <f t="shared" ca="1" si="107"/>
        <v>0.25488814274546401</v>
      </c>
      <c r="S257" s="307">
        <f t="shared" ca="1" si="108"/>
        <v>5.2438550154175907</v>
      </c>
      <c r="T257" s="304">
        <f t="shared" ca="1" si="88"/>
        <v>51.44221770124657</v>
      </c>
      <c r="U257" s="311">
        <f t="shared" ca="1" si="89"/>
        <v>0</v>
      </c>
      <c r="V257" s="306">
        <f t="shared" ca="1" si="90"/>
        <v>1.1601464075883674</v>
      </c>
      <c r="W257" s="304">
        <f t="shared" ca="1" si="91"/>
        <v>313.49145400622155</v>
      </c>
      <c r="Y257" s="314" t="str">
        <f t="shared" ca="1" si="109"/>
        <v/>
      </c>
      <c r="Z257" s="315" t="str">
        <f t="shared" ca="1" si="110"/>
        <v/>
      </c>
      <c r="AA257" s="316" t="str">
        <f t="shared" ca="1" si="111"/>
        <v/>
      </c>
      <c r="AC257" s="310" t="e">
        <f t="shared" ca="1" si="112"/>
        <v>#N/A</v>
      </c>
      <c r="AD257" s="323" t="e">
        <f t="shared" ca="1" si="113"/>
        <v>#N/A</v>
      </c>
      <c r="AE257" s="324">
        <f t="shared" ca="1" si="92"/>
        <v>543.81225576174711</v>
      </c>
      <c r="AG257" s="306">
        <f t="shared" ca="1" si="114"/>
        <v>27.544966530255905</v>
      </c>
      <c r="AH257" s="304">
        <f t="shared" ca="1" si="115"/>
        <v>37.165974030953649</v>
      </c>
    </row>
    <row r="258" spans="1:34" x14ac:dyDescent="0.2">
      <c r="A258" s="347">
        <f t="shared" ca="1" si="93"/>
        <v>0.01</v>
      </c>
      <c r="B258" s="304">
        <f t="shared" ca="1" si="94"/>
        <v>2.5399999999999898</v>
      </c>
      <c r="D258" s="306">
        <f t="shared" ca="1" si="95"/>
        <v>7.1715870115576674</v>
      </c>
      <c r="E258" s="307">
        <f t="shared" ca="1" si="96"/>
        <v>26.183117853591483</v>
      </c>
      <c r="F258" s="304">
        <f t="shared" ca="1" si="97"/>
        <v>27.147510397813715</v>
      </c>
      <c r="G258" s="306">
        <f t="shared" ca="1" si="98"/>
        <v>58.040807441261897</v>
      </c>
      <c r="H258" s="307">
        <f t="shared" ca="1" si="99"/>
        <v>291.19999332079828</v>
      </c>
      <c r="I258" s="304">
        <f t="shared" ca="1" si="100"/>
        <v>296.92788929042456</v>
      </c>
      <c r="J258" s="306">
        <f t="shared" ca="1" si="101"/>
        <v>104.46032607447864</v>
      </c>
      <c r="K258" s="307">
        <f t="shared" ca="1" si="102"/>
        <v>546.72294653906238</v>
      </c>
      <c r="L258" s="304">
        <f t="shared" ca="1" si="87"/>
        <v>556.61291756115475</v>
      </c>
      <c r="M258" s="306">
        <f t="shared" ca="1" si="103"/>
        <v>1.3740585801214547</v>
      </c>
      <c r="N258" s="304">
        <f t="shared" ca="1" si="104"/>
        <v>78.727757444697829</v>
      </c>
      <c r="P258" s="310">
        <f t="shared" ca="1" si="105"/>
        <v>7</v>
      </c>
      <c r="Q258" s="304">
        <f t="shared" ca="1" si="106"/>
        <v>505.85106382978927</v>
      </c>
      <c r="R258" s="306">
        <f t="shared" ca="1" si="107"/>
        <v>0.25386308046472317</v>
      </c>
      <c r="S258" s="307">
        <f t="shared" ca="1" si="108"/>
        <v>5.2413163846129436</v>
      </c>
      <c r="T258" s="304">
        <f t="shared" ca="1" si="88"/>
        <v>51.417313733052978</v>
      </c>
      <c r="U258" s="311">
        <f t="shared" ca="1" si="89"/>
        <v>0</v>
      </c>
      <c r="V258" s="306">
        <f t="shared" ca="1" si="90"/>
        <v>1.1598085228721924</v>
      </c>
      <c r="W258" s="304">
        <f t="shared" ca="1" si="91"/>
        <v>313.97257625822112</v>
      </c>
      <c r="Y258" s="314" t="str">
        <f t="shared" ca="1" si="109"/>
        <v/>
      </c>
      <c r="Z258" s="315" t="str">
        <f t="shared" ca="1" si="110"/>
        <v/>
      </c>
      <c r="AA258" s="316" t="str">
        <f t="shared" ca="1" si="111"/>
        <v/>
      </c>
      <c r="AC258" s="310" t="e">
        <f t="shared" ca="1" si="112"/>
        <v>#N/A</v>
      </c>
      <c r="AD258" s="323" t="e">
        <f t="shared" ca="1" si="113"/>
        <v>#N/A</v>
      </c>
      <c r="AE258" s="324">
        <f t="shared" ca="1" si="92"/>
        <v>546.72294653906238</v>
      </c>
      <c r="AG258" s="306">
        <f t="shared" ca="1" si="114"/>
        <v>27.079745637471738</v>
      </c>
      <c r="AH258" s="304">
        <f t="shared" ca="1" si="115"/>
        <v>36.700629328212734</v>
      </c>
    </row>
    <row r="259" spans="1:34" x14ac:dyDescent="0.2">
      <c r="A259" s="347">
        <f t="shared" ca="1" si="93"/>
        <v>0.01</v>
      </c>
      <c r="B259" s="304">
        <f t="shared" ca="1" si="94"/>
        <v>2.5499999999999896</v>
      </c>
      <c r="D259" s="306">
        <f t="shared" ca="1" si="95"/>
        <v>7.0832089642062988</v>
      </c>
      <c r="E259" s="307">
        <f t="shared" ca="1" si="96"/>
        <v>25.727589740702733</v>
      </c>
      <c r="F259" s="304">
        <f t="shared" ca="1" si="97"/>
        <v>26.684840698353906</v>
      </c>
      <c r="G259" s="306">
        <f t="shared" ca="1" si="98"/>
        <v>58.111639530903958</v>
      </c>
      <c r="H259" s="307">
        <f t="shared" ca="1" si="99"/>
        <v>291.45726921820534</v>
      </c>
      <c r="I259" s="304">
        <f t="shared" ca="1" si="100"/>
        <v>297.19404844159169</v>
      </c>
      <c r="J259" s="306">
        <f t="shared" ca="1" si="101"/>
        <v>105.04108830933947</v>
      </c>
      <c r="K259" s="307">
        <f t="shared" ca="1" si="102"/>
        <v>549.63623285175743</v>
      </c>
      <c r="L259" s="304">
        <f t="shared" ca="1" si="87"/>
        <v>559.58343318640323</v>
      </c>
      <c r="M259" s="306">
        <f t="shared" ca="1" si="103"/>
        <v>1.3739940575965324</v>
      </c>
      <c r="N259" s="304">
        <f t="shared" ca="1" si="104"/>
        <v>78.724060576336257</v>
      </c>
      <c r="P259" s="310">
        <f t="shared" ca="1" si="105"/>
        <v>7</v>
      </c>
      <c r="Q259" s="304">
        <f t="shared" ca="1" si="106"/>
        <v>503.80851063829999</v>
      </c>
      <c r="R259" s="306">
        <f t="shared" ca="1" si="107"/>
        <v>0.25283801818398238</v>
      </c>
      <c r="S259" s="307">
        <f t="shared" ca="1" si="108"/>
        <v>5.2387880044311039</v>
      </c>
      <c r="T259" s="304">
        <f t="shared" ca="1" si="88"/>
        <v>51.392510323469132</v>
      </c>
      <c r="U259" s="311">
        <f t="shared" ca="1" si="89"/>
        <v>0</v>
      </c>
      <c r="V259" s="306">
        <f t="shared" ca="1" si="90"/>
        <v>1.159470432701186</v>
      </c>
      <c r="W259" s="304">
        <f t="shared" ca="1" si="91"/>
        <v>314.44401496353845</v>
      </c>
      <c r="Y259" s="314" t="str">
        <f t="shared" ca="1" si="109"/>
        <v/>
      </c>
      <c r="Z259" s="315" t="str">
        <f t="shared" ca="1" si="110"/>
        <v/>
      </c>
      <c r="AA259" s="316" t="str">
        <f t="shared" ca="1" si="111"/>
        <v/>
      </c>
      <c r="AC259" s="310" t="e">
        <f t="shared" ca="1" si="112"/>
        <v>#N/A</v>
      </c>
      <c r="AD259" s="323" t="e">
        <f t="shared" ca="1" si="113"/>
        <v>#N/A</v>
      </c>
      <c r="AE259" s="324">
        <f t="shared" ca="1" si="92"/>
        <v>549.63623285175743</v>
      </c>
      <c r="AG259" s="306">
        <f t="shared" ca="1" si="114"/>
        <v>26.61585325345002</v>
      </c>
      <c r="AH259" s="304">
        <f t="shared" ca="1" si="115"/>
        <v>36.236613166921558</v>
      </c>
    </row>
    <row r="260" spans="1:34" x14ac:dyDescent="0.2">
      <c r="A260" s="347">
        <f t="shared" ca="1" si="93"/>
        <v>0.01</v>
      </c>
      <c r="B260" s="304">
        <f t="shared" ca="1" si="94"/>
        <v>2.5599999999999894</v>
      </c>
      <c r="D260" s="306">
        <f t="shared" ca="1" si="95"/>
        <v>6.9950311267671141</v>
      </c>
      <c r="E260" s="307">
        <f t="shared" ca="1" si="96"/>
        <v>25.273378936842327</v>
      </c>
      <c r="F260" s="304">
        <f t="shared" ca="1" si="97"/>
        <v>26.223541777373747</v>
      </c>
      <c r="G260" s="306">
        <f t="shared" ca="1" si="98"/>
        <v>58.181589842171626</v>
      </c>
      <c r="H260" s="307">
        <f t="shared" ca="1" si="99"/>
        <v>291.71000300757379</v>
      </c>
      <c r="I260" s="304">
        <f t="shared" ca="1" si="100"/>
        <v>297.45558198030409</v>
      </c>
      <c r="J260" s="306">
        <f t="shared" ca="1" si="101"/>
        <v>105.62255445620485</v>
      </c>
      <c r="K260" s="307">
        <f t="shared" ca="1" si="102"/>
        <v>552.55206921288629</v>
      </c>
      <c r="L260" s="304">
        <f t="shared" ref="L260:L323" ca="1" si="116">SQRT(pos_x^2+pos_z^2)</f>
        <v>562.55658666599606</v>
      </c>
      <c r="M260" s="306">
        <f t="shared" ca="1" si="103"/>
        <v>1.373929570933391</v>
      </c>
      <c r="N260" s="304">
        <f t="shared" ca="1" si="104"/>
        <v>78.720365762703366</v>
      </c>
      <c r="P260" s="310">
        <f t="shared" ca="1" si="105"/>
        <v>7</v>
      </c>
      <c r="Q260" s="304">
        <f t="shared" ca="1" si="106"/>
        <v>501.76595744681066</v>
      </c>
      <c r="R260" s="306">
        <f t="shared" ca="1" si="107"/>
        <v>0.2518129559032416</v>
      </c>
      <c r="S260" s="307">
        <f t="shared" ca="1" si="108"/>
        <v>5.2362698748720717</v>
      </c>
      <c r="T260" s="304">
        <f t="shared" ref="T260:T323" ca="1" si="117">m*g</f>
        <v>51.367807472495024</v>
      </c>
      <c r="U260" s="311">
        <f t="shared" ref="U260:U323" ca="1" si="118">IF(pos_xz&lt;L_rampe,Poids*COS(Beta),0)</f>
        <v>0</v>
      </c>
      <c r="V260" s="306">
        <f t="shared" ref="V260:V323" ca="1" si="119">Rho_moyen*(20000-Alt_rampe-pos_z)/(20000+Alt_rampe+pos_z)</f>
        <v>1.1591321425673726</v>
      </c>
      <c r="W260" s="304">
        <f t="shared" ref="W260:W323" ca="1" si="120">1/2*Rho*Sref*Cx*vit_xz^2</f>
        <v>314.9057812641181</v>
      </c>
      <c r="Y260" s="314" t="str">
        <f t="shared" ca="1" si="109"/>
        <v/>
      </c>
      <c r="Z260" s="315" t="str">
        <f t="shared" ca="1" si="110"/>
        <v/>
      </c>
      <c r="AA260" s="316" t="str">
        <f t="shared" ca="1" si="111"/>
        <v/>
      </c>
      <c r="AC260" s="310" t="e">
        <f t="shared" ca="1" si="112"/>
        <v>#N/A</v>
      </c>
      <c r="AD260" s="323" t="e">
        <f t="shared" ca="1" si="113"/>
        <v>#N/A</v>
      </c>
      <c r="AE260" s="324">
        <f t="shared" ref="AE260:AE323" ca="1" si="121">IF(t&lt;T_para, pos_z, NA())</f>
        <v>552.55206921288629</v>
      </c>
      <c r="AG260" s="306">
        <f t="shared" ca="1" si="114"/>
        <v>26.153292022342391</v>
      </c>
      <c r="AH260" s="304">
        <f t="shared" ca="1" si="115"/>
        <v>35.773928189262534</v>
      </c>
    </row>
    <row r="261" spans="1:34" x14ac:dyDescent="0.2">
      <c r="A261" s="347">
        <f t="shared" ref="A261:A324" ca="1" si="122">IF(B260+0.01&lt;=T_ini+ROUNDUP(Temps_fin_propu,0), 0.01, IF(K260&gt;0, 0.1, 0.0001))</f>
        <v>0.01</v>
      </c>
      <c r="B261" s="304">
        <f t="shared" ref="B261:B324" ca="1" si="123">B260+pas</f>
        <v>2.5699999999999892</v>
      </c>
      <c r="D261" s="306">
        <f t="shared" ref="D261:D324" ca="1" si="124">IF(AND(L260&lt;L_rampe,Poussee&lt;Poids*SIN(M260)),0,(-W260+Poussee)/m*COS(M260)-U260/m*SIN(M260))</f>
        <v>6.9070543311354466</v>
      </c>
      <c r="E261" s="307">
        <f t="shared" ref="E261:E324" ca="1" si="125">IF(AND(L260&lt;L_rampe,Poussee&lt;Poids*SIN(M260)),0,(-W260+Poussee)/m*SIN(M260)+U260/m*COS(M260)-Poids/m)</f>
        <v>24.820487842884141</v>
      </c>
      <c r="F261" s="304">
        <f t="shared" ref="F261:F324" ca="1" si="126">SQRT(acc_x^2+acc_z^2)</f>
        <v>25.763618074564302</v>
      </c>
      <c r="G261" s="306">
        <f t="shared" ref="G261:G324" ca="1" si="127">G260+acc_x*pas</f>
        <v>58.250660385482981</v>
      </c>
      <c r="H261" s="307">
        <f t="shared" ref="H261:H324" ca="1" si="128">H260+acc_z*pas</f>
        <v>291.95820788600264</v>
      </c>
      <c r="I261" s="304">
        <f t="shared" ref="I261:I324" ca="1" si="129">SQRT(vit_x^2+vit_z^2)</f>
        <v>297.71250324323165</v>
      </c>
      <c r="J261" s="306">
        <f t="shared" ref="J261:J324" ca="1" si="130">J260+0.5*(vit_x+G260)*pas*(K260&gt;=0)</f>
        <v>106.20471570734313</v>
      </c>
      <c r="K261" s="307">
        <f t="shared" ref="K261:K324" ca="1" si="131">K260+0.5*(vit_z+H260)*pas</f>
        <v>555.47041026735417</v>
      </c>
      <c r="L261" s="304">
        <f t="shared" ca="1" si="116"/>
        <v>565.53233180876612</v>
      </c>
      <c r="M261" s="306">
        <f t="shared" ref="M261:M324" ca="1" si="132">IF(AND(L260&gt;L_rampe,G261&gt;0),ATAN2(G261,H261),$M$4)</f>
        <v>1.3738651190823838</v>
      </c>
      <c r="N261" s="304">
        <f t="shared" ref="N261:N324" ca="1" si="133">DEGREES(Beta)</f>
        <v>78.71667294365885</v>
      </c>
      <c r="P261" s="310">
        <f t="shared" ref="P261:P324" ca="1" si="134">MATCH(t-pas/2-T_ini,CdP_t)</f>
        <v>7</v>
      </c>
      <c r="Q261" s="304">
        <f t="shared" ref="Q261:Q324" ca="1" si="135">(INDEX(CdP,2,i_P+1)-INDEX(CdP,2,i_P+0))/(INDEX(CdP,1,i_P+1)-INDEX(CdP,1,i_P+0))*(t-pas/2-T_ini-INDEX(CdP,1,i_P+0))+INDEX(CdP,2,i_P+0)</f>
        <v>499.72340425532133</v>
      </c>
      <c r="R261" s="306">
        <f t="shared" ref="R261:R324" ca="1" si="136">Poussee/(g*ISP)</f>
        <v>0.25078789362250076</v>
      </c>
      <c r="S261" s="307">
        <f t="shared" ref="S261:S324" ca="1" si="137">S260-Débit*pas</f>
        <v>5.233761995935847</v>
      </c>
      <c r="T261" s="304">
        <f t="shared" ca="1" si="117"/>
        <v>51.34320518013066</v>
      </c>
      <c r="U261" s="311">
        <f t="shared" ca="1" si="118"/>
        <v>0</v>
      </c>
      <c r="V261" s="306">
        <f t="shared" ca="1" si="119"/>
        <v>1.1587936579415254</v>
      </c>
      <c r="W261" s="304">
        <f t="shared" ca="1" si="120"/>
        <v>315.35788692417833</v>
      </c>
      <c r="Y261" s="314" t="str">
        <f t="shared" ref="Y261:Y324" ca="1" si="138">IF(AND(pos_z&lt;=0,K260&gt;0),"Impact balistique","") &amp; IF(AND(H262&lt;0,vit_z&gt;=0),"Apogée","") &amp; IF(AND(Poussee=0,Q260&gt;0),"Fin de propulsion","") &amp; IF(AND(L262&gt;L_rampe,pos_xz&lt;=L_rampe),"Sortie de rampe","")</f>
        <v/>
      </c>
      <c r="Z261" s="315" t="str">
        <f t="shared" ref="Z261:Z324" ca="1" si="139">IF(ABS(t-T_para)&lt;pas/2,"Para","")</f>
        <v/>
      </c>
      <c r="AA261" s="316" t="str">
        <f t="shared" ref="AA261:AA324" ca="1" si="140">IF(ABS(t-T_satellite)&lt;pas/2,"Satellite","")</f>
        <v/>
      </c>
      <c r="AC261" s="310" t="e">
        <f t="shared" ref="AC261:AC324" ca="1" si="141">IF(ABS(t-ROUND(t,0))&lt;0.001,t,NA())</f>
        <v>#N/A</v>
      </c>
      <c r="AD261" s="323" t="e">
        <f t="shared" ref="AD261:AD324" ca="1" si="142">IF(ABS(t-ROUND(t,0))&lt;0.001,pos_x,NA())</f>
        <v>#N/A</v>
      </c>
      <c r="AE261" s="324">
        <f t="shared" ca="1" si="121"/>
        <v>555.47041026735417</v>
      </c>
      <c r="AG261" s="306">
        <f t="shared" ref="AG261:AG324" ca="1" si="143">IF(AND(L260&lt;L_rampe,Poussee&lt;Poids*SIN(M260)),0,(-W260+Poussee)/m-Poids*SIN(M260)/m)</f>
        <v>25.692064457257111</v>
      </c>
      <c r="AH261" s="304">
        <f t="shared" ref="AH261:AH324" ca="1" si="144">IF(AND(L260&lt;L_rampe,Poussee&lt;Poids*SIN(M260)), g*SIN(M260), (-W260+Poussee)/m)</f>
        <v>35.312576906385679</v>
      </c>
    </row>
    <row r="262" spans="1:34" x14ac:dyDescent="0.2">
      <c r="A262" s="347">
        <f t="shared" ca="1" si="122"/>
        <v>0.01</v>
      </c>
      <c r="B262" s="304">
        <f t="shared" ca="1" si="123"/>
        <v>2.579999999999989</v>
      </c>
      <c r="D262" s="306">
        <f t="shared" ca="1" si="124"/>
        <v>6.819279381997486</v>
      </c>
      <c r="E262" s="307">
        <f t="shared" ca="1" si="125"/>
        <v>24.368918732707257</v>
      </c>
      <c r="F262" s="304">
        <f t="shared" ca="1" si="126"/>
        <v>25.305074026586581</v>
      </c>
      <c r="G262" s="306">
        <f t="shared" ca="1" si="127"/>
        <v>58.318853179302955</v>
      </c>
      <c r="H262" s="307">
        <f t="shared" ca="1" si="128"/>
        <v>292.20189707332969</v>
      </c>
      <c r="I262" s="304">
        <f t="shared" ca="1" si="129"/>
        <v>297.96482559087718</v>
      </c>
      <c r="J262" s="306">
        <f t="shared" ca="1" si="130"/>
        <v>106.78756327516706</v>
      </c>
      <c r="K262" s="307">
        <f t="shared" ca="1" si="131"/>
        <v>558.39121079215079</v>
      </c>
      <c r="L262" s="304">
        <f t="shared" ca="1" si="116"/>
        <v>568.51062255702129</v>
      </c>
      <c r="M262" s="306">
        <f t="shared" ca="1" si="132"/>
        <v>1.3738007010007449</v>
      </c>
      <c r="N262" s="304">
        <f t="shared" ca="1" si="133"/>
        <v>78.712982059456621</v>
      </c>
      <c r="P262" s="310">
        <f t="shared" ca="1" si="134"/>
        <v>7</v>
      </c>
      <c r="Q262" s="304">
        <f t="shared" ca="1" si="135"/>
        <v>497.68085106383205</v>
      </c>
      <c r="R262" s="306">
        <f t="shared" ca="1" si="136"/>
        <v>0.24976283134175997</v>
      </c>
      <c r="S262" s="307">
        <f t="shared" ca="1" si="137"/>
        <v>5.2312643676224297</v>
      </c>
      <c r="T262" s="304">
        <f t="shared" ca="1" si="117"/>
        <v>51.318703446376041</v>
      </c>
      <c r="U262" s="311">
        <f t="shared" ca="1" si="118"/>
        <v>0</v>
      </c>
      <c r="V262" s="306">
        <f t="shared" ca="1" si="119"/>
        <v>1.1584549842731564</v>
      </c>
      <c r="W262" s="304">
        <f t="shared" ca="1" si="120"/>
        <v>315.80034432192508</v>
      </c>
      <c r="Y262" s="314" t="str">
        <f t="shared" ca="1" si="138"/>
        <v/>
      </c>
      <c r="Z262" s="315" t="str">
        <f t="shared" ca="1" si="139"/>
        <v/>
      </c>
      <c r="AA262" s="316" t="str">
        <f t="shared" ca="1" si="140"/>
        <v/>
      </c>
      <c r="AC262" s="310" t="e">
        <f t="shared" ca="1" si="141"/>
        <v>#N/A</v>
      </c>
      <c r="AD262" s="323" t="e">
        <f t="shared" ca="1" si="142"/>
        <v>#N/A</v>
      </c>
      <c r="AE262" s="324">
        <f t="shared" ca="1" si="121"/>
        <v>558.39121079215079</v>
      </c>
      <c r="AG262" s="306">
        <f t="shared" ca="1" si="143"/>
        <v>25.232172941483917</v>
      </c>
      <c r="AH262" s="304">
        <f t="shared" ca="1" si="144"/>
        <v>34.852561699633263</v>
      </c>
    </row>
    <row r="263" spans="1:34" x14ac:dyDescent="0.2">
      <c r="A263" s="347">
        <f t="shared" ca="1" si="122"/>
        <v>0.01</v>
      </c>
      <c r="B263" s="304">
        <f t="shared" ca="1" si="123"/>
        <v>2.5899999999999888</v>
      </c>
      <c r="D263" s="306">
        <f t="shared" ca="1" si="124"/>
        <v>6.7317070570623239</v>
      </c>
      <c r="E263" s="307">
        <f t="shared" ca="1" si="125"/>
        <v>23.918673754401212</v>
      </c>
      <c r="F263" s="304">
        <f t="shared" ca="1" si="126"/>
        <v>24.847914078883644</v>
      </c>
      <c r="G263" s="306">
        <f t="shared" ca="1" si="127"/>
        <v>58.38617024987358</v>
      </c>
      <c r="H263" s="307">
        <f t="shared" ca="1" si="128"/>
        <v>292.44108381087369</v>
      </c>
      <c r="I263" s="304">
        <f t="shared" ca="1" si="129"/>
        <v>298.21256240629043</v>
      </c>
      <c r="J263" s="306">
        <f t="shared" ca="1" si="130"/>
        <v>107.37108839231294</v>
      </c>
      <c r="K263" s="307">
        <f t="shared" ca="1" si="131"/>
        <v>561.31442569657179</v>
      </c>
      <c r="L263" s="304">
        <f t="shared" ca="1" si="116"/>
        <v>571.49141298677625</v>
      </c>
      <c r="M263" s="306">
        <f t="shared" ca="1" si="132"/>
        <v>1.3737363156524698</v>
      </c>
      <c r="N263" s="304">
        <f t="shared" ca="1" si="133"/>
        <v>78.709293050737969</v>
      </c>
      <c r="P263" s="310">
        <f t="shared" ca="1" si="134"/>
        <v>7</v>
      </c>
      <c r="Q263" s="304">
        <f t="shared" ca="1" si="135"/>
        <v>495.63829787234272</v>
      </c>
      <c r="R263" s="306">
        <f t="shared" ca="1" si="136"/>
        <v>0.24873776906101916</v>
      </c>
      <c r="S263" s="307">
        <f t="shared" ca="1" si="137"/>
        <v>5.2287769899318199</v>
      </c>
      <c r="T263" s="304">
        <f t="shared" ca="1" si="117"/>
        <v>51.294302271231153</v>
      </c>
      <c r="U263" s="311">
        <f t="shared" ca="1" si="118"/>
        <v>0</v>
      </c>
      <c r="V263" s="306">
        <f t="shared" ca="1" si="119"/>
        <v>1.1581161269905045</v>
      </c>
      <c r="W263" s="304">
        <f t="shared" ca="1" si="120"/>
        <v>316.23316644129045</v>
      </c>
      <c r="Y263" s="314" t="str">
        <f t="shared" ca="1" si="138"/>
        <v/>
      </c>
      <c r="Z263" s="315" t="str">
        <f t="shared" ca="1" si="139"/>
        <v/>
      </c>
      <c r="AA263" s="316" t="str">
        <f t="shared" ca="1" si="140"/>
        <v/>
      </c>
      <c r="AC263" s="310" t="e">
        <f t="shared" ca="1" si="141"/>
        <v>#N/A</v>
      </c>
      <c r="AD263" s="323" t="e">
        <f t="shared" ca="1" si="142"/>
        <v>#N/A</v>
      </c>
      <c r="AE263" s="324">
        <f t="shared" ca="1" si="121"/>
        <v>561.31442569657179</v>
      </c>
      <c r="AG263" s="306">
        <f t="shared" ca="1" si="143"/>
        <v>24.773619729720863</v>
      </c>
      <c r="AH263" s="304">
        <f t="shared" ca="1" si="144"/>
        <v>34.393884821766441</v>
      </c>
    </row>
    <row r="264" spans="1:34" x14ac:dyDescent="0.2">
      <c r="A264" s="347">
        <f t="shared" ca="1" si="122"/>
        <v>0.01</v>
      </c>
      <c r="B264" s="304">
        <f t="shared" ca="1" si="123"/>
        <v>2.5999999999999885</v>
      </c>
      <c r="D264" s="306">
        <f t="shared" ca="1" si="124"/>
        <v>6.6443381072945451</v>
      </c>
      <c r="E264" s="307">
        <f t="shared" ca="1" si="125"/>
        <v>23.469754931473922</v>
      </c>
      <c r="F264" s="304">
        <f t="shared" ca="1" si="126"/>
        <v>24.392142698571828</v>
      </c>
      <c r="G264" s="306">
        <f t="shared" ca="1" si="127"/>
        <v>58.452613630946523</v>
      </c>
      <c r="H264" s="307">
        <f t="shared" ca="1" si="128"/>
        <v>292.67578136018841</v>
      </c>
      <c r="I264" s="304">
        <f t="shared" ca="1" si="129"/>
        <v>298.45572709379451</v>
      </c>
      <c r="J264" s="306">
        <f t="shared" ca="1" si="130"/>
        <v>107.95528231171704</v>
      </c>
      <c r="K264" s="307">
        <f t="shared" ca="1" si="131"/>
        <v>564.2400100224271</v>
      </c>
      <c r="L264" s="304">
        <f t="shared" ca="1" si="116"/>
        <v>574.47465730797137</v>
      </c>
      <c r="M264" s="306">
        <f t="shared" ca="1" si="132"/>
        <v>1.3736719620081992</v>
      </c>
      <c r="N264" s="304">
        <f t="shared" ca="1" si="133"/>
        <v>78.705605858524976</v>
      </c>
      <c r="P264" s="310">
        <f t="shared" ca="1" si="134"/>
        <v>7</v>
      </c>
      <c r="Q264" s="304">
        <f t="shared" ca="1" si="135"/>
        <v>493.59574468085339</v>
      </c>
      <c r="R264" s="306">
        <f t="shared" ca="1" si="136"/>
        <v>0.24771270678027832</v>
      </c>
      <c r="S264" s="307">
        <f t="shared" ca="1" si="137"/>
        <v>5.2262998628640176</v>
      </c>
      <c r="T264" s="304">
        <f t="shared" ca="1" si="117"/>
        <v>51.270001654696017</v>
      </c>
      <c r="U264" s="311">
        <f t="shared" ca="1" si="118"/>
        <v>0</v>
      </c>
      <c r="V264" s="306">
        <f t="shared" ca="1" si="119"/>
        <v>1.157777091500527</v>
      </c>
      <c r="W264" s="304">
        <f t="shared" ca="1" si="120"/>
        <v>316.65636686369982</v>
      </c>
      <c r="Y264" s="314" t="str">
        <f t="shared" ca="1" si="138"/>
        <v/>
      </c>
      <c r="Z264" s="315" t="str">
        <f t="shared" ca="1" si="139"/>
        <v/>
      </c>
      <c r="AA264" s="316" t="str">
        <f t="shared" ca="1" si="140"/>
        <v/>
      </c>
      <c r="AC264" s="310" t="e">
        <f t="shared" ca="1" si="141"/>
        <v>#N/A</v>
      </c>
      <c r="AD264" s="323" t="e">
        <f t="shared" ca="1" si="142"/>
        <v>#N/A</v>
      </c>
      <c r="AE264" s="324">
        <f t="shared" ca="1" si="121"/>
        <v>564.2400100224271</v>
      </c>
      <c r="AG264" s="306">
        <f t="shared" ca="1" si="143"/>
        <v>24.316406949303932</v>
      </c>
      <c r="AH264" s="304">
        <f t="shared" ca="1" si="144"/>
        <v>33.936548398194674</v>
      </c>
    </row>
    <row r="265" spans="1:34" x14ac:dyDescent="0.2">
      <c r="A265" s="347">
        <f t="shared" ca="1" si="122"/>
        <v>0.01</v>
      </c>
      <c r="B265" s="304">
        <f t="shared" ca="1" si="123"/>
        <v>2.6099999999999883</v>
      </c>
      <c r="D265" s="306">
        <f t="shared" ca="1" si="124"/>
        <v>6.5571732571471895</v>
      </c>
      <c r="E265" s="307">
        <f t="shared" ca="1" si="125"/>
        <v>23.02216416406133</v>
      </c>
      <c r="F265" s="304">
        <f t="shared" ca="1" si="126"/>
        <v>23.93776438853963</v>
      </c>
      <c r="G265" s="306">
        <f t="shared" ca="1" si="127"/>
        <v>58.518185363517993</v>
      </c>
      <c r="H265" s="307">
        <f t="shared" ca="1" si="128"/>
        <v>292.90600300182905</v>
      </c>
      <c r="I265" s="304">
        <f t="shared" ca="1" si="129"/>
        <v>298.69433307772437</v>
      </c>
      <c r="J265" s="306">
        <f t="shared" ca="1" si="130"/>
        <v>108.54013630668936</v>
      </c>
      <c r="K265" s="307">
        <f t="shared" ca="1" si="131"/>
        <v>567.16791894423716</v>
      </c>
      <c r="L265" s="304">
        <f t="shared" ca="1" si="116"/>
        <v>577.46030986467929</v>
      </c>
      <c r="M265" s="306">
        <f t="shared" ca="1" si="132"/>
        <v>1.3736076390451026</v>
      </c>
      <c r="N265" s="304">
        <f t="shared" ca="1" si="133"/>
        <v>78.701920424213768</v>
      </c>
      <c r="P265" s="310">
        <f t="shared" ca="1" si="134"/>
        <v>7</v>
      </c>
      <c r="Q265" s="304">
        <f t="shared" ca="1" si="135"/>
        <v>491.55319148936405</v>
      </c>
      <c r="R265" s="306">
        <f t="shared" ca="1" si="136"/>
        <v>0.24668764449953751</v>
      </c>
      <c r="S265" s="307">
        <f t="shared" ca="1" si="137"/>
        <v>5.2238329864190218</v>
      </c>
      <c r="T265" s="304">
        <f t="shared" ca="1" si="117"/>
        <v>51.245801596770605</v>
      </c>
      <c r="U265" s="311">
        <f t="shared" ca="1" si="118"/>
        <v>0</v>
      </c>
      <c r="V265" s="306">
        <f t="shared" ca="1" si="119"/>
        <v>1.1574378831888923</v>
      </c>
      <c r="W265" s="304">
        <f t="shared" ca="1" si="120"/>
        <v>317.069959759867</v>
      </c>
      <c r="Y265" s="314" t="str">
        <f t="shared" ca="1" si="138"/>
        <v/>
      </c>
      <c r="Z265" s="315" t="str">
        <f t="shared" ca="1" si="139"/>
        <v/>
      </c>
      <c r="AA265" s="316" t="str">
        <f t="shared" ca="1" si="140"/>
        <v/>
      </c>
      <c r="AC265" s="310" t="e">
        <f t="shared" ca="1" si="141"/>
        <v>#N/A</v>
      </c>
      <c r="AD265" s="323" t="e">
        <f t="shared" ca="1" si="142"/>
        <v>#N/A</v>
      </c>
      <c r="AE265" s="324">
        <f t="shared" ca="1" si="121"/>
        <v>567.16791894423716</v>
      </c>
      <c r="AG265" s="306">
        <f t="shared" ca="1" si="143"/>
        <v>23.860536601438351</v>
      </c>
      <c r="AH265" s="304">
        <f t="shared" ca="1" si="144"/>
        <v>33.480554428206823</v>
      </c>
    </row>
    <row r="266" spans="1:34" x14ac:dyDescent="0.2">
      <c r="A266" s="347">
        <f t="shared" ca="1" si="122"/>
        <v>0.01</v>
      </c>
      <c r="B266" s="304">
        <f t="shared" ca="1" si="123"/>
        <v>2.6199999999999881</v>
      </c>
      <c r="D266" s="306">
        <f t="shared" ca="1" si="124"/>
        <v>6.4702132047951917</v>
      </c>
      <c r="E266" s="307">
        <f t="shared" ca="1" si="125"/>
        <v>22.575903230138742</v>
      </c>
      <c r="F266" s="304">
        <f t="shared" ca="1" si="126"/>
        <v>23.484783702902075</v>
      </c>
      <c r="G266" s="306">
        <f t="shared" ca="1" si="127"/>
        <v>58.582887495565949</v>
      </c>
      <c r="H266" s="307">
        <f t="shared" ca="1" si="128"/>
        <v>293.13176203413042</v>
      </c>
      <c r="I266" s="304">
        <f t="shared" ca="1" si="129"/>
        <v>298.92839380117806</v>
      </c>
      <c r="J266" s="306">
        <f t="shared" ca="1" si="130"/>
        <v>109.12564167098478</v>
      </c>
      <c r="K266" s="307">
        <f t="shared" ca="1" si="131"/>
        <v>570.09810776941697</v>
      </c>
      <c r="L266" s="304">
        <f t="shared" ca="1" si="116"/>
        <v>580.44832513529911</v>
      </c>
      <c r="M266" s="306">
        <f t="shared" ca="1" si="132"/>
        <v>1.3735433457467641</v>
      </c>
      <c r="N266" s="304">
        <f t="shared" ca="1" si="133"/>
        <v>78.698236689567992</v>
      </c>
      <c r="P266" s="310">
        <f t="shared" ca="1" si="134"/>
        <v>7</v>
      </c>
      <c r="Q266" s="304">
        <f t="shared" ca="1" si="135"/>
        <v>489.51063829787478</v>
      </c>
      <c r="R266" s="306">
        <f t="shared" ca="1" si="136"/>
        <v>0.24566258221879672</v>
      </c>
      <c r="S266" s="307">
        <f t="shared" ca="1" si="137"/>
        <v>5.2213763605968335</v>
      </c>
      <c r="T266" s="304">
        <f t="shared" ca="1" si="117"/>
        <v>51.221702097454937</v>
      </c>
      <c r="U266" s="311">
        <f t="shared" ca="1" si="118"/>
        <v>0</v>
      </c>
      <c r="V266" s="306">
        <f t="shared" ca="1" si="119"/>
        <v>1.1570985074199762</v>
      </c>
      <c r="W266" s="304">
        <f t="shared" ca="1" si="120"/>
        <v>317.47395988162174</v>
      </c>
      <c r="Y266" s="314" t="str">
        <f t="shared" ca="1" si="138"/>
        <v/>
      </c>
      <c r="Z266" s="315" t="str">
        <f t="shared" ca="1" si="139"/>
        <v/>
      </c>
      <c r="AA266" s="316" t="str">
        <f t="shared" ca="1" si="140"/>
        <v/>
      </c>
      <c r="AC266" s="310" t="e">
        <f t="shared" ca="1" si="141"/>
        <v>#N/A</v>
      </c>
      <c r="AD266" s="323" t="e">
        <f t="shared" ca="1" si="142"/>
        <v>#N/A</v>
      </c>
      <c r="AE266" s="324">
        <f t="shared" ca="1" si="121"/>
        <v>570.09810776941697</v>
      </c>
      <c r="AG266" s="306">
        <f t="shared" ca="1" si="143"/>
        <v>23.406010562431696</v>
      </c>
      <c r="AH266" s="304">
        <f t="shared" ca="1" si="144"/>
        <v>33.025904786204073</v>
      </c>
    </row>
    <row r="267" spans="1:34" x14ac:dyDescent="0.2">
      <c r="A267" s="347">
        <f t="shared" ca="1" si="122"/>
        <v>0.01</v>
      </c>
      <c r="B267" s="304">
        <f t="shared" ca="1" si="123"/>
        <v>2.6299999999999879</v>
      </c>
      <c r="D267" s="306">
        <f t="shared" ca="1" si="124"/>
        <v>6.3834586223690932</v>
      </c>
      <c r="E267" s="307">
        <f t="shared" ca="1" si="125"/>
        <v>22.130973786733236</v>
      </c>
      <c r="F267" s="304">
        <f t="shared" ca="1" si="126"/>
        <v>23.033205263978608</v>
      </c>
      <c r="G267" s="306">
        <f t="shared" ca="1" si="127"/>
        <v>58.64672208178964</v>
      </c>
      <c r="H267" s="307">
        <f t="shared" ca="1" si="128"/>
        <v>293.35307177199775</v>
      </c>
      <c r="I267" s="304">
        <f t="shared" ca="1" si="129"/>
        <v>299.15792272478018</v>
      </c>
      <c r="J267" s="306">
        <f t="shared" ca="1" si="130"/>
        <v>109.71178971887156</v>
      </c>
      <c r="K267" s="307">
        <f t="shared" ca="1" si="131"/>
        <v>573.03053193844767</v>
      </c>
      <c r="L267" s="304">
        <f t="shared" ca="1" si="116"/>
        <v>583.43865773273728</v>
      </c>
      <c r="M267" s="306">
        <f t="shared" ca="1" si="132"/>
        <v>1.3734790811030706</v>
      </c>
      <c r="N267" s="304">
        <f t="shared" ca="1" si="133"/>
        <v>78.69455459671245</v>
      </c>
      <c r="P267" s="310">
        <f t="shared" ca="1" si="134"/>
        <v>7</v>
      </c>
      <c r="Q267" s="304">
        <f t="shared" ca="1" si="135"/>
        <v>487.46808510638544</v>
      </c>
      <c r="R267" s="306">
        <f t="shared" ca="1" si="136"/>
        <v>0.24463751993805591</v>
      </c>
      <c r="S267" s="307">
        <f t="shared" ca="1" si="137"/>
        <v>5.2189299853974527</v>
      </c>
      <c r="T267" s="304">
        <f t="shared" ca="1" si="117"/>
        <v>51.197703156749014</v>
      </c>
      <c r="U267" s="311">
        <f t="shared" ca="1" si="118"/>
        <v>0</v>
      </c>
      <c r="V267" s="306">
        <f t="shared" ca="1" si="119"/>
        <v>1.1567589695368565</v>
      </c>
      <c r="W267" s="304">
        <f t="shared" ca="1" si="120"/>
        <v>317.86838255376597</v>
      </c>
      <c r="Y267" s="314" t="str">
        <f t="shared" ca="1" si="138"/>
        <v/>
      </c>
      <c r="Z267" s="315" t="str">
        <f t="shared" ca="1" si="139"/>
        <v/>
      </c>
      <c r="AA267" s="316" t="str">
        <f t="shared" ca="1" si="140"/>
        <v/>
      </c>
      <c r="AC267" s="310" t="e">
        <f t="shared" ca="1" si="141"/>
        <v>#N/A</v>
      </c>
      <c r="AD267" s="323" t="e">
        <f t="shared" ca="1" si="142"/>
        <v>#N/A</v>
      </c>
      <c r="AE267" s="324">
        <f t="shared" ca="1" si="121"/>
        <v>573.03053193844767</v>
      </c>
      <c r="AG267" s="306">
        <f t="shared" ca="1" si="143"/>
        <v>22.952830584928108</v>
      </c>
      <c r="AH267" s="304">
        <f t="shared" ca="1" si="144"/>
        <v>32.572601222933947</v>
      </c>
    </row>
    <row r="268" spans="1:34" x14ac:dyDescent="0.2">
      <c r="A268" s="347">
        <f t="shared" ca="1" si="122"/>
        <v>0.01</v>
      </c>
      <c r="B268" s="304">
        <f t="shared" ca="1" si="123"/>
        <v>2.6399999999999877</v>
      </c>
      <c r="D268" s="306">
        <f t="shared" ca="1" si="124"/>
        <v>6.2969101561890772</v>
      </c>
      <c r="E268" s="307">
        <f t="shared" ca="1" si="125"/>
        <v>21.687377371137607</v>
      </c>
      <c r="F268" s="304">
        <f t="shared" ca="1" si="126"/>
        <v>22.583033780988078</v>
      </c>
      <c r="G268" s="306">
        <f t="shared" ca="1" si="127"/>
        <v>58.709691183351531</v>
      </c>
      <c r="H268" s="307">
        <f t="shared" ca="1" si="128"/>
        <v>293.56994554570912</v>
      </c>
      <c r="I268" s="304">
        <f t="shared" ca="1" si="129"/>
        <v>299.38293332545715</v>
      </c>
      <c r="J268" s="306">
        <f t="shared" ca="1" si="130"/>
        <v>110.29857178519727</v>
      </c>
      <c r="K268" s="307">
        <f t="shared" ca="1" si="131"/>
        <v>575.96514702503623</v>
      </c>
      <c r="L268" s="304">
        <f t="shared" ca="1" si="116"/>
        <v>586.43126240457707</v>
      </c>
      <c r="M268" s="306">
        <f t="shared" ca="1" si="132"/>
        <v>1.3734148441100995</v>
      </c>
      <c r="N268" s="304">
        <f t="shared" ca="1" si="133"/>
        <v>78.690874088126591</v>
      </c>
      <c r="P268" s="310">
        <f t="shared" ca="1" si="134"/>
        <v>7</v>
      </c>
      <c r="Q268" s="304">
        <f t="shared" ca="1" si="135"/>
        <v>485.42553191489611</v>
      </c>
      <c r="R268" s="306">
        <f t="shared" ca="1" si="136"/>
        <v>0.24361245765731507</v>
      </c>
      <c r="S268" s="307">
        <f t="shared" ca="1" si="137"/>
        <v>5.2164938608208793</v>
      </c>
      <c r="T268" s="304">
        <f t="shared" ca="1" si="117"/>
        <v>51.17380477465283</v>
      </c>
      <c r="U268" s="311">
        <f t="shared" ca="1" si="118"/>
        <v>0</v>
      </c>
      <c r="V268" s="306">
        <f t="shared" ca="1" si="119"/>
        <v>1.1564192748613127</v>
      </c>
      <c r="W268" s="304">
        <f t="shared" ca="1" si="120"/>
        <v>318.25324366596351</v>
      </c>
      <c r="Y268" s="314" t="str">
        <f t="shared" ca="1" si="138"/>
        <v/>
      </c>
      <c r="Z268" s="315" t="str">
        <f t="shared" ca="1" si="139"/>
        <v/>
      </c>
      <c r="AA268" s="316" t="str">
        <f t="shared" ca="1" si="140"/>
        <v/>
      </c>
      <c r="AC268" s="310" t="e">
        <f t="shared" ca="1" si="141"/>
        <v>#N/A</v>
      </c>
      <c r="AD268" s="323" t="e">
        <f t="shared" ca="1" si="142"/>
        <v>#N/A</v>
      </c>
      <c r="AE268" s="324">
        <f t="shared" ca="1" si="121"/>
        <v>575.96514702503623</v>
      </c>
      <c r="AG268" s="306">
        <f t="shared" ca="1" si="143"/>
        <v>22.500998299144058</v>
      </c>
      <c r="AH268" s="304">
        <f t="shared" ca="1" si="144"/>
        <v>32.120645366725874</v>
      </c>
    </row>
    <row r="269" spans="1:34" x14ac:dyDescent="0.2">
      <c r="A269" s="347">
        <f t="shared" ca="1" si="122"/>
        <v>0.01</v>
      </c>
      <c r="B269" s="304">
        <f t="shared" ca="1" si="123"/>
        <v>2.6499999999999875</v>
      </c>
      <c r="D269" s="306">
        <f t="shared" ca="1" si="124"/>
        <v>6.2105684269993446</v>
      </c>
      <c r="E269" s="307">
        <f t="shared" ca="1" si="125"/>
        <v>21.245115402124917</v>
      </c>
      <c r="F269" s="304">
        <f t="shared" ca="1" si="126"/>
        <v>22.13427407068157</v>
      </c>
      <c r="G269" s="306">
        <f t="shared" ca="1" si="127"/>
        <v>58.771796867621525</v>
      </c>
      <c r="H269" s="307">
        <f t="shared" ca="1" si="128"/>
        <v>293.78239669973038</v>
      </c>
      <c r="I269" s="304">
        <f t="shared" ca="1" si="129"/>
        <v>299.60343909522589</v>
      </c>
      <c r="J269" s="306">
        <f t="shared" ca="1" si="130"/>
        <v>110.88597922545213</v>
      </c>
      <c r="K269" s="307">
        <f t="shared" ca="1" si="131"/>
        <v>578.90190873626341</v>
      </c>
      <c r="L269" s="304">
        <f t="shared" ca="1" si="116"/>
        <v>589.42609403323536</v>
      </c>
      <c r="M269" s="306">
        <f t="shared" ca="1" si="132"/>
        <v>1.373350633770011</v>
      </c>
      <c r="N269" s="304">
        <f t="shared" ca="1" si="133"/>
        <v>78.687195106638413</v>
      </c>
      <c r="P269" s="310">
        <f t="shared" ca="1" si="134"/>
        <v>7</v>
      </c>
      <c r="Q269" s="304">
        <f t="shared" ca="1" si="135"/>
        <v>483.38297872340678</v>
      </c>
      <c r="R269" s="306">
        <f t="shared" ca="1" si="136"/>
        <v>0.24258739537657426</v>
      </c>
      <c r="S269" s="307">
        <f t="shared" ca="1" si="137"/>
        <v>5.2140679868671134</v>
      </c>
      <c r="T269" s="304">
        <f t="shared" ca="1" si="117"/>
        <v>51.150006951166382</v>
      </c>
      <c r="U269" s="311">
        <f t="shared" ca="1" si="118"/>
        <v>0</v>
      </c>
      <c r="V269" s="306">
        <f t="shared" ca="1" si="119"/>
        <v>1.1560794286938245</v>
      </c>
      <c r="W269" s="304">
        <f t="shared" ca="1" si="120"/>
        <v>318.62855966466429</v>
      </c>
      <c r="Y269" s="314" t="str">
        <f t="shared" ca="1" si="138"/>
        <v/>
      </c>
      <c r="Z269" s="315" t="str">
        <f t="shared" ca="1" si="139"/>
        <v/>
      </c>
      <c r="AA269" s="316" t="str">
        <f t="shared" ca="1" si="140"/>
        <v/>
      </c>
      <c r="AC269" s="310" t="e">
        <f t="shared" ca="1" si="141"/>
        <v>#N/A</v>
      </c>
      <c r="AD269" s="323" t="e">
        <f t="shared" ca="1" si="142"/>
        <v>#N/A</v>
      </c>
      <c r="AE269" s="324">
        <f t="shared" ca="1" si="121"/>
        <v>578.90190873626341</v>
      </c>
      <c r="AG269" s="306">
        <f t="shared" ca="1" si="143"/>
        <v>22.050515214104827</v>
      </c>
      <c r="AH269" s="304">
        <f t="shared" ca="1" si="144"/>
        <v>31.670038724727469</v>
      </c>
    </row>
    <row r="270" spans="1:34" x14ac:dyDescent="0.2">
      <c r="A270" s="347">
        <f t="shared" ca="1" si="122"/>
        <v>0.01</v>
      </c>
      <c r="B270" s="304">
        <f t="shared" ca="1" si="123"/>
        <v>2.6599999999999873</v>
      </c>
      <c r="D270" s="306">
        <f t="shared" ca="1" si="124"/>
        <v>6.1244340302025009</v>
      </c>
      <c r="E270" s="307">
        <f t="shared" ca="1" si="125"/>
        <v>20.804189181163515</v>
      </c>
      <c r="F270" s="304">
        <f t="shared" ca="1" si="126"/>
        <v>21.686931080167692</v>
      </c>
      <c r="G270" s="306">
        <f t="shared" ca="1" si="127"/>
        <v>58.83304120792355</v>
      </c>
      <c r="H270" s="307">
        <f t="shared" ca="1" si="128"/>
        <v>293.99043859154204</v>
      </c>
      <c r="I270" s="304">
        <f t="shared" ca="1" si="129"/>
        <v>299.81945353999379</v>
      </c>
      <c r="J270" s="306">
        <f t="shared" ca="1" si="130"/>
        <v>111.47400341582986</v>
      </c>
      <c r="K270" s="307">
        <f t="shared" ca="1" si="131"/>
        <v>581.84077291271979</v>
      </c>
      <c r="L270" s="304">
        <f t="shared" ca="1" si="116"/>
        <v>592.42310763610794</v>
      </c>
      <c r="M270" s="306">
        <f t="shared" ca="1" si="132"/>
        <v>1.3732864490909389</v>
      </c>
      <c r="N270" s="304">
        <f t="shared" ca="1" si="133"/>
        <v>78.683517595418181</v>
      </c>
      <c r="P270" s="310">
        <f t="shared" ca="1" si="134"/>
        <v>7</v>
      </c>
      <c r="Q270" s="304">
        <f t="shared" ca="1" si="135"/>
        <v>481.3404255319175</v>
      </c>
      <c r="R270" s="306">
        <f t="shared" ca="1" si="136"/>
        <v>0.24156233309583347</v>
      </c>
      <c r="S270" s="307">
        <f t="shared" ca="1" si="137"/>
        <v>5.2116523635361549</v>
      </c>
      <c r="T270" s="304">
        <f t="shared" ca="1" si="117"/>
        <v>51.12630968628968</v>
      </c>
      <c r="U270" s="311">
        <f t="shared" ca="1" si="118"/>
        <v>0</v>
      </c>
      <c r="V270" s="306">
        <f t="shared" ca="1" si="119"/>
        <v>1.1557394363135758</v>
      </c>
      <c r="W270" s="304">
        <f t="shared" ca="1" si="120"/>
        <v>318.99434754506194</v>
      </c>
      <c r="Y270" s="314" t="str">
        <f t="shared" ca="1" si="138"/>
        <v/>
      </c>
      <c r="Z270" s="315" t="str">
        <f t="shared" ca="1" si="139"/>
        <v/>
      </c>
      <c r="AA270" s="316" t="str">
        <f t="shared" ca="1" si="140"/>
        <v/>
      </c>
      <c r="AC270" s="310" t="e">
        <f t="shared" ca="1" si="141"/>
        <v>#N/A</v>
      </c>
      <c r="AD270" s="323" t="e">
        <f t="shared" ca="1" si="142"/>
        <v>#N/A</v>
      </c>
      <c r="AE270" s="324">
        <f t="shared" ca="1" si="121"/>
        <v>581.84077291271979</v>
      </c>
      <c r="AG270" s="306">
        <f t="shared" ca="1" si="143"/>
        <v>21.601382718881336</v>
      </c>
      <c r="AH270" s="304">
        <f t="shared" ca="1" si="144"/>
        <v>31.220782684141213</v>
      </c>
    </row>
    <row r="271" spans="1:34" x14ac:dyDescent="0.2">
      <c r="A271" s="347">
        <f t="shared" ca="1" si="122"/>
        <v>0.01</v>
      </c>
      <c r="B271" s="304">
        <f t="shared" ca="1" si="123"/>
        <v>2.6699999999999871</v>
      </c>
      <c r="D271" s="306">
        <f t="shared" ca="1" si="124"/>
        <v>6.0385075360942722</v>
      </c>
      <c r="E271" s="307">
        <f t="shared" ca="1" si="125"/>
        <v>20.364599893632509</v>
      </c>
      <c r="F271" s="304">
        <f t="shared" ca="1" si="126"/>
        <v>21.241009912224147</v>
      </c>
      <c r="G271" s="306">
        <f t="shared" ca="1" si="127"/>
        <v>58.893426283284491</v>
      </c>
      <c r="H271" s="307">
        <f t="shared" ca="1" si="128"/>
        <v>294.19408459047838</v>
      </c>
      <c r="I271" s="304">
        <f t="shared" ca="1" si="129"/>
        <v>300.03099017837178</v>
      </c>
      <c r="J271" s="306">
        <f t="shared" ca="1" si="130"/>
        <v>112.06263575328589</v>
      </c>
      <c r="K271" s="307">
        <f t="shared" ca="1" si="131"/>
        <v>584.78169552862994</v>
      </c>
      <c r="L271" s="304">
        <f t="shared" ca="1" si="116"/>
        <v>595.42225836570208</v>
      </c>
      <c r="M271" s="306">
        <f t="shared" ca="1" si="132"/>
        <v>1.3732222890868842</v>
      </c>
      <c r="N271" s="304">
        <f t="shared" ca="1" si="133"/>
        <v>78.679841497972305</v>
      </c>
      <c r="P271" s="310">
        <f t="shared" ca="1" si="134"/>
        <v>7</v>
      </c>
      <c r="Q271" s="304">
        <f t="shared" ca="1" si="135"/>
        <v>479.29787234042817</v>
      </c>
      <c r="R271" s="306">
        <f t="shared" ca="1" si="136"/>
        <v>0.24053727081509266</v>
      </c>
      <c r="S271" s="307">
        <f t="shared" ca="1" si="137"/>
        <v>5.2092469908280039</v>
      </c>
      <c r="T271" s="304">
        <f t="shared" ca="1" si="117"/>
        <v>51.102712980022723</v>
      </c>
      <c r="U271" s="311">
        <f t="shared" ca="1" si="118"/>
        <v>0</v>
      </c>
      <c r="V271" s="306">
        <f t="shared" ca="1" si="119"/>
        <v>1.1553993029784546</v>
      </c>
      <c r="W271" s="304">
        <f t="shared" ca="1" si="120"/>
        <v>319.35062484308759</v>
      </c>
      <c r="Y271" s="314" t="str">
        <f t="shared" ca="1" si="138"/>
        <v/>
      </c>
      <c r="Z271" s="315" t="str">
        <f t="shared" ca="1" si="139"/>
        <v/>
      </c>
      <c r="AA271" s="316" t="str">
        <f t="shared" ca="1" si="140"/>
        <v/>
      </c>
      <c r="AC271" s="310" t="e">
        <f t="shared" ca="1" si="141"/>
        <v>#N/A</v>
      </c>
      <c r="AD271" s="323" t="e">
        <f t="shared" ca="1" si="142"/>
        <v>#N/A</v>
      </c>
      <c r="AE271" s="324">
        <f t="shared" ca="1" si="121"/>
        <v>584.78169552862994</v>
      </c>
      <c r="AG271" s="306">
        <f t="shared" ca="1" si="143"/>
        <v>21.153602083827657</v>
      </c>
      <c r="AH271" s="304">
        <f t="shared" ca="1" si="144"/>
        <v>30.772878513461723</v>
      </c>
    </row>
    <row r="272" spans="1:34" x14ac:dyDescent="0.2">
      <c r="A272" s="347">
        <f t="shared" ca="1" si="122"/>
        <v>0.01</v>
      </c>
      <c r="B272" s="304">
        <f t="shared" ca="1" si="123"/>
        <v>2.6799999999999868</v>
      </c>
      <c r="D272" s="306">
        <f t="shared" ca="1" si="124"/>
        <v>5.9527894900982758</v>
      </c>
      <c r="E272" s="307">
        <f t="shared" ca="1" si="125"/>
        <v>19.926348610037344</v>
      </c>
      <c r="F272" s="304">
        <f t="shared" ca="1" si="126"/>
        <v>20.79651585343472</v>
      </c>
      <c r="G272" s="306">
        <f t="shared" ca="1" si="127"/>
        <v>58.952954178185472</v>
      </c>
      <c r="H272" s="307">
        <f t="shared" ca="1" si="128"/>
        <v>294.39334807657877</v>
      </c>
      <c r="I272" s="304">
        <f t="shared" ca="1" si="129"/>
        <v>300.23806254049953</v>
      </c>
      <c r="J272" s="306">
        <f t="shared" ca="1" si="130"/>
        <v>112.65186765559324</v>
      </c>
      <c r="K272" s="307">
        <f t="shared" ca="1" si="131"/>
        <v>587.72463269196521</v>
      </c>
      <c r="L272" s="304">
        <f t="shared" ca="1" si="116"/>
        <v>598.42350150975756</v>
      </c>
      <c r="M272" s="306">
        <f t="shared" ca="1" si="132"/>
        <v>1.37315815277761</v>
      </c>
      <c r="N272" s="304">
        <f t="shared" ca="1" si="133"/>
        <v>78.676166758137356</v>
      </c>
      <c r="P272" s="310">
        <f t="shared" ca="1" si="134"/>
        <v>7</v>
      </c>
      <c r="Q272" s="304">
        <f t="shared" ca="1" si="135"/>
        <v>477.25531914893884</v>
      </c>
      <c r="R272" s="306">
        <f t="shared" ca="1" si="136"/>
        <v>0.23951220853435182</v>
      </c>
      <c r="S272" s="307">
        <f t="shared" ca="1" si="137"/>
        <v>5.2068518687426604</v>
      </c>
      <c r="T272" s="304">
        <f t="shared" ca="1" si="117"/>
        <v>51.079216832365503</v>
      </c>
      <c r="U272" s="311">
        <f t="shared" ca="1" si="118"/>
        <v>0</v>
      </c>
      <c r="V272" s="306">
        <f t="shared" ca="1" si="119"/>
        <v>1.1550590339250599</v>
      </c>
      <c r="W272" s="304">
        <f t="shared" ca="1" si="120"/>
        <v>319.69740962744055</v>
      </c>
      <c r="Y272" s="314" t="str">
        <f t="shared" ca="1" si="138"/>
        <v/>
      </c>
      <c r="Z272" s="315" t="str">
        <f t="shared" ca="1" si="139"/>
        <v/>
      </c>
      <c r="AA272" s="316" t="str">
        <f t="shared" ca="1" si="140"/>
        <v/>
      </c>
      <c r="AC272" s="310" t="e">
        <f t="shared" ca="1" si="141"/>
        <v>#N/A</v>
      </c>
      <c r="AD272" s="323" t="e">
        <f t="shared" ca="1" si="142"/>
        <v>#N/A</v>
      </c>
      <c r="AE272" s="324">
        <f t="shared" ca="1" si="121"/>
        <v>587.72463269196521</v>
      </c>
      <c r="AG272" s="306">
        <f t="shared" ca="1" si="143"/>
        <v>20.707174461818511</v>
      </c>
      <c r="AH272" s="304">
        <f t="shared" ca="1" si="144"/>
        <v>30.326327363713105</v>
      </c>
    </row>
    <row r="273" spans="1:34" x14ac:dyDescent="0.2">
      <c r="A273" s="347">
        <f t="shared" ca="1" si="122"/>
        <v>0.01</v>
      </c>
      <c r="B273" s="304">
        <f t="shared" ca="1" si="123"/>
        <v>2.6899999999999866</v>
      </c>
      <c r="D273" s="306">
        <f t="shared" ca="1" si="124"/>
        <v>5.8672804130008283</v>
      </c>
      <c r="E273" s="307">
        <f t="shared" ca="1" si="125"/>
        <v>19.489436287225082</v>
      </c>
      <c r="F273" s="304">
        <f t="shared" ca="1" si="126"/>
        <v>20.353454405544749</v>
      </c>
      <c r="G273" s="306">
        <f t="shared" ca="1" si="127"/>
        <v>59.011626982315477</v>
      </c>
      <c r="H273" s="307">
        <f t="shared" ca="1" si="128"/>
        <v>294.58824243945105</v>
      </c>
      <c r="I273" s="304">
        <f t="shared" ca="1" si="129"/>
        <v>300.44068416688299</v>
      </c>
      <c r="J273" s="306">
        <f t="shared" ca="1" si="130"/>
        <v>113.24169056139574</v>
      </c>
      <c r="K273" s="307">
        <f t="shared" ca="1" si="131"/>
        <v>590.66954064454535</v>
      </c>
      <c r="L273" s="304">
        <f t="shared" ca="1" si="116"/>
        <v>601.42679249135642</v>
      </c>
      <c r="M273" s="306">
        <f t="shared" ca="1" si="132"/>
        <v>1.3730940391885389</v>
      </c>
      <c r="N273" s="304">
        <f t="shared" ca="1" si="133"/>
        <v>78.672493320074139</v>
      </c>
      <c r="P273" s="310">
        <f t="shared" ca="1" si="134"/>
        <v>7</v>
      </c>
      <c r="Q273" s="304">
        <f t="shared" ca="1" si="135"/>
        <v>475.21276595744951</v>
      </c>
      <c r="R273" s="306">
        <f t="shared" ca="1" si="136"/>
        <v>0.238487146253611</v>
      </c>
      <c r="S273" s="307">
        <f t="shared" ca="1" si="137"/>
        <v>5.2044669972801243</v>
      </c>
      <c r="T273" s="304">
        <f t="shared" ca="1" si="117"/>
        <v>51.055821243318022</v>
      </c>
      <c r="U273" s="311">
        <f t="shared" ca="1" si="118"/>
        <v>0</v>
      </c>
      <c r="V273" s="306">
        <f t="shared" ca="1" si="119"/>
        <v>1.1547186343687084</v>
      </c>
      <c r="W273" s="304">
        <f t="shared" ca="1" si="120"/>
        <v>320.03472049165708</v>
      </c>
      <c r="Y273" s="314" t="str">
        <f t="shared" ca="1" si="138"/>
        <v/>
      </c>
      <c r="Z273" s="315" t="str">
        <f t="shared" ca="1" si="139"/>
        <v/>
      </c>
      <c r="AA273" s="316" t="str">
        <f t="shared" ca="1" si="140"/>
        <v/>
      </c>
      <c r="AC273" s="310" t="e">
        <f t="shared" ca="1" si="141"/>
        <v>#N/A</v>
      </c>
      <c r="AD273" s="323" t="e">
        <f t="shared" ca="1" si="142"/>
        <v>#N/A</v>
      </c>
      <c r="AE273" s="324">
        <f t="shared" ca="1" si="121"/>
        <v>590.66954064454535</v>
      </c>
      <c r="AG273" s="306">
        <f t="shared" ca="1" si="143"/>
        <v>20.262100889486511</v>
      </c>
      <c r="AH273" s="304">
        <f t="shared" ca="1" si="144"/>
        <v>29.881130269686004</v>
      </c>
    </row>
    <row r="274" spans="1:34" x14ac:dyDescent="0.2">
      <c r="A274" s="347">
        <f t="shared" ca="1" si="122"/>
        <v>0.01</v>
      </c>
      <c r="B274" s="304">
        <f t="shared" ca="1" si="123"/>
        <v>2.6999999999999864</v>
      </c>
      <c r="D274" s="306">
        <f t="shared" ca="1" si="124"/>
        <v>5.7819808011857665</v>
      </c>
      <c r="E274" s="307">
        <f t="shared" ca="1" si="125"/>
        <v>19.05386376959931</v>
      </c>
      <c r="F274" s="304">
        <f t="shared" ca="1" si="126"/>
        <v>19.911831320492098</v>
      </c>
      <c r="G274" s="306">
        <f t="shared" ca="1" si="127"/>
        <v>59.069446790327333</v>
      </c>
      <c r="H274" s="307">
        <f t="shared" ca="1" si="128"/>
        <v>294.77878107714702</v>
      </c>
      <c r="I274" s="304">
        <f t="shared" ca="1" si="129"/>
        <v>300.63886860724426</v>
      </c>
      <c r="J274" s="306">
        <f t="shared" ca="1" si="130"/>
        <v>113.83209593025896</v>
      </c>
      <c r="K274" s="307">
        <f t="shared" ca="1" si="131"/>
        <v>593.61637576212831</v>
      </c>
      <c r="L274" s="304">
        <f t="shared" ca="1" si="116"/>
        <v>604.43208686902119</v>
      </c>
      <c r="M274" s="306">
        <f t="shared" ca="1" si="132"/>
        <v>1.3730299473506484</v>
      </c>
      <c r="N274" s="304">
        <f t="shared" ca="1" si="133"/>
        <v>78.668821128261783</v>
      </c>
      <c r="P274" s="310">
        <f t="shared" ca="1" si="134"/>
        <v>7</v>
      </c>
      <c r="Q274" s="304">
        <f t="shared" ca="1" si="135"/>
        <v>473.17021276596023</v>
      </c>
      <c r="R274" s="306">
        <f t="shared" ca="1" si="136"/>
        <v>0.23746208397287022</v>
      </c>
      <c r="S274" s="307">
        <f t="shared" ca="1" si="137"/>
        <v>5.2020923764403957</v>
      </c>
      <c r="T274" s="304">
        <f t="shared" ca="1" si="117"/>
        <v>51.032526212880285</v>
      </c>
      <c r="U274" s="311">
        <f t="shared" ca="1" si="118"/>
        <v>0</v>
      </c>
      <c r="V274" s="306">
        <f t="shared" ca="1" si="119"/>
        <v>1.1543781095034413</v>
      </c>
      <c r="W274" s="304">
        <f t="shared" ca="1" si="120"/>
        <v>320.3625765462171</v>
      </c>
      <c r="Y274" s="314" t="str">
        <f t="shared" ca="1" si="138"/>
        <v/>
      </c>
      <c r="Z274" s="315" t="str">
        <f t="shared" ca="1" si="139"/>
        <v/>
      </c>
      <c r="AA274" s="316" t="str">
        <f t="shared" ca="1" si="140"/>
        <v/>
      </c>
      <c r="AC274" s="310" t="e">
        <f t="shared" ca="1" si="141"/>
        <v>#N/A</v>
      </c>
      <c r="AD274" s="323" t="e">
        <f t="shared" ca="1" si="142"/>
        <v>#N/A</v>
      </c>
      <c r="AE274" s="324">
        <f t="shared" ca="1" si="121"/>
        <v>593.61637576212831</v>
      </c>
      <c r="AG274" s="306">
        <f t="shared" ca="1" si="143"/>
        <v>19.818382288459063</v>
      </c>
      <c r="AH274" s="304">
        <f t="shared" ca="1" si="144"/>
        <v>29.437288151174325</v>
      </c>
    </row>
    <row r="275" spans="1:34" x14ac:dyDescent="0.2">
      <c r="A275" s="347">
        <f t="shared" ca="1" si="122"/>
        <v>0.01</v>
      </c>
      <c r="B275" s="304">
        <f t="shared" ca="1" si="123"/>
        <v>2.7099999999999862</v>
      </c>
      <c r="D275" s="306">
        <f t="shared" ca="1" si="124"/>
        <v>5.6968911268693203</v>
      </c>
      <c r="E275" s="307">
        <f t="shared" ca="1" si="125"/>
        <v>18.619631790334353</v>
      </c>
      <c r="F275" s="304">
        <f t="shared" ca="1" si="126"/>
        <v>19.471652639645974</v>
      </c>
      <c r="G275" s="306">
        <f t="shared" ca="1" si="127"/>
        <v>59.126415701596024</v>
      </c>
      <c r="H275" s="307">
        <f t="shared" ca="1" si="128"/>
        <v>294.96497739505037</v>
      </c>
      <c r="I275" s="304">
        <f t="shared" ca="1" si="129"/>
        <v>300.83262941938415</v>
      </c>
      <c r="J275" s="306">
        <f t="shared" ca="1" si="130"/>
        <v>114.42307524271858</v>
      </c>
      <c r="K275" s="307">
        <f t="shared" ca="1" si="131"/>
        <v>596.56509455448929</v>
      </c>
      <c r="L275" s="304">
        <f t="shared" ca="1" si="116"/>
        <v>607.43934033680068</v>
      </c>
      <c r="M275" s="306">
        <f t="shared" ca="1" si="132"/>
        <v>1.372965876300372</v>
      </c>
      <c r="N275" s="304">
        <f t="shared" ca="1" si="133"/>
        <v>78.66515012749197</v>
      </c>
      <c r="P275" s="310">
        <f t="shared" ca="1" si="134"/>
        <v>7</v>
      </c>
      <c r="Q275" s="304">
        <f t="shared" ca="1" si="135"/>
        <v>471.1276595744709</v>
      </c>
      <c r="R275" s="306">
        <f t="shared" ca="1" si="136"/>
        <v>0.23643702169212941</v>
      </c>
      <c r="S275" s="307">
        <f t="shared" ca="1" si="137"/>
        <v>5.1997280062234745</v>
      </c>
      <c r="T275" s="304">
        <f t="shared" ca="1" si="117"/>
        <v>51.009331741052286</v>
      </c>
      <c r="U275" s="311">
        <f t="shared" ca="1" si="118"/>
        <v>0</v>
      </c>
      <c r="V275" s="306">
        <f t="shared" ca="1" si="119"/>
        <v>1.1540374645020337</v>
      </c>
      <c r="W275" s="304">
        <f t="shared" ca="1" si="120"/>
        <v>320.68099741069085</v>
      </c>
      <c r="Y275" s="314" t="str">
        <f t="shared" ca="1" si="138"/>
        <v/>
      </c>
      <c r="Z275" s="315" t="str">
        <f t="shared" ca="1" si="139"/>
        <v/>
      </c>
      <c r="AA275" s="316" t="str">
        <f t="shared" ca="1" si="140"/>
        <v/>
      </c>
      <c r="AC275" s="310" t="e">
        <f t="shared" ca="1" si="141"/>
        <v>#N/A</v>
      </c>
      <c r="AD275" s="323" t="e">
        <f t="shared" ca="1" si="142"/>
        <v>#N/A</v>
      </c>
      <c r="AE275" s="324">
        <f t="shared" ca="1" si="121"/>
        <v>596.56509455448929</v>
      </c>
      <c r="AG275" s="306">
        <f t="shared" ca="1" si="143"/>
        <v>19.376019466594634</v>
      </c>
      <c r="AH275" s="304">
        <f t="shared" ca="1" si="144"/>
        <v>28.994801814211318</v>
      </c>
    </row>
    <row r="276" spans="1:34" x14ac:dyDescent="0.2">
      <c r="A276" s="347">
        <f t="shared" ca="1" si="122"/>
        <v>0.01</v>
      </c>
      <c r="B276" s="304">
        <f t="shared" ca="1" si="123"/>
        <v>2.719999999999986</v>
      </c>
      <c r="D276" s="306">
        <f t="shared" ca="1" si="124"/>
        <v>5.6120118383348414</v>
      </c>
      <c r="E276" s="307">
        <f t="shared" ca="1" si="125"/>
        <v>18.186740972588815</v>
      </c>
      <c r="F276" s="304">
        <f t="shared" ca="1" si="126"/>
        <v>19.032924737875973</v>
      </c>
      <c r="G276" s="306">
        <f t="shared" ca="1" si="127"/>
        <v>59.182535819979371</v>
      </c>
      <c r="H276" s="307">
        <f t="shared" ca="1" si="128"/>
        <v>295.14684480477626</v>
      </c>
      <c r="I276" s="304">
        <f t="shared" ca="1" si="129"/>
        <v>301.02198016805653</v>
      </c>
      <c r="J276" s="306">
        <f t="shared" ca="1" si="130"/>
        <v>115.01462000032646</v>
      </c>
      <c r="K276" s="307">
        <f t="shared" ca="1" si="131"/>
        <v>599.51565366548846</v>
      </c>
      <c r="L276" s="304">
        <f t="shared" ca="1" si="116"/>
        <v>610.44850872434563</v>
      </c>
      <c r="M276" s="306">
        <f t="shared" ca="1" si="132"/>
        <v>1.3729018250794982</v>
      </c>
      <c r="N276" s="304">
        <f t="shared" ca="1" si="133"/>
        <v>78.66148026286325</v>
      </c>
      <c r="P276" s="310">
        <f t="shared" ca="1" si="134"/>
        <v>7</v>
      </c>
      <c r="Q276" s="304">
        <f t="shared" ca="1" si="135"/>
        <v>469.08510638298156</v>
      </c>
      <c r="R276" s="306">
        <f t="shared" ca="1" si="136"/>
        <v>0.23541195941138857</v>
      </c>
      <c r="S276" s="307">
        <f t="shared" ca="1" si="137"/>
        <v>5.1973738866293608</v>
      </c>
      <c r="T276" s="304">
        <f t="shared" ca="1" si="117"/>
        <v>50.986237827834032</v>
      </c>
      <c r="U276" s="311">
        <f t="shared" ca="1" si="118"/>
        <v>0</v>
      </c>
      <c r="V276" s="306">
        <f t="shared" ca="1" si="119"/>
        <v>1.1536967045160076</v>
      </c>
      <c r="W276" s="304">
        <f t="shared" ca="1" si="120"/>
        <v>320.99000320592751</v>
      </c>
      <c r="Y276" s="314" t="str">
        <f t="shared" ca="1" si="138"/>
        <v/>
      </c>
      <c r="Z276" s="315" t="str">
        <f t="shared" ca="1" si="139"/>
        <v/>
      </c>
      <c r="AA276" s="316" t="str">
        <f t="shared" ca="1" si="140"/>
        <v/>
      </c>
      <c r="AC276" s="310" t="e">
        <f t="shared" ca="1" si="141"/>
        <v>#N/A</v>
      </c>
      <c r="AD276" s="323" t="e">
        <f t="shared" ca="1" si="142"/>
        <v>#N/A</v>
      </c>
      <c r="AE276" s="324">
        <f t="shared" ca="1" si="121"/>
        <v>599.51565366548846</v>
      </c>
      <c r="AG276" s="306">
        <f t="shared" ca="1" si="143"/>
        <v>18.935013119218247</v>
      </c>
      <c r="AH276" s="304">
        <f t="shared" ca="1" si="144"/>
        <v>28.553671952304907</v>
      </c>
    </row>
    <row r="277" spans="1:34" x14ac:dyDescent="0.2">
      <c r="A277" s="347">
        <f t="shared" ca="1" si="122"/>
        <v>0.01</v>
      </c>
      <c r="B277" s="304">
        <f t="shared" ca="1" si="123"/>
        <v>2.7299999999999858</v>
      </c>
      <c r="D277" s="306">
        <f t="shared" ca="1" si="124"/>
        <v>5.527343360167424</v>
      </c>
      <c r="E277" s="307">
        <f t="shared" ca="1" si="125"/>
        <v>17.755191830717571</v>
      </c>
      <c r="F277" s="304">
        <f t="shared" ca="1" si="126"/>
        <v>18.595654373179958</v>
      </c>
      <c r="G277" s="306">
        <f t="shared" ca="1" si="127"/>
        <v>59.237809253581048</v>
      </c>
      <c r="H277" s="307">
        <f t="shared" ca="1" si="128"/>
        <v>295.32439672308345</v>
      </c>
      <c r="I277" s="304">
        <f t="shared" ca="1" si="129"/>
        <v>301.20693442385556</v>
      </c>
      <c r="J277" s="306">
        <f t="shared" ca="1" si="130"/>
        <v>115.60672172569426</v>
      </c>
      <c r="K277" s="307">
        <f t="shared" ca="1" si="131"/>
        <v>602.46800987312781</v>
      </c>
      <c r="L277" s="304">
        <f t="shared" ca="1" si="116"/>
        <v>613.45954799697211</v>
      </c>
      <c r="M277" s="306">
        <f t="shared" ca="1" si="132"/>
        <v>1.3728377927350723</v>
      </c>
      <c r="N277" s="304">
        <f t="shared" ca="1" si="133"/>
        <v>78.657811479775319</v>
      </c>
      <c r="P277" s="310">
        <f t="shared" ca="1" si="134"/>
        <v>7</v>
      </c>
      <c r="Q277" s="304">
        <f t="shared" ca="1" si="135"/>
        <v>467.04255319149229</v>
      </c>
      <c r="R277" s="306">
        <f t="shared" ca="1" si="136"/>
        <v>0.23438689713064778</v>
      </c>
      <c r="S277" s="307">
        <f t="shared" ca="1" si="137"/>
        <v>5.1950300176580546</v>
      </c>
      <c r="T277" s="304">
        <f t="shared" ca="1" si="117"/>
        <v>50.963244473225515</v>
      </c>
      <c r="U277" s="311">
        <f t="shared" ca="1" si="118"/>
        <v>0</v>
      </c>
      <c r="V277" s="306">
        <f t="shared" ca="1" si="119"/>
        <v>1.1533558346756416</v>
      </c>
      <c r="W277" s="304">
        <f t="shared" ca="1" si="120"/>
        <v>321.28961454628256</v>
      </c>
      <c r="Y277" s="314" t="str">
        <f t="shared" ca="1" si="138"/>
        <v/>
      </c>
      <c r="Z277" s="315" t="str">
        <f t="shared" ca="1" si="139"/>
        <v/>
      </c>
      <c r="AA277" s="316" t="str">
        <f t="shared" ca="1" si="140"/>
        <v/>
      </c>
      <c r="AC277" s="310" t="e">
        <f t="shared" ca="1" si="141"/>
        <v>#N/A</v>
      </c>
      <c r="AD277" s="323" t="e">
        <f t="shared" ca="1" si="142"/>
        <v>#N/A</v>
      </c>
      <c r="AE277" s="324">
        <f t="shared" ca="1" si="121"/>
        <v>602.46800987312781</v>
      </c>
      <c r="AG277" s="306">
        <f t="shared" ca="1" si="143"/>
        <v>18.495363830355508</v>
      </c>
      <c r="AH277" s="304">
        <f t="shared" ca="1" si="144"/>
        <v>28.113899147671528</v>
      </c>
    </row>
    <row r="278" spans="1:34" x14ac:dyDescent="0.2">
      <c r="A278" s="347">
        <f t="shared" ca="1" si="122"/>
        <v>0.01</v>
      </c>
      <c r="B278" s="304">
        <f t="shared" ca="1" si="123"/>
        <v>2.7399999999999856</v>
      </c>
      <c r="D278" s="306">
        <f t="shared" ca="1" si="124"/>
        <v>5.4428860934884398</v>
      </c>
      <c r="E278" s="307">
        <f t="shared" ca="1" si="125"/>
        <v>17.324984771482953</v>
      </c>
      <c r="F278" s="304">
        <f t="shared" ca="1" si="126"/>
        <v>18.159848742729274</v>
      </c>
      <c r="G278" s="306">
        <f t="shared" ca="1" si="127"/>
        <v>59.292238114515932</v>
      </c>
      <c r="H278" s="307">
        <f t="shared" ca="1" si="128"/>
        <v>295.49764657079828</v>
      </c>
      <c r="I278" s="304">
        <f t="shared" ca="1" si="129"/>
        <v>301.38750576211493</v>
      </c>
      <c r="J278" s="306">
        <f t="shared" ca="1" si="130"/>
        <v>116.19937196253474</v>
      </c>
      <c r="K278" s="307">
        <f t="shared" ca="1" si="131"/>
        <v>605.42212008959723</v>
      </c>
      <c r="L278" s="304">
        <f t="shared" ca="1" si="116"/>
        <v>616.47241425571531</v>
      </c>
      <c r="M278" s="306">
        <f t="shared" ca="1" si="132"/>
        <v>1.3727737783192995</v>
      </c>
      <c r="N278" s="304">
        <f t="shared" ca="1" si="133"/>
        <v>78.654143723923539</v>
      </c>
      <c r="P278" s="310">
        <f t="shared" ca="1" si="134"/>
        <v>7</v>
      </c>
      <c r="Q278" s="304">
        <f t="shared" ca="1" si="135"/>
        <v>465.00000000000296</v>
      </c>
      <c r="R278" s="306">
        <f t="shared" ca="1" si="136"/>
        <v>0.23336183484990697</v>
      </c>
      <c r="S278" s="307">
        <f t="shared" ca="1" si="137"/>
        <v>5.1926963993095558</v>
      </c>
      <c r="T278" s="304">
        <f t="shared" ca="1" si="117"/>
        <v>50.940351677226744</v>
      </c>
      <c r="U278" s="311">
        <f t="shared" ca="1" si="118"/>
        <v>0</v>
      </c>
      <c r="V278" s="306">
        <f t="shared" ca="1" si="119"/>
        <v>1.1530148600899874</v>
      </c>
      <c r="W278" s="304">
        <f t="shared" ca="1" si="120"/>
        <v>321.57985253189048</v>
      </c>
      <c r="Y278" s="314" t="str">
        <f t="shared" ca="1" si="138"/>
        <v/>
      </c>
      <c r="Z278" s="315" t="str">
        <f t="shared" ca="1" si="139"/>
        <v/>
      </c>
      <c r="AA278" s="316" t="str">
        <f t="shared" ca="1" si="140"/>
        <v/>
      </c>
      <c r="AC278" s="310" t="e">
        <f t="shared" ca="1" si="141"/>
        <v>#N/A</v>
      </c>
      <c r="AD278" s="323" t="e">
        <f t="shared" ca="1" si="142"/>
        <v>#N/A</v>
      </c>
      <c r="AE278" s="324">
        <f t="shared" ca="1" si="121"/>
        <v>605.42212008959723</v>
      </c>
      <c r="AG278" s="306">
        <f t="shared" ca="1" si="143"/>
        <v>18.057072073965792</v>
      </c>
      <c r="AH278" s="304">
        <f t="shared" ca="1" si="144"/>
        <v>27.675483872469179</v>
      </c>
    </row>
    <row r="279" spans="1:34" x14ac:dyDescent="0.2">
      <c r="A279" s="347">
        <f t="shared" ca="1" si="122"/>
        <v>0.01</v>
      </c>
      <c r="B279" s="304">
        <f t="shared" ca="1" si="123"/>
        <v>2.7499999999999853</v>
      </c>
      <c r="D279" s="306">
        <f t="shared" ca="1" si="124"/>
        <v>5.3586404161897985</v>
      </c>
      <c r="E279" s="307">
        <f t="shared" ca="1" si="125"/>
        <v>16.896120095263939</v>
      </c>
      <c r="F279" s="304">
        <f t="shared" ca="1" si="126"/>
        <v>17.725515546341796</v>
      </c>
      <c r="G279" s="306">
        <f t="shared" ca="1" si="127"/>
        <v>59.34582451867783</v>
      </c>
      <c r="H279" s="307">
        <f t="shared" ca="1" si="128"/>
        <v>295.66660777175093</v>
      </c>
      <c r="I279" s="304">
        <f t="shared" ca="1" si="129"/>
        <v>301.56370776181956</v>
      </c>
      <c r="J279" s="306">
        <f t="shared" ca="1" si="130"/>
        <v>116.7925622757007</v>
      </c>
      <c r="K279" s="307">
        <f t="shared" ca="1" si="131"/>
        <v>608.37794136130992</v>
      </c>
      <c r="L279" s="304">
        <f t="shared" ca="1" si="116"/>
        <v>619.48706373737048</v>
      </c>
      <c r="M279" s="306">
        <f t="shared" ca="1" si="132"/>
        <v>1.3727097808894482</v>
      </c>
      <c r="N279" s="304">
        <f t="shared" ca="1" si="133"/>
        <v>78.650476941293363</v>
      </c>
      <c r="P279" s="310">
        <f t="shared" ca="1" si="134"/>
        <v>7</v>
      </c>
      <c r="Q279" s="304">
        <f t="shared" ca="1" si="135"/>
        <v>462.95744680851362</v>
      </c>
      <c r="R279" s="306">
        <f t="shared" ca="1" si="136"/>
        <v>0.23233677256916616</v>
      </c>
      <c r="S279" s="307">
        <f t="shared" ca="1" si="137"/>
        <v>5.1903730315838645</v>
      </c>
      <c r="T279" s="304">
        <f t="shared" ca="1" si="117"/>
        <v>50.917559439837717</v>
      </c>
      <c r="U279" s="311">
        <f t="shared" ca="1" si="118"/>
        <v>0</v>
      </c>
      <c r="V279" s="306">
        <f t="shared" ca="1" si="119"/>
        <v>1.1526737858468863</v>
      </c>
      <c r="W279" s="304">
        <f t="shared" ca="1" si="120"/>
        <v>321.86073874097951</v>
      </c>
      <c r="Y279" s="314" t="str">
        <f t="shared" ca="1" si="138"/>
        <v/>
      </c>
      <c r="Z279" s="315" t="str">
        <f t="shared" ca="1" si="139"/>
        <v/>
      </c>
      <c r="AA279" s="316" t="str">
        <f t="shared" ca="1" si="140"/>
        <v/>
      </c>
      <c r="AC279" s="310" t="e">
        <f t="shared" ca="1" si="141"/>
        <v>#N/A</v>
      </c>
      <c r="AD279" s="323" t="e">
        <f t="shared" ca="1" si="142"/>
        <v>#N/A</v>
      </c>
      <c r="AE279" s="324">
        <f t="shared" ca="1" si="121"/>
        <v>608.37794136130992</v>
      </c>
      <c r="AG279" s="306">
        <f t="shared" ca="1" si="143"/>
        <v>17.62013821517348</v>
      </c>
      <c r="AH279" s="304">
        <f t="shared" ca="1" si="144"/>
        <v>27.238426490028438</v>
      </c>
    </row>
    <row r="280" spans="1:34" x14ac:dyDescent="0.2">
      <c r="A280" s="347">
        <f t="shared" ca="1" si="122"/>
        <v>0.01</v>
      </c>
      <c r="B280" s="304">
        <f t="shared" ca="1" si="123"/>
        <v>2.7599999999999851</v>
      </c>
      <c r="D280" s="306">
        <f t="shared" ca="1" si="124"/>
        <v>5.2746066831679981</v>
      </c>
      <c r="E280" s="307">
        <f t="shared" ca="1" si="125"/>
        <v>16.468597997263657</v>
      </c>
      <c r="F280" s="304">
        <f t="shared" ca="1" si="126"/>
        <v>17.292663058580569</v>
      </c>
      <c r="G280" s="306">
        <f t="shared" ca="1" si="127"/>
        <v>59.398570585509511</v>
      </c>
      <c r="H280" s="307">
        <f t="shared" ca="1" si="128"/>
        <v>295.83129375172359</v>
      </c>
      <c r="I280" s="304">
        <f t="shared" ca="1" si="129"/>
        <v>301.73555400452949</v>
      </c>
      <c r="J280" s="306">
        <f t="shared" ca="1" si="130"/>
        <v>117.38628425122164</v>
      </c>
      <c r="K280" s="307">
        <f t="shared" ca="1" si="131"/>
        <v>611.33543086892735</v>
      </c>
      <c r="L280" s="304">
        <f t="shared" ca="1" si="116"/>
        <v>622.50345281452508</v>
      </c>
      <c r="M280" s="306">
        <f t="shared" ca="1" si="132"/>
        <v>1.3726457995077559</v>
      </c>
      <c r="N280" s="304">
        <f t="shared" ca="1" si="133"/>
        <v>78.646811078154983</v>
      </c>
      <c r="P280" s="310">
        <f t="shared" ca="1" si="134"/>
        <v>7</v>
      </c>
      <c r="Q280" s="304">
        <f t="shared" ca="1" si="135"/>
        <v>460.91489361702429</v>
      </c>
      <c r="R280" s="306">
        <f t="shared" ca="1" si="136"/>
        <v>0.23131171028842534</v>
      </c>
      <c r="S280" s="307">
        <f t="shared" ca="1" si="137"/>
        <v>5.1880599144809807</v>
      </c>
      <c r="T280" s="304">
        <f t="shared" ca="1" si="117"/>
        <v>50.894867761058421</v>
      </c>
      <c r="U280" s="311">
        <f t="shared" ca="1" si="118"/>
        <v>0</v>
      </c>
      <c r="V280" s="306">
        <f t="shared" ca="1" si="119"/>
        <v>1.1523326170129808</v>
      </c>
      <c r="W280" s="304">
        <f t="shared" ca="1" si="120"/>
        <v>322.13229522222878</v>
      </c>
      <c r="Y280" s="314" t="str">
        <f t="shared" ca="1" si="138"/>
        <v/>
      </c>
      <c r="Z280" s="315" t="str">
        <f t="shared" ca="1" si="139"/>
        <v/>
      </c>
      <c r="AA280" s="316" t="str">
        <f t="shared" ca="1" si="140"/>
        <v/>
      </c>
      <c r="AC280" s="310" t="e">
        <f t="shared" ca="1" si="141"/>
        <v>#N/A</v>
      </c>
      <c r="AD280" s="323" t="e">
        <f t="shared" ca="1" si="142"/>
        <v>#N/A</v>
      </c>
      <c r="AE280" s="324">
        <f t="shared" ca="1" si="121"/>
        <v>611.33543086892735</v>
      </c>
      <c r="AG280" s="306">
        <f t="shared" ca="1" si="143"/>
        <v>17.184562511497429</v>
      </c>
      <c r="AH280" s="304">
        <f t="shared" ca="1" si="144"/>
        <v>26.802727256081798</v>
      </c>
    </row>
    <row r="281" spans="1:34" x14ac:dyDescent="0.2">
      <c r="A281" s="347">
        <f t="shared" ca="1" si="122"/>
        <v>0.01</v>
      </c>
      <c r="B281" s="304">
        <f t="shared" ca="1" si="123"/>
        <v>2.7699999999999849</v>
      </c>
      <c r="D281" s="306">
        <f t="shared" ca="1" si="124"/>
        <v>5.1907852265579661</v>
      </c>
      <c r="E281" s="307">
        <f t="shared" ca="1" si="125"/>
        <v>16.042418568715377</v>
      </c>
      <c r="F281" s="304">
        <f t="shared" ca="1" si="126"/>
        <v>16.861300210900591</v>
      </c>
      <c r="G281" s="306">
        <f t="shared" ca="1" si="127"/>
        <v>59.450478437775089</v>
      </c>
      <c r="H281" s="307">
        <f t="shared" ca="1" si="128"/>
        <v>295.99171793741073</v>
      </c>
      <c r="I281" s="304">
        <f t="shared" ca="1" si="129"/>
        <v>301.90305807331612</v>
      </c>
      <c r="J281" s="306">
        <f t="shared" ca="1" si="130"/>
        <v>117.98052949633806</v>
      </c>
      <c r="K281" s="307">
        <f t="shared" ca="1" si="131"/>
        <v>614.29454592737306</v>
      </c>
      <c r="L281" s="304">
        <f t="shared" ca="1" si="116"/>
        <v>625.52153799557834</v>
      </c>
      <c r="M281" s="306">
        <f t="shared" ca="1" si="132"/>
        <v>1.3725818332413346</v>
      </c>
      <c r="N281" s="304">
        <f t="shared" ca="1" si="133"/>
        <v>78.643146081057836</v>
      </c>
      <c r="P281" s="310">
        <f t="shared" ca="1" si="134"/>
        <v>7</v>
      </c>
      <c r="Q281" s="304">
        <f t="shared" ca="1" si="135"/>
        <v>458.87234042553501</v>
      </c>
      <c r="R281" s="306">
        <f t="shared" ca="1" si="136"/>
        <v>0.23028664800768453</v>
      </c>
      <c r="S281" s="307">
        <f t="shared" ca="1" si="137"/>
        <v>5.1857570480009034</v>
      </c>
      <c r="T281" s="304">
        <f t="shared" ca="1" si="117"/>
        <v>50.872276640888863</v>
      </c>
      <c r="U281" s="311">
        <f t="shared" ca="1" si="118"/>
        <v>0</v>
      </c>
      <c r="V281" s="306">
        <f t="shared" ca="1" si="119"/>
        <v>1.15199135863374</v>
      </c>
      <c r="W281" s="304">
        <f t="shared" ca="1" si="120"/>
        <v>322.39454448717368</v>
      </c>
      <c r="Y281" s="314" t="str">
        <f t="shared" ca="1" si="138"/>
        <v/>
      </c>
      <c r="Z281" s="315" t="str">
        <f t="shared" ca="1" si="139"/>
        <v/>
      </c>
      <c r="AA281" s="316" t="str">
        <f t="shared" ca="1" si="140"/>
        <v/>
      </c>
      <c r="AC281" s="310" t="e">
        <f t="shared" ca="1" si="141"/>
        <v>#N/A</v>
      </c>
      <c r="AD281" s="323" t="e">
        <f t="shared" ca="1" si="142"/>
        <v>#N/A</v>
      </c>
      <c r="AE281" s="324">
        <f t="shared" ca="1" si="121"/>
        <v>614.29454592737306</v>
      </c>
      <c r="AG281" s="306">
        <f t="shared" ca="1" si="143"/>
        <v>16.750345114078918</v>
      </c>
      <c r="AH281" s="304">
        <f t="shared" ca="1" si="144"/>
        <v>26.368386319991444</v>
      </c>
    </row>
    <row r="282" spans="1:34" x14ac:dyDescent="0.2">
      <c r="A282" s="347">
        <f t="shared" ca="1" si="122"/>
        <v>0.01</v>
      </c>
      <c r="B282" s="304">
        <f t="shared" ca="1" si="123"/>
        <v>2.7799999999999847</v>
      </c>
      <c r="D282" s="306">
        <f t="shared" ca="1" si="124"/>
        <v>5.1071763559664705</v>
      </c>
      <c r="E282" s="307">
        <f t="shared" ca="1" si="125"/>
        <v>15.617581798085441</v>
      </c>
      <c r="F282" s="304">
        <f t="shared" ca="1" si="126"/>
        <v>16.431436685537655</v>
      </c>
      <c r="G282" s="306">
        <f t="shared" ca="1" si="127"/>
        <v>59.501550201334751</v>
      </c>
      <c r="H282" s="307">
        <f t="shared" ca="1" si="128"/>
        <v>296.14789375539158</v>
      </c>
      <c r="I282" s="304">
        <f t="shared" ca="1" si="129"/>
        <v>302.06623355171075</v>
      </c>
      <c r="J282" s="306">
        <f t="shared" ca="1" si="130"/>
        <v>118.57528963953361</v>
      </c>
      <c r="K282" s="307">
        <f t="shared" ca="1" si="131"/>
        <v>617.25524398583707</v>
      </c>
      <c r="L282" s="304">
        <f t="shared" ca="1" si="116"/>
        <v>628.5412759247514</v>
      </c>
      <c r="M282" s="306">
        <f t="shared" ca="1" si="132"/>
        <v>1.3725178811620793</v>
      </c>
      <c r="N282" s="304">
        <f t="shared" ca="1" si="133"/>
        <v>78.639481896825416</v>
      </c>
      <c r="P282" s="310">
        <f t="shared" ca="1" si="134"/>
        <v>7</v>
      </c>
      <c r="Q282" s="304">
        <f t="shared" ca="1" si="135"/>
        <v>456.82978723404568</v>
      </c>
      <c r="R282" s="306">
        <f t="shared" ca="1" si="136"/>
        <v>0.22926158572694372</v>
      </c>
      <c r="S282" s="307">
        <f t="shared" ca="1" si="137"/>
        <v>5.1834644321436336</v>
      </c>
      <c r="T282" s="304">
        <f t="shared" ca="1" si="117"/>
        <v>50.84978607932905</v>
      </c>
      <c r="U282" s="311">
        <f t="shared" ca="1" si="118"/>
        <v>0</v>
      </c>
      <c r="V282" s="306">
        <f t="shared" ca="1" si="119"/>
        <v>1.1516500157334746</v>
      </c>
      <c r="W282" s="304">
        <f t="shared" ca="1" si="120"/>
        <v>322.64750950265386</v>
      </c>
      <c r="Y282" s="314" t="str">
        <f t="shared" ca="1" si="138"/>
        <v/>
      </c>
      <c r="Z282" s="315" t="str">
        <f t="shared" ca="1" si="139"/>
        <v/>
      </c>
      <c r="AA282" s="316" t="str">
        <f t="shared" ca="1" si="140"/>
        <v/>
      </c>
      <c r="AC282" s="310" t="e">
        <f t="shared" ca="1" si="141"/>
        <v>#N/A</v>
      </c>
      <c r="AD282" s="323" t="e">
        <f t="shared" ca="1" si="142"/>
        <v>#N/A</v>
      </c>
      <c r="AE282" s="324">
        <f t="shared" ca="1" si="121"/>
        <v>617.25524398583707</v>
      </c>
      <c r="AG282" s="306">
        <f t="shared" ca="1" si="143"/>
        <v>16.317486068906632</v>
      </c>
      <c r="AH282" s="304">
        <f t="shared" ca="1" si="144"/>
        <v>25.935403725974059</v>
      </c>
    </row>
    <row r="283" spans="1:34" x14ac:dyDescent="0.2">
      <c r="A283" s="347">
        <f t="shared" ca="1" si="122"/>
        <v>0.01</v>
      </c>
      <c r="B283" s="304">
        <f t="shared" ca="1" si="123"/>
        <v>2.7899999999999845</v>
      </c>
      <c r="D283" s="306">
        <f t="shared" ca="1" si="124"/>
        <v>5.0237803587052712</v>
      </c>
      <c r="E283" s="307">
        <f t="shared" ca="1" si="125"/>
        <v>15.19408757227467</v>
      </c>
      <c r="F283" s="304">
        <f t="shared" ca="1" si="126"/>
        <v>16.003083023169768</v>
      </c>
      <c r="G283" s="306">
        <f t="shared" ca="1" si="127"/>
        <v>59.551788004921804</v>
      </c>
      <c r="H283" s="307">
        <f t="shared" ca="1" si="128"/>
        <v>296.29983463111432</v>
      </c>
      <c r="I283" s="304">
        <f t="shared" ca="1" si="129"/>
        <v>302.22509402266525</v>
      </c>
      <c r="J283" s="306">
        <f t="shared" ca="1" si="130"/>
        <v>119.17055633056489</v>
      </c>
      <c r="K283" s="307">
        <f t="shared" ca="1" si="131"/>
        <v>620.21748262776964</v>
      </c>
      <c r="L283" s="304">
        <f t="shared" ca="1" si="116"/>
        <v>631.56262338208717</v>
      </c>
      <c r="M283" s="306">
        <f t="shared" ca="1" si="132"/>
        <v>1.3724539423465758</v>
      </c>
      <c r="N283" s="304">
        <f t="shared" ca="1" si="133"/>
        <v>78.63581847255</v>
      </c>
      <c r="P283" s="310">
        <f t="shared" ca="1" si="134"/>
        <v>7</v>
      </c>
      <c r="Q283" s="304">
        <f t="shared" ca="1" si="135"/>
        <v>454.78723404255635</v>
      </c>
      <c r="R283" s="306">
        <f t="shared" ca="1" si="136"/>
        <v>0.2282365234462029</v>
      </c>
      <c r="S283" s="307">
        <f t="shared" ca="1" si="137"/>
        <v>5.1811820669091713</v>
      </c>
      <c r="T283" s="304">
        <f t="shared" ca="1" si="117"/>
        <v>50.827396076378974</v>
      </c>
      <c r="U283" s="311">
        <f t="shared" ca="1" si="118"/>
        <v>0</v>
      </c>
      <c r="V283" s="306">
        <f t="shared" ca="1" si="119"/>
        <v>1.1513085933153606</v>
      </c>
      <c r="W283" s="304">
        <f t="shared" ca="1" si="120"/>
        <v>322.8912136833095</v>
      </c>
      <c r="Y283" s="314" t="str">
        <f t="shared" ca="1" si="138"/>
        <v/>
      </c>
      <c r="Z283" s="315" t="str">
        <f t="shared" ca="1" si="139"/>
        <v/>
      </c>
      <c r="AA283" s="316" t="str">
        <f t="shared" ca="1" si="140"/>
        <v/>
      </c>
      <c r="AC283" s="310" t="e">
        <f t="shared" ca="1" si="141"/>
        <v>#N/A</v>
      </c>
      <c r="AD283" s="323" t="e">
        <f t="shared" ca="1" si="142"/>
        <v>#N/A</v>
      </c>
      <c r="AE283" s="324">
        <f t="shared" ca="1" si="121"/>
        <v>620.21748262776964</v>
      </c>
      <c r="AG283" s="306">
        <f t="shared" ca="1" si="143"/>
        <v>15.885985318039927</v>
      </c>
      <c r="AH283" s="304">
        <f t="shared" ca="1" si="144"/>
        <v>25.50377941432394</v>
      </c>
    </row>
    <row r="284" spans="1:34" x14ac:dyDescent="0.2">
      <c r="A284" s="347">
        <f t="shared" ca="1" si="122"/>
        <v>0.01</v>
      </c>
      <c r="B284" s="304">
        <f t="shared" ca="1" si="123"/>
        <v>2.7999999999999843</v>
      </c>
      <c r="D284" s="306">
        <f t="shared" ca="1" si="124"/>
        <v>4.9405975000238236</v>
      </c>
      <c r="E284" s="307">
        <f t="shared" ca="1" si="125"/>
        <v>14.771935677816577</v>
      </c>
      <c r="F284" s="304">
        <f t="shared" ca="1" si="126"/>
        <v>15.5762507467873</v>
      </c>
      <c r="G284" s="306">
        <f t="shared" ca="1" si="127"/>
        <v>59.601193979922044</v>
      </c>
      <c r="H284" s="307">
        <f t="shared" ca="1" si="128"/>
        <v>296.44755398789249</v>
      </c>
      <c r="I284" s="304">
        <f t="shared" ca="1" si="129"/>
        <v>302.37965306752494</v>
      </c>
      <c r="J284" s="306">
        <f t="shared" ca="1" si="130"/>
        <v>119.76632124048911</v>
      </c>
      <c r="K284" s="307">
        <f t="shared" ca="1" si="131"/>
        <v>623.18121957086464</v>
      </c>
      <c r="L284" s="304">
        <f t="shared" ca="1" si="116"/>
        <v>634.5855372834385</v>
      </c>
      <c r="M284" s="306">
        <f t="shared" ca="1" si="132"/>
        <v>1.3723900158760103</v>
      </c>
      <c r="N284" s="304">
        <f t="shared" ca="1" si="133"/>
        <v>78.632155755587434</v>
      </c>
      <c r="P284" s="310">
        <f t="shared" ca="1" si="134"/>
        <v>7</v>
      </c>
      <c r="Q284" s="304">
        <f t="shared" ca="1" si="135"/>
        <v>452.74468085106707</v>
      </c>
      <c r="R284" s="306">
        <f t="shared" ca="1" si="136"/>
        <v>0.22721146116546212</v>
      </c>
      <c r="S284" s="307">
        <f t="shared" ca="1" si="137"/>
        <v>5.1789099522975164</v>
      </c>
      <c r="T284" s="304">
        <f t="shared" ca="1" si="117"/>
        <v>50.805106632038637</v>
      </c>
      <c r="U284" s="311">
        <f t="shared" ca="1" si="118"/>
        <v>0</v>
      </c>
      <c r="V284" s="306">
        <f t="shared" ca="1" si="119"/>
        <v>1.1509670963614607</v>
      </c>
      <c r="W284" s="304">
        <f t="shared" ca="1" si="120"/>
        <v>323.12568088412326</v>
      </c>
      <c r="Y284" s="314" t="str">
        <f t="shared" ca="1" si="138"/>
        <v/>
      </c>
      <c r="Z284" s="315" t="str">
        <f t="shared" ca="1" si="139"/>
        <v/>
      </c>
      <c r="AA284" s="316" t="str">
        <f t="shared" ca="1" si="140"/>
        <v/>
      </c>
      <c r="AC284" s="310" t="e">
        <f t="shared" ca="1" si="141"/>
        <v>#N/A</v>
      </c>
      <c r="AD284" s="323" t="e">
        <f t="shared" ca="1" si="142"/>
        <v>#N/A</v>
      </c>
      <c r="AE284" s="324">
        <f t="shared" ca="1" si="121"/>
        <v>623.18121957086464</v>
      </c>
      <c r="AG284" s="306">
        <f t="shared" ca="1" si="143"/>
        <v>15.455842700829022</v>
      </c>
      <c r="AH284" s="304">
        <f t="shared" ca="1" si="144"/>
        <v>25.073513222633029</v>
      </c>
    </row>
    <row r="285" spans="1:34" x14ac:dyDescent="0.2">
      <c r="A285" s="347">
        <f t="shared" ca="1" si="122"/>
        <v>0.01</v>
      </c>
      <c r="B285" s="304">
        <f t="shared" ca="1" si="123"/>
        <v>2.8099999999999841</v>
      </c>
      <c r="D285" s="306">
        <f t="shared" ca="1" si="124"/>
        <v>4.8576280233416087</v>
      </c>
      <c r="E285" s="307">
        <f t="shared" ca="1" si="125"/>
        <v>14.351125802073136</v>
      </c>
      <c r="F285" s="304">
        <f t="shared" ca="1" si="126"/>
        <v>15.150952504713459</v>
      </c>
      <c r="G285" s="306">
        <f t="shared" ca="1" si="127"/>
        <v>59.649770260155464</v>
      </c>
      <c r="H285" s="307">
        <f t="shared" ca="1" si="128"/>
        <v>296.59106524591323</v>
      </c>
      <c r="I285" s="304">
        <f t="shared" ca="1" si="129"/>
        <v>302.52992426501362</v>
      </c>
      <c r="J285" s="306">
        <f t="shared" ca="1" si="130"/>
        <v>120.3625760616895</v>
      </c>
      <c r="K285" s="307">
        <f t="shared" ca="1" si="131"/>
        <v>626.1464126670337</v>
      </c>
      <c r="L285" s="304">
        <f t="shared" ca="1" si="116"/>
        <v>637.60997468044775</v>
      </c>
      <c r="M285" s="306">
        <f t="shared" ca="1" si="132"/>
        <v>1.372326100836081</v>
      </c>
      <c r="N285" s="304">
        <f t="shared" ca="1" si="133"/>
        <v>78.628493693552073</v>
      </c>
      <c r="P285" s="310">
        <f t="shared" ca="1" si="134"/>
        <v>7</v>
      </c>
      <c r="Q285" s="304">
        <f t="shared" ca="1" si="135"/>
        <v>450.70212765957774</v>
      </c>
      <c r="R285" s="306">
        <f t="shared" ca="1" si="136"/>
        <v>0.22618639888472128</v>
      </c>
      <c r="S285" s="307">
        <f t="shared" ca="1" si="137"/>
        <v>5.176648088308669</v>
      </c>
      <c r="T285" s="304">
        <f t="shared" ca="1" si="117"/>
        <v>50.782917746308044</v>
      </c>
      <c r="U285" s="311">
        <f t="shared" ca="1" si="118"/>
        <v>0</v>
      </c>
      <c r="V285" s="306">
        <f t="shared" ca="1" si="119"/>
        <v>1.1506255298327503</v>
      </c>
      <c r="W285" s="304">
        <f t="shared" ca="1" si="120"/>
        <v>323.35093539301118</v>
      </c>
      <c r="Y285" s="314" t="str">
        <f t="shared" ca="1" si="138"/>
        <v/>
      </c>
      <c r="Z285" s="315" t="str">
        <f t="shared" ca="1" si="139"/>
        <v/>
      </c>
      <c r="AA285" s="316" t="str">
        <f t="shared" ca="1" si="140"/>
        <v/>
      </c>
      <c r="AC285" s="310" t="e">
        <f t="shared" ca="1" si="141"/>
        <v>#N/A</v>
      </c>
      <c r="AD285" s="323" t="e">
        <f t="shared" ca="1" si="142"/>
        <v>#N/A</v>
      </c>
      <c r="AE285" s="324">
        <f t="shared" ca="1" si="121"/>
        <v>626.1464126670337</v>
      </c>
      <c r="AG285" s="306">
        <f t="shared" ca="1" si="143"/>
        <v>15.027057955132655</v>
      </c>
      <c r="AH285" s="304">
        <f t="shared" ca="1" si="144"/>
        <v>24.644604887008395</v>
      </c>
    </row>
    <row r="286" spans="1:34" x14ac:dyDescent="0.2">
      <c r="A286" s="347">
        <f t="shared" ca="1" si="122"/>
        <v>0.01</v>
      </c>
      <c r="B286" s="304">
        <f t="shared" ca="1" si="123"/>
        <v>2.8199999999999839</v>
      </c>
      <c r="D286" s="306">
        <f t="shared" ca="1" si="124"/>
        <v>4.7748721504799221</v>
      </c>
      <c r="E286" s="307">
        <f t="shared" ca="1" si="125"/>
        <v>13.931657534427417</v>
      </c>
      <c r="F286" s="304">
        <f t="shared" ca="1" si="126"/>
        <v>14.727202236337932</v>
      </c>
      <c r="G286" s="306">
        <f t="shared" ca="1" si="127"/>
        <v>59.697518981660259</v>
      </c>
      <c r="H286" s="307">
        <f t="shared" ca="1" si="128"/>
        <v>296.73038182125748</v>
      </c>
      <c r="I286" s="304">
        <f t="shared" ca="1" si="129"/>
        <v>302.67592119023101</v>
      </c>
      <c r="J286" s="306">
        <f t="shared" ca="1" si="130"/>
        <v>120.95931250789857</v>
      </c>
      <c r="K286" s="307">
        <f t="shared" ca="1" si="131"/>
        <v>629.1130199023695</v>
      </c>
      <c r="L286" s="304">
        <f t="shared" ca="1" si="116"/>
        <v>640.6358927605155</v>
      </c>
      <c r="M286" s="306">
        <f t="shared" ca="1" si="132"/>
        <v>1.3722621963169088</v>
      </c>
      <c r="N286" s="304">
        <f t="shared" ca="1" si="133"/>
        <v>78.624832234311697</v>
      </c>
      <c r="P286" s="310">
        <f t="shared" ca="1" si="134"/>
        <v>7</v>
      </c>
      <c r="Q286" s="304">
        <f t="shared" ca="1" si="135"/>
        <v>448.65957446808841</v>
      </c>
      <c r="R286" s="306">
        <f t="shared" ca="1" si="136"/>
        <v>0.22516133660398047</v>
      </c>
      <c r="S286" s="307">
        <f t="shared" ca="1" si="137"/>
        <v>5.174396474942629</v>
      </c>
      <c r="T286" s="304">
        <f t="shared" ca="1" si="117"/>
        <v>50.760829419187196</v>
      </c>
      <c r="U286" s="311">
        <f t="shared" ca="1" si="118"/>
        <v>0</v>
      </c>
      <c r="V286" s="306">
        <f t="shared" ca="1" si="119"/>
        <v>1.1502838986691395</v>
      </c>
      <c r="W286" s="304">
        <f t="shared" ca="1" si="120"/>
        <v>323.56700192346057</v>
      </c>
      <c r="Y286" s="314" t="str">
        <f t="shared" ca="1" si="138"/>
        <v/>
      </c>
      <c r="Z286" s="315" t="str">
        <f t="shared" ca="1" si="139"/>
        <v/>
      </c>
      <c r="AA286" s="316" t="str">
        <f t="shared" ca="1" si="140"/>
        <v/>
      </c>
      <c r="AC286" s="310" t="e">
        <f t="shared" ca="1" si="141"/>
        <v>#N/A</v>
      </c>
      <c r="AD286" s="323" t="e">
        <f t="shared" ca="1" si="142"/>
        <v>#N/A</v>
      </c>
      <c r="AE286" s="324">
        <f t="shared" ca="1" si="121"/>
        <v>629.1130199023695</v>
      </c>
      <c r="AG286" s="306">
        <f t="shared" ca="1" si="143"/>
        <v>14.599630718532561</v>
      </c>
      <c r="AH286" s="304">
        <f t="shared" ca="1" si="144"/>
        <v>24.217054043286581</v>
      </c>
    </row>
    <row r="287" spans="1:34" x14ac:dyDescent="0.2">
      <c r="A287" s="347">
        <f t="shared" ca="1" si="122"/>
        <v>0.01</v>
      </c>
      <c r="B287" s="304">
        <f t="shared" ca="1" si="123"/>
        <v>2.8299999999999836</v>
      </c>
      <c r="D287" s="306">
        <f t="shared" ca="1" si="124"/>
        <v>4.692330081893278</v>
      </c>
      <c r="E287" s="307">
        <f t="shared" ca="1" si="125"/>
        <v>13.513530367473264</v>
      </c>
      <c r="F287" s="304">
        <f t="shared" ca="1" si="126"/>
        <v>14.305015364901314</v>
      </c>
      <c r="G287" s="306">
        <f t="shared" ca="1" si="127"/>
        <v>59.744442282479191</v>
      </c>
      <c r="H287" s="307">
        <f t="shared" ca="1" si="128"/>
        <v>296.86551712493224</v>
      </c>
      <c r="I287" s="304">
        <f t="shared" ca="1" si="129"/>
        <v>302.81765741366195</v>
      </c>
      <c r="J287" s="306">
        <f t="shared" ca="1" si="130"/>
        <v>121.55652231421927</v>
      </c>
      <c r="K287" s="307">
        <f t="shared" ca="1" si="131"/>
        <v>632.08099939710041</v>
      </c>
      <c r="L287" s="304">
        <f t="shared" ca="1" si="116"/>
        <v>643.66324884675873</v>
      </c>
      <c r="M287" s="306">
        <f t="shared" ca="1" si="132"/>
        <v>1.3721983014129506</v>
      </c>
      <c r="N287" s="304">
        <f t="shared" ca="1" si="133"/>
        <v>78.621171325982502</v>
      </c>
      <c r="P287" s="310">
        <f t="shared" ca="1" si="134"/>
        <v>7</v>
      </c>
      <c r="Q287" s="304">
        <f t="shared" ca="1" si="135"/>
        <v>446.61702127659908</v>
      </c>
      <c r="R287" s="306">
        <f t="shared" ca="1" si="136"/>
        <v>0.22413627432323965</v>
      </c>
      <c r="S287" s="307">
        <f t="shared" ca="1" si="137"/>
        <v>5.1721551121993965</v>
      </c>
      <c r="T287" s="304">
        <f t="shared" ca="1" si="117"/>
        <v>50.738841650676079</v>
      </c>
      <c r="U287" s="311">
        <f t="shared" ca="1" si="118"/>
        <v>0</v>
      </c>
      <c r="V287" s="306">
        <f t="shared" ca="1" si="119"/>
        <v>1.1499422077895027</v>
      </c>
      <c r="W287" s="304">
        <f t="shared" ca="1" si="120"/>
        <v>323.77390560721909</v>
      </c>
      <c r="Y287" s="314" t="str">
        <f t="shared" ca="1" si="138"/>
        <v/>
      </c>
      <c r="Z287" s="315" t="str">
        <f t="shared" ca="1" si="139"/>
        <v/>
      </c>
      <c r="AA287" s="316" t="str">
        <f t="shared" ca="1" si="140"/>
        <v/>
      </c>
      <c r="AC287" s="310" t="e">
        <f t="shared" ca="1" si="141"/>
        <v>#N/A</v>
      </c>
      <c r="AD287" s="323" t="e">
        <f t="shared" ca="1" si="142"/>
        <v>#N/A</v>
      </c>
      <c r="AE287" s="324">
        <f t="shared" ca="1" si="121"/>
        <v>632.08099939710041</v>
      </c>
      <c r="AG287" s="306">
        <f t="shared" ca="1" si="143"/>
        <v>14.173560529545025</v>
      </c>
      <c r="AH287" s="304">
        <f t="shared" ca="1" si="144"/>
        <v>23.790860228244966</v>
      </c>
    </row>
    <row r="288" spans="1:34" x14ac:dyDescent="0.2">
      <c r="A288" s="347">
        <f t="shared" ca="1" si="122"/>
        <v>0.01</v>
      </c>
      <c r="B288" s="304">
        <f t="shared" ca="1" si="123"/>
        <v>2.8399999999999834</v>
      </c>
      <c r="D288" s="306">
        <f t="shared" ca="1" si="124"/>
        <v>4.6100019969001345</v>
      </c>
      <c r="E288" s="307">
        <f t="shared" ca="1" si="125"/>
        <v>13.096743698201253</v>
      </c>
      <c r="F288" s="304">
        <f t="shared" ca="1" si="126"/>
        <v>13.884409022633895</v>
      </c>
      <c r="G288" s="306">
        <f t="shared" ca="1" si="127"/>
        <v>59.790542302448195</v>
      </c>
      <c r="H288" s="307">
        <f t="shared" ca="1" si="128"/>
        <v>296.99648456191426</v>
      </c>
      <c r="I288" s="304">
        <f t="shared" ca="1" si="129"/>
        <v>302.95514650019766</v>
      </c>
      <c r="J288" s="306">
        <f t="shared" ca="1" si="130"/>
        <v>122.1541972371439</v>
      </c>
      <c r="K288" s="307">
        <f t="shared" ca="1" si="131"/>
        <v>635.05030940553468</v>
      </c>
      <c r="L288" s="304">
        <f t="shared" ca="1" si="116"/>
        <v>646.69200039796101</v>
      </c>
      <c r="M288" s="306">
        <f t="shared" ca="1" si="132"/>
        <v>1.3721344152229129</v>
      </c>
      <c r="N288" s="304">
        <f t="shared" ca="1" si="133"/>
        <v>78.617510916924161</v>
      </c>
      <c r="P288" s="310">
        <f t="shared" ca="1" si="134"/>
        <v>7</v>
      </c>
      <c r="Q288" s="304">
        <f t="shared" ca="1" si="135"/>
        <v>444.57446808510974</v>
      </c>
      <c r="R288" s="306">
        <f t="shared" ca="1" si="136"/>
        <v>0.22311121204249884</v>
      </c>
      <c r="S288" s="307">
        <f t="shared" ca="1" si="137"/>
        <v>5.1699240000789715</v>
      </c>
      <c r="T288" s="304">
        <f t="shared" ca="1" si="117"/>
        <v>50.716954440774714</v>
      </c>
      <c r="U288" s="311">
        <f t="shared" ca="1" si="118"/>
        <v>0</v>
      </c>
      <c r="V288" s="306">
        <f t="shared" ca="1" si="119"/>
        <v>1.1496004620917069</v>
      </c>
      <c r="W288" s="304">
        <f t="shared" ca="1" si="120"/>
        <v>323.97167198703096</v>
      </c>
      <c r="Y288" s="314" t="str">
        <f t="shared" ca="1" si="138"/>
        <v/>
      </c>
      <c r="Z288" s="315" t="str">
        <f t="shared" ca="1" si="139"/>
        <v/>
      </c>
      <c r="AA288" s="316" t="str">
        <f t="shared" ca="1" si="140"/>
        <v/>
      </c>
      <c r="AC288" s="310" t="e">
        <f t="shared" ca="1" si="141"/>
        <v>#N/A</v>
      </c>
      <c r="AD288" s="323" t="e">
        <f t="shared" ca="1" si="142"/>
        <v>#N/A</v>
      </c>
      <c r="AE288" s="324">
        <f t="shared" ca="1" si="121"/>
        <v>635.05030940553468</v>
      </c>
      <c r="AG288" s="306">
        <f t="shared" ca="1" si="143"/>
        <v>13.748846828828583</v>
      </c>
      <c r="AH288" s="304">
        <f t="shared" ca="1" si="144"/>
        <v>23.36602288080935</v>
      </c>
    </row>
    <row r="289" spans="1:34" x14ac:dyDescent="0.2">
      <c r="A289" s="347">
        <f t="shared" ca="1" si="122"/>
        <v>0.01</v>
      </c>
      <c r="B289" s="304">
        <f t="shared" ca="1" si="123"/>
        <v>2.8499999999999832</v>
      </c>
      <c r="D289" s="306">
        <f t="shared" ca="1" si="124"/>
        <v>4.5278880539131894</v>
      </c>
      <c r="E289" s="307">
        <f t="shared" ca="1" si="125"/>
        <v>12.681296829181649</v>
      </c>
      <c r="F289" s="304">
        <f t="shared" ca="1" si="126"/>
        <v>13.46540231476885</v>
      </c>
      <c r="G289" s="306">
        <f t="shared" ca="1" si="127"/>
        <v>59.835821182987324</v>
      </c>
      <c r="H289" s="307">
        <f t="shared" ca="1" si="128"/>
        <v>297.12329753020606</v>
      </c>
      <c r="I289" s="304">
        <f t="shared" ca="1" si="129"/>
        <v>303.08840200816951</v>
      </c>
      <c r="J289" s="306">
        <f t="shared" ca="1" si="130"/>
        <v>122.75232905457108</v>
      </c>
      <c r="K289" s="307">
        <f t="shared" ca="1" si="131"/>
        <v>638.02090831599526</v>
      </c>
      <c r="L289" s="304">
        <f t="shared" ca="1" si="116"/>
        <v>649.72210500851008</v>
      </c>
      <c r="M289" s="306">
        <f t="shared" ca="1" si="132"/>
        <v>1.3720705368496668</v>
      </c>
      <c r="N289" s="304">
        <f t="shared" ca="1" si="133"/>
        <v>78.613850955735003</v>
      </c>
      <c r="P289" s="310">
        <f t="shared" ca="1" si="134"/>
        <v>7</v>
      </c>
      <c r="Q289" s="304">
        <f t="shared" ca="1" si="135"/>
        <v>442.53191489362047</v>
      </c>
      <c r="R289" s="306">
        <f t="shared" ca="1" si="136"/>
        <v>0.22208614976175803</v>
      </c>
      <c r="S289" s="307">
        <f t="shared" ca="1" si="137"/>
        <v>5.1677031385813539</v>
      </c>
      <c r="T289" s="304">
        <f t="shared" ca="1" si="117"/>
        <v>50.695167789483087</v>
      </c>
      <c r="U289" s="311">
        <f t="shared" ca="1" si="118"/>
        <v>0</v>
      </c>
      <c r="V289" s="306">
        <f t="shared" ca="1" si="119"/>
        <v>1.1492586664526385</v>
      </c>
      <c r="W289" s="304">
        <f t="shared" ca="1" si="120"/>
        <v>324.16032700942583</v>
      </c>
      <c r="Y289" s="314" t="str">
        <f t="shared" ca="1" si="138"/>
        <v/>
      </c>
      <c r="Z289" s="315" t="str">
        <f t="shared" ca="1" si="139"/>
        <v/>
      </c>
      <c r="AA289" s="316" t="str">
        <f t="shared" ca="1" si="140"/>
        <v/>
      </c>
      <c r="AC289" s="310" t="e">
        <f t="shared" ca="1" si="141"/>
        <v>#N/A</v>
      </c>
      <c r="AD289" s="323" t="e">
        <f t="shared" ca="1" si="142"/>
        <v>#N/A</v>
      </c>
      <c r="AE289" s="324">
        <f t="shared" ca="1" si="121"/>
        <v>638.02090831599526</v>
      </c>
      <c r="AG289" s="306">
        <f t="shared" ca="1" si="143"/>
        <v>13.325488960388768</v>
      </c>
      <c r="AH289" s="304">
        <f t="shared" ca="1" si="144"/>
        <v>22.942541343258515</v>
      </c>
    </row>
    <row r="290" spans="1:34" x14ac:dyDescent="0.2">
      <c r="A290" s="347">
        <f t="shared" ca="1" si="122"/>
        <v>0.01</v>
      </c>
      <c r="B290" s="304">
        <f t="shared" ca="1" si="123"/>
        <v>2.859999999999983</v>
      </c>
      <c r="D290" s="306">
        <f t="shared" ca="1" si="124"/>
        <v>4.4459883906689441</v>
      </c>
      <c r="E290" s="307">
        <f t="shared" ca="1" si="125"/>
        <v>12.267188969743151</v>
      </c>
      <c r="F290" s="304">
        <f t="shared" ca="1" si="126"/>
        <v>13.048016630482621</v>
      </c>
      <c r="G290" s="306">
        <f t="shared" ca="1" si="127"/>
        <v>59.880281066894014</v>
      </c>
      <c r="H290" s="307">
        <f t="shared" ca="1" si="128"/>
        <v>297.24596941990347</v>
      </c>
      <c r="I290" s="304">
        <f t="shared" ca="1" si="129"/>
        <v>303.21743748839447</v>
      </c>
      <c r="J290" s="306">
        <f t="shared" ca="1" si="130"/>
        <v>123.35090956582049</v>
      </c>
      <c r="K290" s="307">
        <f t="shared" ca="1" si="131"/>
        <v>640.99275465074584</v>
      </c>
      <c r="L290" s="304">
        <f t="shared" ca="1" si="116"/>
        <v>652.75352040832877</v>
      </c>
      <c r="M290" s="306">
        <f t="shared" ca="1" si="132"/>
        <v>1.372006665400163</v>
      </c>
      <c r="N290" s="304">
        <f t="shared" ca="1" si="133"/>
        <v>78.610191391247056</v>
      </c>
      <c r="P290" s="310">
        <f t="shared" ca="1" si="134"/>
        <v>7</v>
      </c>
      <c r="Q290" s="304">
        <f t="shared" ca="1" si="135"/>
        <v>440.48936170213113</v>
      </c>
      <c r="R290" s="306">
        <f t="shared" ca="1" si="136"/>
        <v>0.22106108748101722</v>
      </c>
      <c r="S290" s="307">
        <f t="shared" ca="1" si="137"/>
        <v>5.1654925277065438</v>
      </c>
      <c r="T290" s="304">
        <f t="shared" ca="1" si="117"/>
        <v>50.673481696801197</v>
      </c>
      <c r="U290" s="311">
        <f t="shared" ca="1" si="118"/>
        <v>0</v>
      </c>
      <c r="V290" s="306">
        <f t="shared" ca="1" si="119"/>
        <v>1.1489168257282354</v>
      </c>
      <c r="W290" s="304">
        <f t="shared" ca="1" si="120"/>
        <v>324.33989701755661</v>
      </c>
      <c r="Y290" s="314" t="str">
        <f t="shared" ca="1" si="138"/>
        <v/>
      </c>
      <c r="Z290" s="315" t="str">
        <f t="shared" ca="1" si="139"/>
        <v/>
      </c>
      <c r="AA290" s="316" t="str">
        <f t="shared" ca="1" si="140"/>
        <v/>
      </c>
      <c r="AC290" s="310" t="e">
        <f t="shared" ca="1" si="141"/>
        <v>#N/A</v>
      </c>
      <c r="AD290" s="323" t="e">
        <f t="shared" ca="1" si="142"/>
        <v>#N/A</v>
      </c>
      <c r="AE290" s="324">
        <f t="shared" ca="1" si="121"/>
        <v>640.99275465074584</v>
      </c>
      <c r="AG290" s="306">
        <f t="shared" ca="1" si="143"/>
        <v>12.903486172778546</v>
      </c>
      <c r="AH290" s="304">
        <f t="shared" ca="1" si="144"/>
        <v>22.520414862424531</v>
      </c>
    </row>
    <row r="291" spans="1:34" x14ac:dyDescent="0.2">
      <c r="A291" s="347">
        <f t="shared" ca="1" si="122"/>
        <v>0.01</v>
      </c>
      <c r="B291" s="304">
        <f t="shared" ca="1" si="123"/>
        <v>2.8699999999999828</v>
      </c>
      <c r="D291" s="306">
        <f t="shared" ca="1" si="124"/>
        <v>4.3643031244567627</v>
      </c>
      <c r="E291" s="307">
        <f t="shared" ca="1" si="125"/>
        <v>11.854419237148273</v>
      </c>
      <c r="F291" s="304">
        <f t="shared" ca="1" si="126"/>
        <v>12.632276010767582</v>
      </c>
      <c r="G291" s="306">
        <f t="shared" ca="1" si="127"/>
        <v>59.923924098138585</v>
      </c>
      <c r="H291" s="307">
        <f t="shared" ca="1" si="128"/>
        <v>297.36451361227495</v>
      </c>
      <c r="I291" s="304">
        <f t="shared" ca="1" si="129"/>
        <v>303.34226648323232</v>
      </c>
      <c r="J291" s="306">
        <f t="shared" ca="1" si="130"/>
        <v>123.94993059164565</v>
      </c>
      <c r="K291" s="307">
        <f t="shared" ca="1" si="131"/>
        <v>643.96580706590669</v>
      </c>
      <c r="L291" s="304">
        <f t="shared" ca="1" si="116"/>
        <v>655.78620446279467</v>
      </c>
      <c r="M291" s="306">
        <f t="shared" ca="1" si="132"/>
        <v>1.3719427999853495</v>
      </c>
      <c r="N291" s="304">
        <f t="shared" ca="1" si="133"/>
        <v>78.606532172521383</v>
      </c>
      <c r="P291" s="310">
        <f t="shared" ca="1" si="134"/>
        <v>7</v>
      </c>
      <c r="Q291" s="304">
        <f t="shared" ca="1" si="135"/>
        <v>438.44680851064186</v>
      </c>
      <c r="R291" s="306">
        <f t="shared" ca="1" si="136"/>
        <v>0.22003602520027643</v>
      </c>
      <c r="S291" s="307">
        <f t="shared" ca="1" si="137"/>
        <v>5.1632921674545411</v>
      </c>
      <c r="T291" s="304">
        <f t="shared" ca="1" si="117"/>
        <v>50.651896162729052</v>
      </c>
      <c r="U291" s="311">
        <f t="shared" ca="1" si="118"/>
        <v>0</v>
      </c>
      <c r="V291" s="306">
        <f t="shared" ca="1" si="119"/>
        <v>1.1485749447535194</v>
      </c>
      <c r="W291" s="304">
        <f t="shared" ca="1" si="120"/>
        <v>324.51040874409028</v>
      </c>
      <c r="Y291" s="314" t="str">
        <f t="shared" ca="1" si="138"/>
        <v/>
      </c>
      <c r="Z291" s="315" t="str">
        <f t="shared" ca="1" si="139"/>
        <v/>
      </c>
      <c r="AA291" s="316" t="str">
        <f t="shared" ca="1" si="140"/>
        <v/>
      </c>
      <c r="AC291" s="310" t="e">
        <f t="shared" ca="1" si="141"/>
        <v>#N/A</v>
      </c>
      <c r="AD291" s="323" t="e">
        <f t="shared" ca="1" si="142"/>
        <v>#N/A</v>
      </c>
      <c r="AE291" s="324">
        <f t="shared" ca="1" si="121"/>
        <v>643.96580706590669</v>
      </c>
      <c r="AG291" s="306">
        <f t="shared" ca="1" si="143"/>
        <v>12.482837620295355</v>
      </c>
      <c r="AH291" s="304">
        <f t="shared" ca="1" si="144"/>
        <v>22.099642590889637</v>
      </c>
    </row>
    <row r="292" spans="1:34" x14ac:dyDescent="0.2">
      <c r="A292" s="347">
        <f t="shared" ca="1" si="122"/>
        <v>0.01</v>
      </c>
      <c r="B292" s="304">
        <f t="shared" ca="1" si="123"/>
        <v>2.8799999999999826</v>
      </c>
      <c r="D292" s="306">
        <f t="shared" ca="1" si="124"/>
        <v>4.2828323523471186</v>
      </c>
      <c r="E292" s="307">
        <f t="shared" ca="1" si="125"/>
        <v>11.44298665776425</v>
      </c>
      <c r="F292" s="304">
        <f t="shared" ca="1" si="126"/>
        <v>12.218207585733751</v>
      </c>
      <c r="G292" s="306">
        <f t="shared" ca="1" si="127"/>
        <v>59.966752421662058</v>
      </c>
      <c r="H292" s="307">
        <f t="shared" ca="1" si="128"/>
        <v>297.47894347885261</v>
      </c>
      <c r="I292" s="304">
        <f t="shared" ca="1" si="129"/>
        <v>303.46290252565518</v>
      </c>
      <c r="J292" s="306">
        <f t="shared" ca="1" si="130"/>
        <v>124.54938397424466</v>
      </c>
      <c r="K292" s="307">
        <f t="shared" ca="1" si="131"/>
        <v>646.94002435136235</v>
      </c>
      <c r="L292" s="304">
        <f t="shared" ca="1" si="116"/>
        <v>658.82011517265096</v>
      </c>
      <c r="M292" s="306">
        <f t="shared" ca="1" si="132"/>
        <v>1.3718789397200879</v>
      </c>
      <c r="N292" s="304">
        <f t="shared" ca="1" si="133"/>
        <v>78.602873248843309</v>
      </c>
      <c r="P292" s="310">
        <f t="shared" ca="1" si="134"/>
        <v>7</v>
      </c>
      <c r="Q292" s="304">
        <f t="shared" ca="1" si="135"/>
        <v>436.40425531915253</v>
      </c>
      <c r="R292" s="306">
        <f t="shared" ca="1" si="136"/>
        <v>0.21901096291953562</v>
      </c>
      <c r="S292" s="307">
        <f t="shared" ca="1" si="137"/>
        <v>5.1611020578253459</v>
      </c>
      <c r="T292" s="304">
        <f t="shared" ca="1" si="117"/>
        <v>50.630411187266645</v>
      </c>
      <c r="U292" s="311">
        <f t="shared" ca="1" si="118"/>
        <v>0</v>
      </c>
      <c r="V292" s="306">
        <f t="shared" ca="1" si="119"/>
        <v>1.1482330283426283</v>
      </c>
      <c r="W292" s="304">
        <f t="shared" ca="1" si="120"/>
        <v>324.67188930414881</v>
      </c>
      <c r="Y292" s="314" t="str">
        <f t="shared" ca="1" si="138"/>
        <v/>
      </c>
      <c r="Z292" s="315" t="str">
        <f t="shared" ca="1" si="139"/>
        <v/>
      </c>
      <c r="AA292" s="316" t="str">
        <f t="shared" ca="1" si="140"/>
        <v/>
      </c>
      <c r="AC292" s="310" t="e">
        <f t="shared" ca="1" si="141"/>
        <v>#N/A</v>
      </c>
      <c r="AD292" s="323" t="e">
        <f t="shared" ca="1" si="142"/>
        <v>#N/A</v>
      </c>
      <c r="AE292" s="324">
        <f t="shared" ca="1" si="121"/>
        <v>646.94002435136235</v>
      </c>
      <c r="AG292" s="306">
        <f t="shared" ca="1" si="143"/>
        <v>12.063542364173626</v>
      </c>
      <c r="AH292" s="304">
        <f t="shared" ca="1" si="144"/>
        <v>21.680223588178613</v>
      </c>
    </row>
    <row r="293" spans="1:34" x14ac:dyDescent="0.2">
      <c r="A293" s="347">
        <f t="shared" ca="1" si="122"/>
        <v>0.01</v>
      </c>
      <c r="B293" s="304">
        <f t="shared" ca="1" si="123"/>
        <v>2.8899999999999824</v>
      </c>
      <c r="D293" s="306">
        <f t="shared" ca="1" si="124"/>
        <v>4.2015761514193022</v>
      </c>
      <c r="E293" s="307">
        <f t="shared" ca="1" si="125"/>
        <v>11.03289016823024</v>
      </c>
      <c r="F293" s="304">
        <f t="shared" ca="1" si="126"/>
        <v>11.805842097046993</v>
      </c>
      <c r="G293" s="306">
        <f t="shared" ca="1" si="127"/>
        <v>60.008768183176251</v>
      </c>
      <c r="H293" s="307">
        <f t="shared" ca="1" si="128"/>
        <v>297.58927238053491</v>
      </c>
      <c r="I293" s="304">
        <f t="shared" ca="1" si="129"/>
        <v>303.5793591383287</v>
      </c>
      <c r="J293" s="306">
        <f t="shared" ca="1" si="130"/>
        <v>125.14926157726886</v>
      </c>
      <c r="K293" s="307">
        <f t="shared" ca="1" si="131"/>
        <v>649.91536543065934</v>
      </c>
      <c r="L293" s="304">
        <f t="shared" ca="1" si="116"/>
        <v>661.855210673908</v>
      </c>
      <c r="M293" s="306">
        <f t="shared" ca="1" si="132"/>
        <v>1.3718150837230731</v>
      </c>
      <c r="N293" s="304">
        <f t="shared" ca="1" si="133"/>
        <v>78.599214569717759</v>
      </c>
      <c r="P293" s="310">
        <f t="shared" ca="1" si="134"/>
        <v>7</v>
      </c>
      <c r="Q293" s="304">
        <f t="shared" ca="1" si="135"/>
        <v>434.36170212766319</v>
      </c>
      <c r="R293" s="306">
        <f t="shared" ca="1" si="136"/>
        <v>0.21798590063879481</v>
      </c>
      <c r="S293" s="307">
        <f t="shared" ca="1" si="137"/>
        <v>5.1589221988189582</v>
      </c>
      <c r="T293" s="304">
        <f t="shared" ca="1" si="117"/>
        <v>50.609026770413983</v>
      </c>
      <c r="U293" s="311">
        <f t="shared" ca="1" si="118"/>
        <v>0</v>
      </c>
      <c r="V293" s="306">
        <f t="shared" ca="1" si="119"/>
        <v>1.1478910812888501</v>
      </c>
      <c r="W293" s="304">
        <f t="shared" ca="1" si="120"/>
        <v>324.82436618830428</v>
      </c>
      <c r="Y293" s="314" t="str">
        <f t="shared" ca="1" si="138"/>
        <v/>
      </c>
      <c r="Z293" s="315" t="str">
        <f t="shared" ca="1" si="139"/>
        <v/>
      </c>
      <c r="AA293" s="316" t="str">
        <f t="shared" ca="1" si="140"/>
        <v/>
      </c>
      <c r="AC293" s="310" t="e">
        <f t="shared" ca="1" si="141"/>
        <v>#N/A</v>
      </c>
      <c r="AD293" s="323" t="e">
        <f t="shared" ca="1" si="142"/>
        <v>#N/A</v>
      </c>
      <c r="AE293" s="324">
        <f t="shared" ca="1" si="121"/>
        <v>649.91536543065934</v>
      </c>
      <c r="AG293" s="306">
        <f t="shared" ca="1" si="143"/>
        <v>11.64559937377355</v>
      </c>
      <c r="AH293" s="304">
        <f t="shared" ca="1" si="144"/>
        <v>21.2621568219474</v>
      </c>
    </row>
    <row r="294" spans="1:34" x14ac:dyDescent="0.2">
      <c r="A294" s="347">
        <f t="shared" ca="1" si="122"/>
        <v>0.01</v>
      </c>
      <c r="B294" s="304">
        <f t="shared" ca="1" si="123"/>
        <v>2.8999999999999821</v>
      </c>
      <c r="D294" s="306">
        <f t="shared" ca="1" si="124"/>
        <v>4.1205345789882397</v>
      </c>
      <c r="E294" s="307">
        <f t="shared" ca="1" si="125"/>
        <v>10.624128616619783</v>
      </c>
      <c r="F294" s="304">
        <f t="shared" ca="1" si="126"/>
        <v>11.395214525366216</v>
      </c>
      <c r="G294" s="306">
        <f t="shared" ca="1" si="127"/>
        <v>60.049973528966134</v>
      </c>
      <c r="H294" s="307">
        <f t="shared" ca="1" si="128"/>
        <v>297.69551366670112</v>
      </c>
      <c r="I294" s="304">
        <f t="shared" ca="1" si="129"/>
        <v>303.69164983270542</v>
      </c>
      <c r="J294" s="306">
        <f t="shared" ca="1" si="130"/>
        <v>125.74955528582957</v>
      </c>
      <c r="K294" s="307">
        <f t="shared" ca="1" si="131"/>
        <v>652.89178936089547</v>
      </c>
      <c r="L294" s="304">
        <f t="shared" ca="1" si="116"/>
        <v>664.89144923773517</v>
      </c>
      <c r="M294" s="306">
        <f t="shared" ca="1" si="132"/>
        <v>1.371751231116751</v>
      </c>
      <c r="N294" s="304">
        <f t="shared" ca="1" si="133"/>
        <v>78.595556084864597</v>
      </c>
      <c r="P294" s="310">
        <f t="shared" ca="1" si="134"/>
        <v>7</v>
      </c>
      <c r="Q294" s="304">
        <f t="shared" ca="1" si="135"/>
        <v>432.31914893617386</v>
      </c>
      <c r="R294" s="306">
        <f t="shared" ca="1" si="136"/>
        <v>0.21696083835805396</v>
      </c>
      <c r="S294" s="307">
        <f t="shared" ca="1" si="137"/>
        <v>5.1567525904353779</v>
      </c>
      <c r="T294" s="304">
        <f t="shared" ca="1" si="117"/>
        <v>50.587742912171059</v>
      </c>
      <c r="U294" s="311">
        <f t="shared" ca="1" si="118"/>
        <v>0</v>
      </c>
      <c r="V294" s="306">
        <f t="shared" ca="1" si="119"/>
        <v>1.1475491083646601</v>
      </c>
      <c r="W294" s="304">
        <f t="shared" ca="1" si="120"/>
        <v>324.96786725562674</v>
      </c>
      <c r="Y294" s="314" t="str">
        <f t="shared" ca="1" si="138"/>
        <v/>
      </c>
      <c r="Z294" s="315" t="str">
        <f t="shared" ca="1" si="139"/>
        <v/>
      </c>
      <c r="AA294" s="316" t="str">
        <f t="shared" ca="1" si="140"/>
        <v/>
      </c>
      <c r="AC294" s="310" t="e">
        <f t="shared" ca="1" si="141"/>
        <v>#N/A</v>
      </c>
      <c r="AD294" s="323" t="e">
        <f t="shared" ca="1" si="142"/>
        <v>#N/A</v>
      </c>
      <c r="AE294" s="324">
        <f t="shared" ca="1" si="121"/>
        <v>652.89178936089547</v>
      </c>
      <c r="AG294" s="306">
        <f t="shared" ca="1" si="143"/>
        <v>11.229007527764999</v>
      </c>
      <c r="AH294" s="304">
        <f t="shared" ca="1" si="144"/>
        <v>20.845441169166879</v>
      </c>
    </row>
    <row r="295" spans="1:34" x14ac:dyDescent="0.2">
      <c r="A295" s="347">
        <f t="shared" ca="1" si="122"/>
        <v>0.01</v>
      </c>
      <c r="B295" s="304">
        <f t="shared" ca="1" si="123"/>
        <v>2.9099999999999819</v>
      </c>
      <c r="D295" s="306">
        <f t="shared" ca="1" si="124"/>
        <v>4.0397076728306525</v>
      </c>
      <c r="E295" s="307">
        <f t="shared" ca="1" si="125"/>
        <v>10.21670076359881</v>
      </c>
      <c r="F295" s="304">
        <f t="shared" ca="1" si="126"/>
        <v>10.986364848067232</v>
      </c>
      <c r="G295" s="306">
        <f t="shared" ca="1" si="127"/>
        <v>60.090370605694439</v>
      </c>
      <c r="H295" s="307">
        <f t="shared" ca="1" si="128"/>
        <v>297.79768067433713</v>
      </c>
      <c r="I295" s="304">
        <f t="shared" ca="1" si="129"/>
        <v>303.79978810812912</v>
      </c>
      <c r="J295" s="306">
        <f t="shared" ca="1" si="130"/>
        <v>126.35025700650287</v>
      </c>
      <c r="K295" s="307">
        <f t="shared" ca="1" si="131"/>
        <v>655.86925533260069</v>
      </c>
      <c r="L295" s="304">
        <f t="shared" ca="1" si="116"/>
        <v>667.92878927034542</v>
      </c>
      <c r="M295" s="306">
        <f t="shared" ca="1" si="132"/>
        <v>1.3716873810272405</v>
      </c>
      <c r="N295" s="304">
        <f t="shared" ca="1" si="133"/>
        <v>78.591897744214108</v>
      </c>
      <c r="P295" s="310">
        <f t="shared" ca="1" si="134"/>
        <v>7</v>
      </c>
      <c r="Q295" s="304">
        <f t="shared" ca="1" si="135"/>
        <v>430.27659574468453</v>
      </c>
      <c r="R295" s="306">
        <f t="shared" ca="1" si="136"/>
        <v>0.21593577607731315</v>
      </c>
      <c r="S295" s="307">
        <f t="shared" ca="1" si="137"/>
        <v>5.1545932326746051</v>
      </c>
      <c r="T295" s="304">
        <f t="shared" ca="1" si="117"/>
        <v>50.56655961253788</v>
      </c>
      <c r="U295" s="311">
        <f t="shared" ca="1" si="118"/>
        <v>0</v>
      </c>
      <c r="V295" s="306">
        <f t="shared" ca="1" si="119"/>
        <v>1.1472071143217548</v>
      </c>
      <c r="W295" s="304">
        <f t="shared" ca="1" si="120"/>
        <v>325.10242072678312</v>
      </c>
      <c r="Y295" s="314" t="str">
        <f t="shared" ca="1" si="138"/>
        <v/>
      </c>
      <c r="Z295" s="315" t="str">
        <f t="shared" ca="1" si="139"/>
        <v/>
      </c>
      <c r="AA295" s="316" t="str">
        <f t="shared" ca="1" si="140"/>
        <v/>
      </c>
      <c r="AC295" s="310" t="e">
        <f t="shared" ca="1" si="141"/>
        <v>#N/A</v>
      </c>
      <c r="AD295" s="323" t="e">
        <f t="shared" ca="1" si="142"/>
        <v>#N/A</v>
      </c>
      <c r="AE295" s="324">
        <f t="shared" ca="1" si="121"/>
        <v>655.86925533260069</v>
      </c>
      <c r="AG295" s="306">
        <f t="shared" ca="1" si="143"/>
        <v>10.813765615307013</v>
      </c>
      <c r="AH295" s="304">
        <f t="shared" ca="1" si="144"/>
        <v>20.430075417302209</v>
      </c>
    </row>
    <row r="296" spans="1:34" x14ac:dyDescent="0.2">
      <c r="A296" s="347">
        <f t="shared" ca="1" si="122"/>
        <v>0.01</v>
      </c>
      <c r="B296" s="304">
        <f t="shared" ca="1" si="123"/>
        <v>2.9199999999999817</v>
      </c>
      <c r="D296" s="306">
        <f t="shared" ca="1" si="124"/>
        <v>3.9590954514104064</v>
      </c>
      <c r="E296" s="307">
        <f t="shared" ca="1" si="125"/>
        <v>9.8106052835794824</v>
      </c>
      <c r="F296" s="304">
        <f t="shared" ca="1" si="126"/>
        <v>10.579338959669277</v>
      </c>
      <c r="G296" s="306">
        <f t="shared" ca="1" si="127"/>
        <v>60.129961560208542</v>
      </c>
      <c r="H296" s="307">
        <f t="shared" ca="1" si="128"/>
        <v>297.89578672717295</v>
      </c>
      <c r="I296" s="304">
        <f t="shared" ca="1" si="129"/>
        <v>303.90378745095205</v>
      </c>
      <c r="J296" s="306">
        <f t="shared" ca="1" si="130"/>
        <v>126.95135866733239</v>
      </c>
      <c r="K296" s="307">
        <f t="shared" ca="1" si="131"/>
        <v>658.84772266960829</v>
      </c>
      <c r="L296" s="304">
        <f t="shared" ca="1" si="116"/>
        <v>670.96718931286853</v>
      </c>
      <c r="M296" s="306">
        <f t="shared" ca="1" si="132"/>
        <v>1.3716235325842525</v>
      </c>
      <c r="N296" s="304">
        <f t="shared" ca="1" si="133"/>
        <v>78.588239497902421</v>
      </c>
      <c r="P296" s="310">
        <f t="shared" ca="1" si="134"/>
        <v>7</v>
      </c>
      <c r="Q296" s="304">
        <f t="shared" ca="1" si="135"/>
        <v>428.23404255319525</v>
      </c>
      <c r="R296" s="306">
        <f t="shared" ca="1" si="136"/>
        <v>0.21491071379657237</v>
      </c>
      <c r="S296" s="307">
        <f t="shared" ca="1" si="137"/>
        <v>5.1524441255366398</v>
      </c>
      <c r="T296" s="304">
        <f t="shared" ca="1" si="117"/>
        <v>50.545476871514438</v>
      </c>
      <c r="U296" s="311">
        <f t="shared" ca="1" si="118"/>
        <v>0</v>
      </c>
      <c r="V296" s="306">
        <f t="shared" ca="1" si="119"/>
        <v>1.1468651038910922</v>
      </c>
      <c r="W296" s="304">
        <f t="shared" ca="1" si="120"/>
        <v>325.22805517719348</v>
      </c>
      <c r="Y296" s="314" t="str">
        <f t="shared" ca="1" si="138"/>
        <v/>
      </c>
      <c r="Z296" s="315" t="str">
        <f t="shared" ca="1" si="139"/>
        <v/>
      </c>
      <c r="AA296" s="316" t="str">
        <f t="shared" ca="1" si="140"/>
        <v/>
      </c>
      <c r="AC296" s="310" t="e">
        <f t="shared" ca="1" si="141"/>
        <v>#N/A</v>
      </c>
      <c r="AD296" s="323" t="e">
        <f t="shared" ca="1" si="142"/>
        <v>#N/A</v>
      </c>
      <c r="AE296" s="324">
        <f t="shared" ca="1" si="121"/>
        <v>658.84772266960829</v>
      </c>
      <c r="AG296" s="306">
        <f t="shared" ca="1" si="143"/>
        <v>10.399872337222986</v>
      </c>
      <c r="AH296" s="304">
        <f t="shared" ca="1" si="144"/>
        <v>20.016058265487878</v>
      </c>
    </row>
    <row r="297" spans="1:34" x14ac:dyDescent="0.2">
      <c r="A297" s="347">
        <f t="shared" ca="1" si="122"/>
        <v>0.01</v>
      </c>
      <c r="B297" s="304">
        <f t="shared" ca="1" si="123"/>
        <v>2.9299999999999815</v>
      </c>
      <c r="D297" s="306">
        <f t="shared" ca="1" si="124"/>
        <v>3.8786979141030109</v>
      </c>
      <c r="E297" s="307">
        <f t="shared" ca="1" si="125"/>
        <v>9.4058407658685024</v>
      </c>
      <c r="F297" s="304">
        <f t="shared" ca="1" si="126"/>
        <v>10.17418979682121</v>
      </c>
      <c r="G297" s="306">
        <f t="shared" ca="1" si="127"/>
        <v>60.168748539349572</v>
      </c>
      <c r="H297" s="307">
        <f t="shared" ca="1" si="128"/>
        <v>297.98984513483163</v>
      </c>
      <c r="I297" s="304">
        <f t="shared" ca="1" si="129"/>
        <v>304.00366133366293</v>
      </c>
      <c r="J297" s="306">
        <f t="shared" ca="1" si="130"/>
        <v>127.55285221783018</v>
      </c>
      <c r="K297" s="307">
        <f t="shared" ca="1" si="131"/>
        <v>661.82715082891832</v>
      </c>
      <c r="L297" s="304">
        <f t="shared" ca="1" si="116"/>
        <v>674.00660804121753</v>
      </c>
      <c r="M297" s="306">
        <f t="shared" ca="1" si="132"/>
        <v>1.3715596849210132</v>
      </c>
      <c r="N297" s="304">
        <f t="shared" ca="1" si="133"/>
        <v>78.584581296267032</v>
      </c>
      <c r="P297" s="310">
        <f t="shared" ca="1" si="134"/>
        <v>7</v>
      </c>
      <c r="Q297" s="304">
        <f t="shared" ca="1" si="135"/>
        <v>426.19148936170592</v>
      </c>
      <c r="R297" s="306">
        <f t="shared" ca="1" si="136"/>
        <v>0.21388565151583155</v>
      </c>
      <c r="S297" s="307">
        <f t="shared" ca="1" si="137"/>
        <v>5.1503052690214819</v>
      </c>
      <c r="T297" s="304">
        <f t="shared" ca="1" si="117"/>
        <v>50.524494689100742</v>
      </c>
      <c r="U297" s="311">
        <f t="shared" ca="1" si="118"/>
        <v>0</v>
      </c>
      <c r="V297" s="306">
        <f t="shared" ca="1" si="119"/>
        <v>1.1465230817829295</v>
      </c>
      <c r="W297" s="304">
        <f t="shared" ca="1" si="120"/>
        <v>325.34479953023873</v>
      </c>
      <c r="Y297" s="314" t="str">
        <f t="shared" ca="1" si="138"/>
        <v/>
      </c>
      <c r="Z297" s="315" t="str">
        <f t="shared" ca="1" si="139"/>
        <v/>
      </c>
      <c r="AA297" s="316" t="str">
        <f t="shared" ca="1" si="140"/>
        <v/>
      </c>
      <c r="AC297" s="310" t="e">
        <f t="shared" ca="1" si="141"/>
        <v>#N/A</v>
      </c>
      <c r="AD297" s="323" t="e">
        <f t="shared" ca="1" si="142"/>
        <v>#N/A</v>
      </c>
      <c r="AE297" s="324">
        <f t="shared" ca="1" si="121"/>
        <v>661.82715082891832</v>
      </c>
      <c r="AG297" s="306">
        <f t="shared" ca="1" si="143"/>
        <v>9.9873263071703064</v>
      </c>
      <c r="AH297" s="304">
        <f t="shared" ca="1" si="144"/>
        <v>19.603388325697189</v>
      </c>
    </row>
    <row r="298" spans="1:34" x14ac:dyDescent="0.2">
      <c r="A298" s="347">
        <f t="shared" ca="1" si="122"/>
        <v>0.01</v>
      </c>
      <c r="B298" s="304">
        <f t="shared" ca="1" si="123"/>
        <v>2.9399999999999813</v>
      </c>
      <c r="D298" s="306">
        <f t="shared" ca="1" si="124"/>
        <v>3.7985150414192961</v>
      </c>
      <c r="E298" s="307">
        <f t="shared" ca="1" si="125"/>
        <v>9.0024057158111663</v>
      </c>
      <c r="F298" s="304">
        <f t="shared" ca="1" si="126"/>
        <v>9.7709787223163165</v>
      </c>
      <c r="G298" s="306">
        <f t="shared" ca="1" si="127"/>
        <v>60.206733689763766</v>
      </c>
      <c r="H298" s="307">
        <f t="shared" ca="1" si="128"/>
        <v>298.07986919198976</v>
      </c>
      <c r="I298" s="304">
        <f t="shared" ca="1" si="129"/>
        <v>304.09942321402696</v>
      </c>
      <c r="J298" s="306">
        <f t="shared" ca="1" si="130"/>
        <v>128.15472962897576</v>
      </c>
      <c r="K298" s="307">
        <f t="shared" ca="1" si="131"/>
        <v>664.80749940055239</v>
      </c>
      <c r="L298" s="304">
        <f t="shared" ca="1" si="116"/>
        <v>677.04700426594559</v>
      </c>
      <c r="M298" s="306">
        <f t="shared" ca="1" si="132"/>
        <v>1.3714958371741859</v>
      </c>
      <c r="N298" s="304">
        <f t="shared" ca="1" si="133"/>
        <v>78.580923089842415</v>
      </c>
      <c r="P298" s="310">
        <f t="shared" ca="1" si="134"/>
        <v>7</v>
      </c>
      <c r="Q298" s="304">
        <f t="shared" ca="1" si="135"/>
        <v>424.14893617021659</v>
      </c>
      <c r="R298" s="306">
        <f t="shared" ca="1" si="136"/>
        <v>0.21286058923509071</v>
      </c>
      <c r="S298" s="307">
        <f t="shared" ca="1" si="137"/>
        <v>5.1481766631291306</v>
      </c>
      <c r="T298" s="304">
        <f t="shared" ca="1" si="117"/>
        <v>50.503613065296776</v>
      </c>
      <c r="U298" s="311">
        <f t="shared" ca="1" si="118"/>
        <v>0</v>
      </c>
      <c r="V298" s="306">
        <f t="shared" ca="1" si="119"/>
        <v>1.1461810526868641</v>
      </c>
      <c r="W298" s="304">
        <f t="shared" ca="1" si="120"/>
        <v>325.45268305052417</v>
      </c>
      <c r="Y298" s="314" t="str">
        <f t="shared" ca="1" si="138"/>
        <v/>
      </c>
      <c r="Z298" s="315" t="str">
        <f t="shared" ca="1" si="139"/>
        <v/>
      </c>
      <c r="AA298" s="316" t="str">
        <f t="shared" ca="1" si="140"/>
        <v/>
      </c>
      <c r="AC298" s="310" t="e">
        <f t="shared" ca="1" si="141"/>
        <v>#N/A</v>
      </c>
      <c r="AD298" s="323" t="e">
        <f t="shared" ca="1" si="142"/>
        <v>#N/A</v>
      </c>
      <c r="AE298" s="324">
        <f t="shared" ca="1" si="121"/>
        <v>664.80749940055239</v>
      </c>
      <c r="AG298" s="306">
        <f t="shared" ca="1" si="143"/>
        <v>9.5761260528056216</v>
      </c>
      <c r="AH298" s="304">
        <f t="shared" ca="1" si="144"/>
        <v>19.192064123907393</v>
      </c>
    </row>
    <row r="299" spans="1:34" x14ac:dyDescent="0.2">
      <c r="A299" s="347">
        <f t="shared" ca="1" si="122"/>
        <v>0.01</v>
      </c>
      <c r="B299" s="304">
        <f t="shared" ca="1" si="123"/>
        <v>2.9499999999999811</v>
      </c>
      <c r="D299" s="306">
        <f t="shared" ca="1" si="124"/>
        <v>3.7185467952282147</v>
      </c>
      <c r="E299" s="307">
        <f t="shared" ca="1" si="125"/>
        <v>8.6002985559299727</v>
      </c>
      <c r="F299" s="304">
        <f t="shared" ca="1" si="126"/>
        <v>9.3697772395843657</v>
      </c>
      <c r="G299" s="306">
        <f t="shared" ca="1" si="127"/>
        <v>60.24391915771605</v>
      </c>
      <c r="H299" s="307">
        <f t="shared" ca="1" si="128"/>
        <v>298.16587217754903</v>
      </c>
      <c r="I299" s="304">
        <f t="shared" ca="1" si="129"/>
        <v>304.19108653423746</v>
      </c>
      <c r="J299" s="306">
        <f t="shared" ca="1" si="130"/>
        <v>128.75698289321315</v>
      </c>
      <c r="K299" s="307">
        <f t="shared" ca="1" si="131"/>
        <v>667.78872810740006</v>
      </c>
      <c r="L299" s="304">
        <f t="shared" ca="1" si="116"/>
        <v>680.08833693209465</v>
      </c>
      <c r="M299" s="306">
        <f t="shared" ca="1" si="132"/>
        <v>1.3714319884837947</v>
      </c>
      <c r="N299" s="304">
        <f t="shared" ca="1" si="133"/>
        <v>78.577264829355556</v>
      </c>
      <c r="P299" s="310">
        <f t="shared" ca="1" si="134"/>
        <v>7</v>
      </c>
      <c r="Q299" s="304">
        <f t="shared" ca="1" si="135"/>
        <v>422.10638297872731</v>
      </c>
      <c r="R299" s="306">
        <f t="shared" ca="1" si="136"/>
        <v>0.21183552695434993</v>
      </c>
      <c r="S299" s="307">
        <f t="shared" ca="1" si="137"/>
        <v>5.1460583078595867</v>
      </c>
      <c r="T299" s="304">
        <f t="shared" ca="1" si="117"/>
        <v>50.482832000102547</v>
      </c>
      <c r="U299" s="311">
        <f t="shared" ca="1" si="118"/>
        <v>0</v>
      </c>
      <c r="V299" s="306">
        <f t="shared" ca="1" si="119"/>
        <v>1.1458390212718732</v>
      </c>
      <c r="W299" s="304">
        <f t="shared" ca="1" si="120"/>
        <v>325.55173533719767</v>
      </c>
      <c r="Y299" s="314" t="str">
        <f t="shared" ca="1" si="138"/>
        <v/>
      </c>
      <c r="Z299" s="315" t="str">
        <f t="shared" ca="1" si="139"/>
        <v/>
      </c>
      <c r="AA299" s="316" t="str">
        <f t="shared" ca="1" si="140"/>
        <v/>
      </c>
      <c r="AC299" s="310" t="e">
        <f t="shared" ca="1" si="141"/>
        <v>#N/A</v>
      </c>
      <c r="AD299" s="323" t="e">
        <f t="shared" ca="1" si="142"/>
        <v>#N/A</v>
      </c>
      <c r="AE299" s="324">
        <f t="shared" ca="1" si="121"/>
        <v>667.78872810740006</v>
      </c>
      <c r="AG299" s="306">
        <f t="shared" ca="1" si="143"/>
        <v>9.1662700169446403</v>
      </c>
      <c r="AH299" s="304">
        <f t="shared" ca="1" si="144"/>
        <v>18.78208410125935</v>
      </c>
    </row>
    <row r="300" spans="1:34" x14ac:dyDescent="0.2">
      <c r="A300" s="347">
        <f t="shared" ca="1" si="122"/>
        <v>0.01</v>
      </c>
      <c r="B300" s="304">
        <f t="shared" ca="1" si="123"/>
        <v>2.9599999999999809</v>
      </c>
      <c r="D300" s="306">
        <f t="shared" ca="1" si="124"/>
        <v>3.6387931189787239</v>
      </c>
      <c r="E300" s="307">
        <f t="shared" ca="1" si="125"/>
        <v>8.1995176270581727</v>
      </c>
      <c r="F300" s="304">
        <f t="shared" ca="1" si="126"/>
        <v>8.9706691321865506</v>
      </c>
      <c r="G300" s="306">
        <f t="shared" ca="1" si="127"/>
        <v>60.280307088905836</v>
      </c>
      <c r="H300" s="307">
        <f t="shared" ca="1" si="128"/>
        <v>298.24786735381963</v>
      </c>
      <c r="I300" s="304">
        <f t="shared" ca="1" si="129"/>
        <v>304.27866472007918</v>
      </c>
      <c r="J300" s="306">
        <f t="shared" ca="1" si="130"/>
        <v>129.35960402444627</v>
      </c>
      <c r="K300" s="307">
        <f t="shared" ca="1" si="131"/>
        <v>670.77079680505688</v>
      </c>
      <c r="L300" s="304">
        <f t="shared" ca="1" si="116"/>
        <v>683.13056511903528</v>
      </c>
      <c r="M300" s="306">
        <f t="shared" ca="1" si="132"/>
        <v>1.3713681379931482</v>
      </c>
      <c r="N300" s="304">
        <f t="shared" ca="1" si="133"/>
        <v>78.573606465721667</v>
      </c>
      <c r="P300" s="310">
        <f t="shared" ca="1" si="134"/>
        <v>7</v>
      </c>
      <c r="Q300" s="304">
        <f t="shared" ca="1" si="135"/>
        <v>420.06382978723798</v>
      </c>
      <c r="R300" s="306">
        <f t="shared" ca="1" si="136"/>
        <v>0.21081046467360912</v>
      </c>
      <c r="S300" s="307">
        <f t="shared" ca="1" si="137"/>
        <v>5.1439502032128503</v>
      </c>
      <c r="T300" s="304">
        <f t="shared" ca="1" si="117"/>
        <v>50.462151493518064</v>
      </c>
      <c r="U300" s="311">
        <f t="shared" ca="1" si="118"/>
        <v>0</v>
      </c>
      <c r="V300" s="306">
        <f t="shared" ca="1" si="119"/>
        <v>1.1454969921863585</v>
      </c>
      <c r="W300" s="304">
        <f t="shared" ca="1" si="120"/>
        <v>325.64198631732415</v>
      </c>
      <c r="Y300" s="314" t="str">
        <f t="shared" ca="1" si="138"/>
        <v/>
      </c>
      <c r="Z300" s="315" t="str">
        <f t="shared" ca="1" si="139"/>
        <v/>
      </c>
      <c r="AA300" s="316" t="str">
        <f t="shared" ca="1" si="140"/>
        <v/>
      </c>
      <c r="AC300" s="310" t="e">
        <f t="shared" ca="1" si="141"/>
        <v>#N/A</v>
      </c>
      <c r="AD300" s="323" t="e">
        <f t="shared" ca="1" si="142"/>
        <v>#N/A</v>
      </c>
      <c r="AE300" s="324">
        <f t="shared" ca="1" si="121"/>
        <v>670.77079680505688</v>
      </c>
      <c r="AG300" s="306">
        <f t="shared" ca="1" si="143"/>
        <v>8.7577565587167587</v>
      </c>
      <c r="AH300" s="304">
        <f t="shared" ca="1" si="144"/>
        <v>18.373446615212018</v>
      </c>
    </row>
    <row r="301" spans="1:34" x14ac:dyDescent="0.2">
      <c r="A301" s="347">
        <f t="shared" ca="1" si="122"/>
        <v>0.01</v>
      </c>
      <c r="B301" s="304">
        <f t="shared" ca="1" si="123"/>
        <v>2.9699999999999807</v>
      </c>
      <c r="D301" s="306">
        <f t="shared" ca="1" si="124"/>
        <v>3.5592539379207357</v>
      </c>
      <c r="E301" s="307">
        <f t="shared" ca="1" si="125"/>
        <v>7.8000611894678382</v>
      </c>
      <c r="F301" s="304">
        <f t="shared" ca="1" si="126"/>
        <v>8.5737531544853045</v>
      </c>
      <c r="G301" s="306">
        <f t="shared" ca="1" si="127"/>
        <v>60.315899628285045</v>
      </c>
      <c r="H301" s="307">
        <f t="shared" ca="1" si="128"/>
        <v>298.32586796571428</v>
      </c>
      <c r="I301" s="304">
        <f t="shared" ca="1" si="129"/>
        <v>304.36217118010273</v>
      </c>
      <c r="J301" s="306">
        <f t="shared" ca="1" si="130"/>
        <v>129.96258505803223</v>
      </c>
      <c r="K301" s="307">
        <f t="shared" ca="1" si="131"/>
        <v>673.75366548165459</v>
      </c>
      <c r="L301" s="304">
        <f t="shared" ca="1" si="116"/>
        <v>686.17364804029853</v>
      </c>
      <c r="M301" s="306">
        <f t="shared" ca="1" si="132"/>
        <v>1.3713042848487642</v>
      </c>
      <c r="N301" s="304">
        <f t="shared" ca="1" si="133"/>
        <v>78.569947950039833</v>
      </c>
      <c r="P301" s="310">
        <f t="shared" ca="1" si="134"/>
        <v>7</v>
      </c>
      <c r="Q301" s="304">
        <f t="shared" ca="1" si="135"/>
        <v>418.02127659574865</v>
      </c>
      <c r="R301" s="306">
        <f t="shared" ca="1" si="136"/>
        <v>0.2097854023928683</v>
      </c>
      <c r="S301" s="307">
        <f t="shared" ca="1" si="137"/>
        <v>5.1418523491889214</v>
      </c>
      <c r="T301" s="304">
        <f t="shared" ca="1" si="117"/>
        <v>50.441571545543319</v>
      </c>
      <c r="U301" s="311">
        <f t="shared" ca="1" si="118"/>
        <v>0</v>
      </c>
      <c r="V301" s="306">
        <f t="shared" ca="1" si="119"/>
        <v>1.1451549700581869</v>
      </c>
      <c r="W301" s="304">
        <f t="shared" ca="1" si="120"/>
        <v>325.72346623931412</v>
      </c>
      <c r="Y301" s="314" t="str">
        <f t="shared" ca="1" si="138"/>
        <v/>
      </c>
      <c r="Z301" s="315" t="str">
        <f t="shared" ca="1" si="139"/>
        <v/>
      </c>
      <c r="AA301" s="316" t="str">
        <f t="shared" ca="1" si="140"/>
        <v/>
      </c>
      <c r="AC301" s="310" t="e">
        <f t="shared" ca="1" si="141"/>
        <v>#N/A</v>
      </c>
      <c r="AD301" s="323" t="e">
        <f t="shared" ca="1" si="142"/>
        <v>#N/A</v>
      </c>
      <c r="AE301" s="324">
        <f t="shared" ca="1" si="121"/>
        <v>673.75366548165459</v>
      </c>
      <c r="AG301" s="306">
        <f t="shared" ca="1" si="143"/>
        <v>8.350583954714148</v>
      </c>
      <c r="AH301" s="304">
        <f t="shared" ca="1" si="144"/>
        <v>17.966149940691402</v>
      </c>
    </row>
    <row r="302" spans="1:34" x14ac:dyDescent="0.2">
      <c r="A302" s="347">
        <f t="shared" ca="1" si="122"/>
        <v>0.01</v>
      </c>
      <c r="B302" s="304">
        <f t="shared" ca="1" si="123"/>
        <v>2.9799999999999804</v>
      </c>
      <c r="D302" s="306">
        <f t="shared" ca="1" si="124"/>
        <v>3.3583641125450461</v>
      </c>
      <c r="E302" s="307">
        <f t="shared" ca="1" si="125"/>
        <v>6.8006597927633816</v>
      </c>
      <c r="F302" s="304">
        <f t="shared" ca="1" si="126"/>
        <v>7.5846940036720634</v>
      </c>
      <c r="G302" s="306">
        <f t="shared" ca="1" si="127"/>
        <v>60.349483269410499</v>
      </c>
      <c r="H302" s="307">
        <f t="shared" ca="1" si="128"/>
        <v>298.39387456364193</v>
      </c>
      <c r="I302" s="304">
        <f t="shared" ca="1" si="129"/>
        <v>304.43548496846967</v>
      </c>
      <c r="J302" s="306">
        <f t="shared" ca="1" si="130"/>
        <v>130.56591197252072</v>
      </c>
      <c r="K302" s="307">
        <f t="shared" ca="1" si="131"/>
        <v>676.73726419430136</v>
      </c>
      <c r="L302" s="304">
        <f t="shared" ca="1" si="116"/>
        <v>689.21751437293267</v>
      </c>
      <c r="M302" s="306">
        <f t="shared" ca="1" si="132"/>
        <v>1.3712404269135929</v>
      </c>
      <c r="N302" s="304">
        <f t="shared" ca="1" si="133"/>
        <v>78.566289159866102</v>
      </c>
      <c r="P302" s="310">
        <f t="shared" ca="1" si="134"/>
        <v>8</v>
      </c>
      <c r="Q302" s="304">
        <f t="shared" ca="1" si="135"/>
        <v>412.82608695653812</v>
      </c>
      <c r="R302" s="306">
        <f t="shared" ca="1" si="136"/>
        <v>0.20717817876577282</v>
      </c>
      <c r="S302" s="307">
        <f t="shared" ca="1" si="137"/>
        <v>5.1397805674012638</v>
      </c>
      <c r="T302" s="304">
        <f t="shared" ca="1" si="117"/>
        <v>50.421247366206401</v>
      </c>
      <c r="U302" s="311">
        <f t="shared" ca="1" si="118"/>
        <v>0</v>
      </c>
      <c r="V302" s="306">
        <f t="shared" ca="1" si="119"/>
        <v>1.1448129629403769</v>
      </c>
      <c r="W302" s="304">
        <f t="shared" ca="1" si="120"/>
        <v>325.78307753947377</v>
      </c>
      <c r="Y302" s="314" t="str">
        <f t="shared" ca="1" si="138"/>
        <v/>
      </c>
      <c r="Z302" s="315" t="str">
        <f t="shared" ca="1" si="139"/>
        <v/>
      </c>
      <c r="AA302" s="316" t="str">
        <f t="shared" ca="1" si="140"/>
        <v/>
      </c>
      <c r="AC302" s="310" t="e">
        <f t="shared" ca="1" si="141"/>
        <v>#N/A</v>
      </c>
      <c r="AD302" s="323" t="e">
        <f t="shared" ca="1" si="142"/>
        <v>#N/A</v>
      </c>
      <c r="AE302" s="324">
        <f t="shared" ca="1" si="121"/>
        <v>676.73726419430136</v>
      </c>
      <c r="AG302" s="306">
        <f t="shared" ca="1" si="143"/>
        <v>7.3313167647985455</v>
      </c>
      <c r="AH302" s="304">
        <f t="shared" ca="1" si="144"/>
        <v>16.946758635897204</v>
      </c>
    </row>
    <row r="303" spans="1:34" x14ac:dyDescent="0.2">
      <c r="A303" s="347">
        <f t="shared" ca="1" si="122"/>
        <v>0.01</v>
      </c>
      <c r="B303" s="304">
        <f t="shared" ca="1" si="123"/>
        <v>2.9899999999999802</v>
      </c>
      <c r="D303" s="306">
        <f t="shared" ca="1" si="124"/>
        <v>3.0363610352834449</v>
      </c>
      <c r="E303" s="307">
        <f t="shared" ca="1" si="125"/>
        <v>5.2030785685043348</v>
      </c>
      <c r="F303" s="304">
        <f t="shared" ca="1" si="126"/>
        <v>6.0242439298734141</v>
      </c>
      <c r="G303" s="306">
        <f t="shared" ca="1" si="127"/>
        <v>60.379846879763335</v>
      </c>
      <c r="H303" s="307">
        <f t="shared" ca="1" si="128"/>
        <v>298.44590534932695</v>
      </c>
      <c r="I303" s="304">
        <f t="shared" ca="1" si="129"/>
        <v>304.49250291099628</v>
      </c>
      <c r="J303" s="306">
        <f t="shared" ca="1" si="130"/>
        <v>131.1695586232666</v>
      </c>
      <c r="K303" s="307">
        <f t="shared" ca="1" si="131"/>
        <v>679.72146309386619</v>
      </c>
      <c r="L303" s="304">
        <f t="shared" ca="1" si="116"/>
        <v>692.26203167578728</v>
      </c>
      <c r="M303" s="306">
        <f t="shared" ca="1" si="132"/>
        <v>1.3711765607708799</v>
      </c>
      <c r="N303" s="304">
        <f t="shared" ca="1" si="133"/>
        <v>78.562629899434853</v>
      </c>
      <c r="P303" s="310">
        <f t="shared" ca="1" si="134"/>
        <v>8</v>
      </c>
      <c r="Q303" s="304">
        <f t="shared" ca="1" si="135"/>
        <v>404.47826086958179</v>
      </c>
      <c r="R303" s="306">
        <f t="shared" ca="1" si="136"/>
        <v>0.20298879379231038</v>
      </c>
      <c r="S303" s="307">
        <f t="shared" ca="1" si="137"/>
        <v>5.1377506794633403</v>
      </c>
      <c r="T303" s="304">
        <f t="shared" ca="1" si="117"/>
        <v>50.401334165535374</v>
      </c>
      <c r="U303" s="311">
        <f t="shared" ca="1" si="118"/>
        <v>0</v>
      </c>
      <c r="V303" s="306">
        <f t="shared" ca="1" si="119"/>
        <v>1.1444709857406938</v>
      </c>
      <c r="W303" s="304">
        <f t="shared" ca="1" si="120"/>
        <v>325.80776726484459</v>
      </c>
      <c r="Y303" s="314" t="str">
        <f t="shared" ca="1" si="138"/>
        <v/>
      </c>
      <c r="Z303" s="315" t="str">
        <f t="shared" ca="1" si="139"/>
        <v/>
      </c>
      <c r="AA303" s="316" t="str">
        <f t="shared" ca="1" si="140"/>
        <v/>
      </c>
      <c r="AC303" s="310" t="e">
        <f t="shared" ca="1" si="141"/>
        <v>#N/A</v>
      </c>
      <c r="AD303" s="323" t="e">
        <f t="shared" ca="1" si="142"/>
        <v>#N/A</v>
      </c>
      <c r="AE303" s="324">
        <f t="shared" ca="1" si="121"/>
        <v>679.72146309386619</v>
      </c>
      <c r="AG303" s="306">
        <f t="shared" ca="1" si="143"/>
        <v>5.7017321531803766</v>
      </c>
      <c r="AH303" s="304">
        <f t="shared" ca="1" si="144"/>
        <v>15.3170498608796</v>
      </c>
    </row>
    <row r="304" spans="1:34" x14ac:dyDescent="0.2">
      <c r="A304" s="347">
        <f t="shared" ca="1" si="122"/>
        <v>0.01</v>
      </c>
      <c r="B304" s="304">
        <f t="shared" ca="1" si="123"/>
        <v>2.99999999999998</v>
      </c>
      <c r="D304" s="306">
        <f t="shared" ca="1" si="124"/>
        <v>2.7152248018633518</v>
      </c>
      <c r="E304" s="307">
        <f t="shared" ca="1" si="125"/>
        <v>3.6108310569705573</v>
      </c>
      <c r="F304" s="304">
        <f t="shared" ca="1" si="126"/>
        <v>4.5178032987987633</v>
      </c>
      <c r="G304" s="306">
        <f t="shared" ca="1" si="127"/>
        <v>60.406999127781965</v>
      </c>
      <c r="H304" s="307">
        <f t="shared" ca="1" si="128"/>
        <v>298.48201365989667</v>
      </c>
      <c r="I304" s="304">
        <f t="shared" ca="1" si="129"/>
        <v>304.53327900590864</v>
      </c>
      <c r="J304" s="306">
        <f t="shared" ca="1" si="130"/>
        <v>131.77349285330433</v>
      </c>
      <c r="K304" s="307">
        <f t="shared" ca="1" si="131"/>
        <v>682.70610268891232</v>
      </c>
      <c r="L304" s="304">
        <f t="shared" ca="1" si="116"/>
        <v>695.30703726299475</v>
      </c>
      <c r="M304" s="306">
        <f t="shared" ca="1" si="132"/>
        <v>1.3711126830147204</v>
      </c>
      <c r="N304" s="304">
        <f t="shared" ca="1" si="133"/>
        <v>78.55896997360216</v>
      </c>
      <c r="P304" s="310">
        <f t="shared" ca="1" si="134"/>
        <v>8</v>
      </c>
      <c r="Q304" s="304">
        <f t="shared" ca="1" si="135"/>
        <v>396.13043478262546</v>
      </c>
      <c r="R304" s="306">
        <f t="shared" ca="1" si="136"/>
        <v>0.19879940881884794</v>
      </c>
      <c r="S304" s="307">
        <f t="shared" ca="1" si="137"/>
        <v>5.1357626853751519</v>
      </c>
      <c r="T304" s="304">
        <f t="shared" ca="1" si="117"/>
        <v>50.381831943530244</v>
      </c>
      <c r="U304" s="311">
        <f t="shared" ca="1" si="118"/>
        <v>0</v>
      </c>
      <c r="V304" s="306">
        <f t="shared" ca="1" si="119"/>
        <v>1.1441290567451239</v>
      </c>
      <c r="W304" s="304">
        <f t="shared" ca="1" si="120"/>
        <v>325.79766781285468</v>
      </c>
      <c r="Y304" s="314" t="str">
        <f t="shared" ca="1" si="138"/>
        <v/>
      </c>
      <c r="Z304" s="315" t="str">
        <f t="shared" ca="1" si="139"/>
        <v/>
      </c>
      <c r="AA304" s="316" t="str">
        <f t="shared" ca="1" si="140"/>
        <v/>
      </c>
      <c r="AC304" s="310">
        <f t="shared" ca="1" si="141"/>
        <v>2.99999999999998</v>
      </c>
      <c r="AD304" s="323">
        <f t="shared" ca="1" si="142"/>
        <v>131.77349285330433</v>
      </c>
      <c r="AE304" s="324">
        <f t="shared" ca="1" si="121"/>
        <v>682.70610268891232</v>
      </c>
      <c r="AG304" s="306">
        <f t="shared" ca="1" si="143"/>
        <v>4.0775473608445676</v>
      </c>
      <c r="AH304" s="304">
        <f t="shared" ca="1" si="144"/>
        <v>13.692740849968619</v>
      </c>
    </row>
    <row r="305" spans="1:34" x14ac:dyDescent="0.2">
      <c r="A305" s="347">
        <f t="shared" ca="1" si="122"/>
        <v>0.01</v>
      </c>
      <c r="B305" s="304">
        <f t="shared" ca="1" si="123"/>
        <v>3.0099999999999798</v>
      </c>
      <c r="D305" s="306">
        <f t="shared" ca="1" si="124"/>
        <v>2.3949604478574074</v>
      </c>
      <c r="E305" s="307">
        <f t="shared" ca="1" si="125"/>
        <v>2.0239369184707137</v>
      </c>
      <c r="F305" s="304">
        <f t="shared" ca="1" si="126"/>
        <v>3.135626922443115</v>
      </c>
      <c r="G305" s="306">
        <f t="shared" ca="1" si="127"/>
        <v>60.430948732260539</v>
      </c>
      <c r="H305" s="307">
        <f t="shared" ca="1" si="128"/>
        <v>298.50225302908137</v>
      </c>
      <c r="I305" s="304">
        <f t="shared" ca="1" si="129"/>
        <v>304.55786745398456</v>
      </c>
      <c r="J305" s="306">
        <f t="shared" ca="1" si="130"/>
        <v>132.37768259260454</v>
      </c>
      <c r="K305" s="307">
        <f t="shared" ca="1" si="131"/>
        <v>685.69102402235717</v>
      </c>
      <c r="L305" s="304">
        <f t="shared" ca="1" si="116"/>
        <v>698.35236898962194</v>
      </c>
      <c r="M305" s="306">
        <f t="shared" ca="1" si="132"/>
        <v>1.3710487902490149</v>
      </c>
      <c r="N305" s="304">
        <f t="shared" ca="1" si="133"/>
        <v>78.555309187785809</v>
      </c>
      <c r="P305" s="310">
        <f t="shared" ca="1" si="134"/>
        <v>8</v>
      </c>
      <c r="Q305" s="304">
        <f t="shared" ca="1" si="135"/>
        <v>387.78260869566913</v>
      </c>
      <c r="R305" s="306">
        <f t="shared" ca="1" si="136"/>
        <v>0.1946100238453855</v>
      </c>
      <c r="S305" s="307">
        <f t="shared" ca="1" si="137"/>
        <v>5.1338165851366977</v>
      </c>
      <c r="T305" s="304">
        <f t="shared" ca="1" si="117"/>
        <v>50.362740700191004</v>
      </c>
      <c r="U305" s="311">
        <f t="shared" ca="1" si="118"/>
        <v>0</v>
      </c>
      <c r="V305" s="306">
        <f t="shared" ca="1" si="119"/>
        <v>1.1437871941573596</v>
      </c>
      <c r="W305" s="304">
        <f t="shared" ca="1" si="120"/>
        <v>325.75291750686159</v>
      </c>
      <c r="Y305" s="314" t="str">
        <f t="shared" ca="1" si="138"/>
        <v/>
      </c>
      <c r="Z305" s="315" t="str">
        <f t="shared" ca="1" si="139"/>
        <v/>
      </c>
      <c r="AA305" s="316" t="str">
        <f t="shared" ca="1" si="140"/>
        <v/>
      </c>
      <c r="AC305" s="310" t="e">
        <f t="shared" ca="1" si="141"/>
        <v>#N/A</v>
      </c>
      <c r="AD305" s="323" t="e">
        <f t="shared" ca="1" si="142"/>
        <v>#N/A</v>
      </c>
      <c r="AE305" s="324">
        <f t="shared" ca="1" si="121"/>
        <v>685.69102402235717</v>
      </c>
      <c r="AG305" s="306">
        <f t="shared" ca="1" si="143"/>
        <v>2.4587826429833672</v>
      </c>
      <c r="AH305" s="304">
        <f t="shared" ca="1" si="144"/>
        <v>12.073851851714327</v>
      </c>
    </row>
    <row r="306" spans="1:34" x14ac:dyDescent="0.2">
      <c r="A306" s="347">
        <f t="shared" ca="1" si="122"/>
        <v>0.01</v>
      </c>
      <c r="B306" s="304">
        <f t="shared" ca="1" si="123"/>
        <v>3.0199999999999796</v>
      </c>
      <c r="D306" s="306">
        <f t="shared" ca="1" si="124"/>
        <v>2.0755727168630833</v>
      </c>
      <c r="E306" s="307">
        <f t="shared" ca="1" si="125"/>
        <v>0.44241445495582177</v>
      </c>
      <c r="F306" s="304">
        <f t="shared" ca="1" si="126"/>
        <v>2.1221999559278708</v>
      </c>
      <c r="G306" s="306">
        <f t="shared" ca="1" si="127"/>
        <v>60.451704459429173</v>
      </c>
      <c r="H306" s="307">
        <f t="shared" ca="1" si="128"/>
        <v>298.50667717363092</v>
      </c>
      <c r="I306" s="304">
        <f t="shared" ca="1" si="129"/>
        <v>304.56632264466219</v>
      </c>
      <c r="J306" s="306">
        <f t="shared" ca="1" si="130"/>
        <v>132.98209585856299</v>
      </c>
      <c r="K306" s="307">
        <f t="shared" ca="1" si="131"/>
        <v>688.67606867337076</v>
      </c>
      <c r="L306" s="304">
        <f t="shared" ca="1" si="116"/>
        <v>701.39786525362717</v>
      </c>
      <c r="M306" s="306">
        <f t="shared" ca="1" si="132"/>
        <v>1.370984879086435</v>
      </c>
      <c r="N306" s="304">
        <f t="shared" ca="1" si="133"/>
        <v>78.551647347906211</v>
      </c>
      <c r="P306" s="310">
        <f t="shared" ca="1" si="134"/>
        <v>8</v>
      </c>
      <c r="Q306" s="304">
        <f t="shared" ca="1" si="135"/>
        <v>379.43478260871274</v>
      </c>
      <c r="R306" s="306">
        <f t="shared" ca="1" si="136"/>
        <v>0.19042063887192304</v>
      </c>
      <c r="S306" s="307">
        <f t="shared" ca="1" si="137"/>
        <v>5.1319123787479786</v>
      </c>
      <c r="T306" s="304">
        <f t="shared" ca="1" si="117"/>
        <v>50.344060435517669</v>
      </c>
      <c r="U306" s="311">
        <f t="shared" ca="1" si="118"/>
        <v>0</v>
      </c>
      <c r="V306" s="306">
        <f t="shared" ca="1" si="119"/>
        <v>1.1434454160986847</v>
      </c>
      <c r="W306" s="304">
        <f t="shared" ca="1" si="120"/>
        <v>325.6736604904246</v>
      </c>
      <c r="Y306" s="314" t="str">
        <f t="shared" ca="1" si="138"/>
        <v/>
      </c>
      <c r="Z306" s="315" t="str">
        <f t="shared" ca="1" si="139"/>
        <v/>
      </c>
      <c r="AA306" s="316" t="str">
        <f t="shared" ca="1" si="140"/>
        <v/>
      </c>
      <c r="AC306" s="310" t="e">
        <f t="shared" ca="1" si="141"/>
        <v>#N/A</v>
      </c>
      <c r="AD306" s="323" t="e">
        <f t="shared" ca="1" si="142"/>
        <v>#N/A</v>
      </c>
      <c r="AE306" s="324">
        <f t="shared" ca="1" si="121"/>
        <v>688.67606867337076</v>
      </c>
      <c r="AG306" s="306">
        <f t="shared" ca="1" si="143"/>
        <v>0.84545686562729294</v>
      </c>
      <c r="AH306" s="304">
        <f t="shared" ca="1" si="144"/>
        <v>10.46040172551578</v>
      </c>
    </row>
    <row r="307" spans="1:34" x14ac:dyDescent="0.2">
      <c r="A307" s="347">
        <f t="shared" ca="1" si="122"/>
        <v>0.01</v>
      </c>
      <c r="B307" s="304">
        <f t="shared" ca="1" si="123"/>
        <v>3.0299999999999794</v>
      </c>
      <c r="D307" s="306">
        <f t="shared" ca="1" si="124"/>
        <v>1.7570660636009441</v>
      </c>
      <c r="E307" s="307">
        <f t="shared" ca="1" si="125"/>
        <v>-1.1337193738338076</v>
      </c>
      <c r="F307" s="304">
        <f t="shared" ca="1" si="126"/>
        <v>2.0910764621276376</v>
      </c>
      <c r="G307" s="306">
        <f t="shared" ca="1" si="127"/>
        <v>60.469275120065184</v>
      </c>
      <c r="H307" s="307">
        <f t="shared" ca="1" si="128"/>
        <v>298.49533997989261</v>
      </c>
      <c r="I307" s="304">
        <f t="shared" ca="1" si="129"/>
        <v>304.55869914231278</v>
      </c>
      <c r="J307" s="306">
        <f t="shared" ca="1" si="130"/>
        <v>133.58670075646046</v>
      </c>
      <c r="K307" s="307">
        <f t="shared" ca="1" si="131"/>
        <v>691.66107875913838</v>
      </c>
      <c r="L307" s="304">
        <f t="shared" ca="1" si="116"/>
        <v>704.44336499767758</v>
      </c>
      <c r="M307" s="306">
        <f t="shared" ca="1" si="132"/>
        <v>1.3709209461473952</v>
      </c>
      <c r="N307" s="304">
        <f t="shared" ca="1" si="133"/>
        <v>78.547984260327368</v>
      </c>
      <c r="P307" s="310">
        <f t="shared" ca="1" si="134"/>
        <v>8</v>
      </c>
      <c r="Q307" s="304">
        <f t="shared" ca="1" si="135"/>
        <v>371.08695652175641</v>
      </c>
      <c r="R307" s="306">
        <f t="shared" ca="1" si="136"/>
        <v>0.1862312538984606</v>
      </c>
      <c r="S307" s="307">
        <f t="shared" ca="1" si="137"/>
        <v>5.1300500662089936</v>
      </c>
      <c r="T307" s="304">
        <f t="shared" ca="1" si="117"/>
        <v>50.325791149510231</v>
      </c>
      <c r="U307" s="311">
        <f t="shared" ca="1" si="118"/>
        <v>0</v>
      </c>
      <c r="V307" s="306">
        <f t="shared" ca="1" si="119"/>
        <v>1.1431037406078803</v>
      </c>
      <c r="W307" s="304">
        <f t="shared" ca="1" si="120"/>
        <v>325.56004662204197</v>
      </c>
      <c r="Y307" s="314" t="str">
        <f t="shared" ca="1" si="138"/>
        <v/>
      </c>
      <c r="Z307" s="315" t="str">
        <f t="shared" ca="1" si="139"/>
        <v/>
      </c>
      <c r="AA307" s="316" t="str">
        <f t="shared" ca="1" si="140"/>
        <v/>
      </c>
      <c r="AC307" s="310" t="e">
        <f t="shared" ca="1" si="141"/>
        <v>#N/A</v>
      </c>
      <c r="AD307" s="323" t="e">
        <f t="shared" ca="1" si="142"/>
        <v>#N/A</v>
      </c>
      <c r="AE307" s="324">
        <f t="shared" ca="1" si="121"/>
        <v>691.66107875913838</v>
      </c>
      <c r="AG307" s="306">
        <f t="shared" ca="1" si="143"/>
        <v>-0.76241247791837097</v>
      </c>
      <c r="AH307" s="304">
        <f t="shared" ca="1" si="144"/>
        <v>8.852407958055533</v>
      </c>
    </row>
    <row r="308" spans="1:34" x14ac:dyDescent="0.2">
      <c r="A308" s="347">
        <f t="shared" ca="1" si="122"/>
        <v>0.01</v>
      </c>
      <c r="B308" s="304">
        <f t="shared" ca="1" si="123"/>
        <v>3.0399999999999792</v>
      </c>
      <c r="D308" s="306">
        <f t="shared" ca="1" si="124"/>
        <v>1.4394446570321413</v>
      </c>
      <c r="E308" s="307">
        <f t="shared" ca="1" si="125"/>
        <v>-2.704448934108779</v>
      </c>
      <c r="F308" s="304">
        <f t="shared" ca="1" si="126"/>
        <v>3.0636652816292593</v>
      </c>
      <c r="G308" s="306">
        <f t="shared" ca="1" si="127"/>
        <v>60.483669566635506</v>
      </c>
      <c r="H308" s="307">
        <f t="shared" ca="1" si="128"/>
        <v>298.4682954905515</v>
      </c>
      <c r="I308" s="304">
        <f t="shared" ca="1" si="129"/>
        <v>304.53505167267878</v>
      </c>
      <c r="J308" s="306">
        <f t="shared" ca="1" si="130"/>
        <v>134.19146547989396</v>
      </c>
      <c r="K308" s="307">
        <f t="shared" ca="1" si="131"/>
        <v>694.64589693649054</v>
      </c>
      <c r="L308" s="304">
        <f t="shared" ca="1" si="116"/>
        <v>707.48870771083193</v>
      </c>
      <c r="M308" s="306">
        <f t="shared" ca="1" si="132"/>
        <v>1.3708569880590349</v>
      </c>
      <c r="N308" s="304">
        <f t="shared" ca="1" si="133"/>
        <v>78.544319731798595</v>
      </c>
      <c r="P308" s="310">
        <f t="shared" ca="1" si="134"/>
        <v>8</v>
      </c>
      <c r="Q308" s="304">
        <f t="shared" ca="1" si="135"/>
        <v>362.73913043480007</v>
      </c>
      <c r="R308" s="306">
        <f t="shared" ca="1" si="136"/>
        <v>0.18204186892499816</v>
      </c>
      <c r="S308" s="307">
        <f t="shared" ca="1" si="137"/>
        <v>5.1282296475197438</v>
      </c>
      <c r="T308" s="304">
        <f t="shared" ca="1" si="117"/>
        <v>50.30793284216869</v>
      </c>
      <c r="U308" s="311">
        <f t="shared" ca="1" si="118"/>
        <v>0</v>
      </c>
      <c r="V308" s="306">
        <f t="shared" ca="1" si="119"/>
        <v>1.1427621856411501</v>
      </c>
      <c r="W308" s="304">
        <f t="shared" ca="1" si="120"/>
        <v>325.41223137038804</v>
      </c>
      <c r="Y308" s="314" t="str">
        <f t="shared" ca="1" si="138"/>
        <v/>
      </c>
      <c r="Z308" s="315" t="str">
        <f t="shared" ca="1" si="139"/>
        <v/>
      </c>
      <c r="AA308" s="316" t="str">
        <f t="shared" ca="1" si="140"/>
        <v/>
      </c>
      <c r="AC308" s="310" t="e">
        <f t="shared" ca="1" si="141"/>
        <v>#N/A</v>
      </c>
      <c r="AD308" s="323" t="e">
        <f t="shared" ca="1" si="142"/>
        <v>#N/A</v>
      </c>
      <c r="AE308" s="324">
        <f t="shared" ca="1" si="121"/>
        <v>694.64589693649054</v>
      </c>
      <c r="AG308" s="306">
        <f t="shared" ca="1" si="143"/>
        <v>-2.364809250522609</v>
      </c>
      <c r="AH308" s="304">
        <f t="shared" ca="1" si="144"/>
        <v>7.2498866798486068</v>
      </c>
    </row>
    <row r="309" spans="1:34" x14ac:dyDescent="0.2">
      <c r="A309" s="347">
        <f t="shared" ca="1" si="122"/>
        <v>0.01</v>
      </c>
      <c r="B309" s="304">
        <f t="shared" ca="1" si="123"/>
        <v>3.049999999999979</v>
      </c>
      <c r="D309" s="306">
        <f t="shared" ca="1" si="124"/>
        <v>1.1227123834933848</v>
      </c>
      <c r="E309" s="307">
        <f t="shared" ca="1" si="125"/>
        <v>-4.2697599016668741</v>
      </c>
      <c r="F309" s="304">
        <f t="shared" ca="1" si="126"/>
        <v>4.414898947193663</v>
      </c>
      <c r="G309" s="306">
        <f t="shared" ca="1" si="127"/>
        <v>60.494896690470441</v>
      </c>
      <c r="H309" s="307">
        <f t="shared" ca="1" si="128"/>
        <v>298.42559789153484</v>
      </c>
      <c r="I309" s="304">
        <f t="shared" ca="1" si="129"/>
        <v>304.49543510947865</v>
      </c>
      <c r="J309" s="306">
        <f t="shared" ca="1" si="130"/>
        <v>134.79635831117949</v>
      </c>
      <c r="K309" s="307">
        <f t="shared" ca="1" si="131"/>
        <v>697.63036640340101</v>
      </c>
      <c r="L309" s="304">
        <f t="shared" ca="1" si="116"/>
        <v>710.53373343008809</v>
      </c>
      <c r="M309" s="306">
        <f t="shared" ca="1" si="132"/>
        <v>1.3707930014542025</v>
      </c>
      <c r="N309" s="304">
        <f t="shared" ca="1" si="133"/>
        <v>78.540653569396326</v>
      </c>
      <c r="P309" s="310">
        <f t="shared" ca="1" si="134"/>
        <v>8</v>
      </c>
      <c r="Q309" s="304">
        <f t="shared" ca="1" si="135"/>
        <v>354.39130434784374</v>
      </c>
      <c r="R309" s="306">
        <f t="shared" ca="1" si="136"/>
        <v>0.17785248395153572</v>
      </c>
      <c r="S309" s="307">
        <f t="shared" ca="1" si="137"/>
        <v>5.1264511226802281</v>
      </c>
      <c r="T309" s="304">
        <f t="shared" ca="1" si="117"/>
        <v>50.290485513493039</v>
      </c>
      <c r="U309" s="311">
        <f t="shared" ca="1" si="118"/>
        <v>0</v>
      </c>
      <c r="V309" s="306">
        <f t="shared" ca="1" si="119"/>
        <v>1.1424207690720618</v>
      </c>
      <c r="W309" s="304">
        <f t="shared" ca="1" si="120"/>
        <v>325.23037571009388</v>
      </c>
      <c r="Y309" s="314" t="str">
        <f t="shared" ca="1" si="138"/>
        <v/>
      </c>
      <c r="Z309" s="315" t="str">
        <f t="shared" ca="1" si="139"/>
        <v/>
      </c>
      <c r="AA309" s="316" t="str">
        <f t="shared" ca="1" si="140"/>
        <v/>
      </c>
      <c r="AC309" s="310" t="e">
        <f t="shared" ca="1" si="141"/>
        <v>#N/A</v>
      </c>
      <c r="AD309" s="323" t="e">
        <f t="shared" ca="1" si="142"/>
        <v>#N/A</v>
      </c>
      <c r="AE309" s="324">
        <f t="shared" ca="1" si="121"/>
        <v>697.63036640340101</v>
      </c>
      <c r="AG309" s="306">
        <f t="shared" ca="1" si="143"/>
        <v>-3.9617186545724392</v>
      </c>
      <c r="AH309" s="304">
        <f t="shared" ca="1" si="144"/>
        <v>5.6528526818967828</v>
      </c>
    </row>
    <row r="310" spans="1:34" x14ac:dyDescent="0.2">
      <c r="A310" s="347">
        <f t="shared" ca="1" si="122"/>
        <v>0.01</v>
      </c>
      <c r="B310" s="304">
        <f t="shared" ca="1" si="123"/>
        <v>3.0599999999999787</v>
      </c>
      <c r="D310" s="306">
        <f t="shared" ca="1" si="124"/>
        <v>0.80687284984727503</v>
      </c>
      <c r="E310" s="307">
        <f t="shared" ca="1" si="125"/>
        <v>-5.8296392454365371</v>
      </c>
      <c r="F310" s="304">
        <f t="shared" ca="1" si="126"/>
        <v>5.8852134649267009</v>
      </c>
      <c r="G310" s="306">
        <f t="shared" ca="1" si="127"/>
        <v>60.502965418968913</v>
      </c>
      <c r="H310" s="307">
        <f t="shared" ca="1" si="128"/>
        <v>298.3673014990805</v>
      </c>
      <c r="I310" s="304">
        <f t="shared" ca="1" si="129"/>
        <v>304.43990446117959</v>
      </c>
      <c r="J310" s="306">
        <f t="shared" ca="1" si="130"/>
        <v>135.4013476217267</v>
      </c>
      <c r="K310" s="307">
        <f t="shared" ca="1" si="131"/>
        <v>700.61433090035405</v>
      </c>
      <c r="L310" s="304">
        <f t="shared" ca="1" si="116"/>
        <v>713.57828274179599</v>
      </c>
      <c r="M310" s="306">
        <f t="shared" ca="1" si="132"/>
        <v>1.3707289829704494</v>
      </c>
      <c r="N310" s="304">
        <f t="shared" ca="1" si="133"/>
        <v>78.53698558046645</v>
      </c>
      <c r="P310" s="310">
        <f t="shared" ca="1" si="134"/>
        <v>8</v>
      </c>
      <c r="Q310" s="304">
        <f t="shared" ca="1" si="135"/>
        <v>346.04347826088735</v>
      </c>
      <c r="R310" s="306">
        <f t="shared" ca="1" si="136"/>
        <v>0.17366309897807322</v>
      </c>
      <c r="S310" s="307">
        <f t="shared" ca="1" si="137"/>
        <v>5.1247144916904475</v>
      </c>
      <c r="T310" s="304">
        <f t="shared" ca="1" si="117"/>
        <v>50.273449163483292</v>
      </c>
      <c r="U310" s="311">
        <f t="shared" ca="1" si="118"/>
        <v>0</v>
      </c>
      <c r="V310" s="306">
        <f t="shared" ca="1" si="119"/>
        <v>1.1420795086915083</v>
      </c>
      <c r="W310" s="304">
        <f t="shared" ca="1" si="120"/>
        <v>325.01464601810648</v>
      </c>
      <c r="Y310" s="314" t="str">
        <f t="shared" ca="1" si="138"/>
        <v/>
      </c>
      <c r="Z310" s="315" t="str">
        <f t="shared" ca="1" si="139"/>
        <v/>
      </c>
      <c r="AA310" s="316" t="str">
        <f t="shared" ca="1" si="140"/>
        <v/>
      </c>
      <c r="AC310" s="310" t="e">
        <f t="shared" ca="1" si="141"/>
        <v>#N/A</v>
      </c>
      <c r="AD310" s="323" t="e">
        <f t="shared" ca="1" si="142"/>
        <v>#N/A</v>
      </c>
      <c r="AE310" s="324">
        <f t="shared" ca="1" si="121"/>
        <v>700.61433090035405</v>
      </c>
      <c r="AG310" s="306">
        <f t="shared" ca="1" si="143"/>
        <v>-5.5531272152226157</v>
      </c>
      <c r="AH310" s="304">
        <f t="shared" ca="1" si="144"/>
        <v>4.0613194324369131</v>
      </c>
    </row>
    <row r="311" spans="1:34" x14ac:dyDescent="0.2">
      <c r="A311" s="347">
        <f t="shared" ca="1" si="122"/>
        <v>0.01</v>
      </c>
      <c r="B311" s="304">
        <f t="shared" ca="1" si="123"/>
        <v>3.0699999999999785</v>
      </c>
      <c r="D311" s="306">
        <f t="shared" ca="1" si="124"/>
        <v>0.49192938664617819</v>
      </c>
      <c r="E311" s="307">
        <f t="shared" ca="1" si="125"/>
        <v>-7.3840752109366719</v>
      </c>
      <c r="F311" s="304">
        <f t="shared" ca="1" si="126"/>
        <v>7.4004433138978607</v>
      </c>
      <c r="G311" s="306">
        <f t="shared" ca="1" si="127"/>
        <v>60.507884712835377</v>
      </c>
      <c r="H311" s="307">
        <f t="shared" ca="1" si="128"/>
        <v>298.29346074697111</v>
      </c>
      <c r="I311" s="304">
        <f t="shared" ca="1" si="129"/>
        <v>304.36851485793756</v>
      </c>
      <c r="J311" s="306">
        <f t="shared" ca="1" si="130"/>
        <v>136.00640187238571</v>
      </c>
      <c r="K311" s="307">
        <f t="shared" ca="1" si="131"/>
        <v>703.59763471158431</v>
      </c>
      <c r="L311" s="304">
        <f t="shared" ca="1" si="116"/>
        <v>716.6221967829415</v>
      </c>
      <c r="M311" s="306">
        <f t="shared" ca="1" si="132"/>
        <v>1.3706649292490267</v>
      </c>
      <c r="N311" s="304">
        <f t="shared" ca="1" si="133"/>
        <v>78.533315572566821</v>
      </c>
      <c r="P311" s="310">
        <f t="shared" ca="1" si="134"/>
        <v>8</v>
      </c>
      <c r="Q311" s="304">
        <f t="shared" ca="1" si="135"/>
        <v>337.69565217393102</v>
      </c>
      <c r="R311" s="306">
        <f t="shared" ca="1" si="136"/>
        <v>0.16947371400461078</v>
      </c>
      <c r="S311" s="307">
        <f t="shared" ca="1" si="137"/>
        <v>5.123019754550401</v>
      </c>
      <c r="T311" s="304">
        <f t="shared" ca="1" si="117"/>
        <v>50.256823792139436</v>
      </c>
      <c r="U311" s="311">
        <f t="shared" ca="1" si="118"/>
        <v>0</v>
      </c>
      <c r="V311" s="306">
        <f t="shared" ca="1" si="119"/>
        <v>1.1417384222076827</v>
      </c>
      <c r="W311" s="304">
        <f t="shared" ca="1" si="120"/>
        <v>324.76521397066188</v>
      </c>
      <c r="Y311" s="314" t="str">
        <f t="shared" ca="1" si="138"/>
        <v/>
      </c>
      <c r="Z311" s="315" t="str">
        <f t="shared" ca="1" si="139"/>
        <v/>
      </c>
      <c r="AA311" s="316" t="str">
        <f t="shared" ca="1" si="140"/>
        <v/>
      </c>
      <c r="AC311" s="310" t="e">
        <f t="shared" ca="1" si="141"/>
        <v>#N/A</v>
      </c>
      <c r="AD311" s="323" t="e">
        <f t="shared" ca="1" si="142"/>
        <v>#N/A</v>
      </c>
      <c r="AE311" s="324">
        <f t="shared" ca="1" si="121"/>
        <v>703.59763471158431</v>
      </c>
      <c r="AG311" s="306">
        <f t="shared" ca="1" si="143"/>
        <v>-7.1390227635606829</v>
      </c>
      <c r="AH311" s="304">
        <f t="shared" ca="1" si="144"/>
        <v>2.4752990937739296</v>
      </c>
    </row>
    <row r="312" spans="1:34" x14ac:dyDescent="0.2">
      <c r="A312" s="347">
        <f t="shared" ca="1" si="122"/>
        <v>0.01</v>
      </c>
      <c r="B312" s="304">
        <f t="shared" ca="1" si="123"/>
        <v>3.0799999999999783</v>
      </c>
      <c r="D312" s="306">
        <f t="shared" ca="1" si="124"/>
        <v>0.17788505130780857</v>
      </c>
      <c r="E312" s="307">
        <f t="shared" ca="1" si="125"/>
        <v>-8.9330573036623964</v>
      </c>
      <c r="F312" s="304">
        <f t="shared" ca="1" si="126"/>
        <v>8.9348282513988408</v>
      </c>
      <c r="G312" s="306">
        <f t="shared" ca="1" si="127"/>
        <v>60.509663563348454</v>
      </c>
      <c r="H312" s="307">
        <f t="shared" ca="1" si="128"/>
        <v>298.20413017393446</v>
      </c>
      <c r="I312" s="304">
        <f t="shared" ca="1" si="129"/>
        <v>304.2813215387078</v>
      </c>
      <c r="J312" s="306">
        <f t="shared" ca="1" si="130"/>
        <v>136.61148961376662</v>
      </c>
      <c r="K312" s="307">
        <f t="shared" ca="1" si="131"/>
        <v>706.5801226661888</v>
      </c>
      <c r="L312" s="304">
        <f t="shared" ca="1" si="116"/>
        <v>719.6653172422989</v>
      </c>
      <c r="M312" s="306">
        <f t="shared" ca="1" si="132"/>
        <v>1.3706008369338858</v>
      </c>
      <c r="N312" s="304">
        <f t="shared" ca="1" si="133"/>
        <v>78.529643353410023</v>
      </c>
      <c r="P312" s="310">
        <f t="shared" ca="1" si="134"/>
        <v>8</v>
      </c>
      <c r="Q312" s="304">
        <f t="shared" ca="1" si="135"/>
        <v>329.34782608697469</v>
      </c>
      <c r="R312" s="306">
        <f t="shared" ca="1" si="136"/>
        <v>0.16528432903114834</v>
      </c>
      <c r="S312" s="307">
        <f t="shared" ca="1" si="137"/>
        <v>5.1213669112600897</v>
      </c>
      <c r="T312" s="304">
        <f t="shared" ca="1" si="117"/>
        <v>50.240609399461484</v>
      </c>
      <c r="U312" s="311">
        <f t="shared" ca="1" si="118"/>
        <v>0</v>
      </c>
      <c r="V312" s="306">
        <f t="shared" ca="1" si="119"/>
        <v>1.141397527246075</v>
      </c>
      <c r="W312" s="304">
        <f t="shared" ca="1" si="120"/>
        <v>324.48225644091264</v>
      </c>
      <c r="Y312" s="314" t="str">
        <f t="shared" ca="1" si="138"/>
        <v/>
      </c>
      <c r="Z312" s="315" t="str">
        <f t="shared" ca="1" si="139"/>
        <v/>
      </c>
      <c r="AA312" s="316" t="str">
        <f t="shared" ca="1" si="140"/>
        <v/>
      </c>
      <c r="AC312" s="310" t="e">
        <f t="shared" ca="1" si="141"/>
        <v>#N/A</v>
      </c>
      <c r="AD312" s="323" t="e">
        <f t="shared" ca="1" si="142"/>
        <v>#N/A</v>
      </c>
      <c r="AE312" s="324">
        <f t="shared" ca="1" si="121"/>
        <v>706.5801226661888</v>
      </c>
      <c r="AG312" s="306">
        <f t="shared" ca="1" si="143"/>
        <v>-8.7193944196970943</v>
      </c>
      <c r="AH312" s="304">
        <f t="shared" ca="1" si="144"/>
        <v>0.89480253918875829</v>
      </c>
    </row>
    <row r="313" spans="1:34" x14ac:dyDescent="0.2">
      <c r="A313" s="347">
        <f t="shared" ca="1" si="122"/>
        <v>0.01</v>
      </c>
      <c r="B313" s="304">
        <f t="shared" ca="1" si="123"/>
        <v>3.0899999999999781</v>
      </c>
      <c r="D313" s="306">
        <f t="shared" ca="1" si="124"/>
        <v>-0.1352573686995085</v>
      </c>
      <c r="E313" s="307">
        <f t="shared" ca="1" si="125"/>
        <v>-10.476576272406895</v>
      </c>
      <c r="F313" s="304">
        <f t="shared" ca="1" si="126"/>
        <v>10.477449353127252</v>
      </c>
      <c r="G313" s="306">
        <f t="shared" ca="1" si="127"/>
        <v>60.50831098966146</v>
      </c>
      <c r="H313" s="307">
        <f t="shared" ca="1" si="128"/>
        <v>298.09936441121039</v>
      </c>
      <c r="I313" s="304">
        <f t="shared" ca="1" si="129"/>
        <v>304.17837983852365</v>
      </c>
      <c r="J313" s="306">
        <f t="shared" ca="1" si="130"/>
        <v>137.21657948653169</v>
      </c>
      <c r="K313" s="307">
        <f t="shared" ca="1" si="131"/>
        <v>709.5616401391145</v>
      </c>
      <c r="L313" s="304">
        <f t="shared" ca="1" si="116"/>
        <v>722.70748636145584</v>
      </c>
      <c r="M313" s="306">
        <f t="shared" ca="1" si="132"/>
        <v>1.3705367026706838</v>
      </c>
      <c r="N313" s="304">
        <f t="shared" ca="1" si="133"/>
        <v>78.525968730806369</v>
      </c>
      <c r="P313" s="310">
        <f t="shared" ca="1" si="134"/>
        <v>8</v>
      </c>
      <c r="Q313" s="304">
        <f t="shared" ca="1" si="135"/>
        <v>321.00000000001836</v>
      </c>
      <c r="R313" s="306">
        <f t="shared" ca="1" si="136"/>
        <v>0.1610949440576859</v>
      </c>
      <c r="S313" s="307">
        <f t="shared" ca="1" si="137"/>
        <v>5.1197559618195125</v>
      </c>
      <c r="T313" s="304">
        <f t="shared" ca="1" si="117"/>
        <v>50.224805985449422</v>
      </c>
      <c r="U313" s="311">
        <f t="shared" ca="1" si="118"/>
        <v>0</v>
      </c>
      <c r="V313" s="306">
        <f t="shared" ca="1" si="119"/>
        <v>1.1410568413494842</v>
      </c>
      <c r="W313" s="304">
        <f t="shared" ca="1" si="120"/>
        <v>324.16595539723664</v>
      </c>
      <c r="Y313" s="314" t="str">
        <f t="shared" ca="1" si="138"/>
        <v/>
      </c>
      <c r="Z313" s="315" t="str">
        <f t="shared" ca="1" si="139"/>
        <v/>
      </c>
      <c r="AA313" s="316" t="str">
        <f t="shared" ca="1" si="140"/>
        <v/>
      </c>
      <c r="AC313" s="310" t="e">
        <f t="shared" ca="1" si="141"/>
        <v>#N/A</v>
      </c>
      <c r="AD313" s="323" t="e">
        <f t="shared" ca="1" si="142"/>
        <v>#N/A</v>
      </c>
      <c r="AE313" s="324">
        <f t="shared" ca="1" si="121"/>
        <v>709.5616401391145</v>
      </c>
      <c r="AG313" s="306">
        <f t="shared" ca="1" si="143"/>
        <v>-10.294232575790831</v>
      </c>
      <c r="AH313" s="304">
        <f t="shared" ca="1" si="144"/>
        <v>-0.68016063008923466</v>
      </c>
    </row>
    <row r="314" spans="1:34" x14ac:dyDescent="0.2">
      <c r="A314" s="347">
        <f t="shared" ca="1" si="122"/>
        <v>0.01</v>
      </c>
      <c r="B314" s="304">
        <f t="shared" ca="1" si="123"/>
        <v>3.0999999999999779</v>
      </c>
      <c r="D314" s="306">
        <f t="shared" ca="1" si="124"/>
        <v>-0.4474953526634779</v>
      </c>
      <c r="E314" s="307">
        <f t="shared" ca="1" si="125"/>
        <v>-12.014624092527484</v>
      </c>
      <c r="F314" s="304">
        <f t="shared" ca="1" si="126"/>
        <v>12.022954885359807</v>
      </c>
      <c r="G314" s="306">
        <f t="shared" ca="1" si="127"/>
        <v>60.503836036134828</v>
      </c>
      <c r="H314" s="307">
        <f t="shared" ca="1" si="128"/>
        <v>297.97921817028509</v>
      </c>
      <c r="I314" s="304">
        <f t="shared" ca="1" si="129"/>
        <v>304.05974517594706</v>
      </c>
      <c r="J314" s="306">
        <f t="shared" ca="1" si="130"/>
        <v>137.82164022166066</v>
      </c>
      <c r="K314" s="307">
        <f t="shared" ca="1" si="131"/>
        <v>712.54203305202202</v>
      </c>
      <c r="L314" s="304">
        <f t="shared" ca="1" si="116"/>
        <v>725.74854693571228</v>
      </c>
      <c r="M314" s="306">
        <f t="shared" ca="1" si="132"/>
        <v>1.3704725231057904</v>
      </c>
      <c r="N314" s="304">
        <f t="shared" ca="1" si="133"/>
        <v>78.522291512606984</v>
      </c>
      <c r="P314" s="310">
        <f t="shared" ca="1" si="134"/>
        <v>8</v>
      </c>
      <c r="Q314" s="304">
        <f t="shared" ca="1" si="135"/>
        <v>312.65217391306203</v>
      </c>
      <c r="R314" s="306">
        <f t="shared" ca="1" si="136"/>
        <v>0.15690555908422346</v>
      </c>
      <c r="S314" s="307">
        <f t="shared" ca="1" si="137"/>
        <v>5.1181869062286705</v>
      </c>
      <c r="T314" s="304">
        <f t="shared" ca="1" si="117"/>
        <v>50.209413550103257</v>
      </c>
      <c r="U314" s="311">
        <f t="shared" ca="1" si="118"/>
        <v>0</v>
      </c>
      <c r="V314" s="306">
        <f t="shared" ca="1" si="119"/>
        <v>1.1407163819780448</v>
      </c>
      <c r="W314" s="304">
        <f t="shared" ca="1" si="120"/>
        <v>323.81649780226689</v>
      </c>
      <c r="Y314" s="314" t="str">
        <f t="shared" ca="1" si="138"/>
        <v/>
      </c>
      <c r="Z314" s="315" t="str">
        <f t="shared" ca="1" si="139"/>
        <v/>
      </c>
      <c r="AA314" s="316" t="str">
        <f t="shared" ca="1" si="140"/>
        <v/>
      </c>
      <c r="AC314" s="310" t="e">
        <f t="shared" ca="1" si="141"/>
        <v>#N/A</v>
      </c>
      <c r="AD314" s="323" t="e">
        <f t="shared" ca="1" si="142"/>
        <v>#N/A</v>
      </c>
      <c r="AE314" s="324">
        <f t="shared" ca="1" si="121"/>
        <v>712.54203305202202</v>
      </c>
      <c r="AG314" s="306">
        <f t="shared" ca="1" si="143"/>
        <v>-11.863528879018711</v>
      </c>
      <c r="AH314" s="304">
        <f t="shared" ca="1" si="144"/>
        <v>-2.249582067853503</v>
      </c>
    </row>
    <row r="315" spans="1:34" x14ac:dyDescent="0.2">
      <c r="A315" s="347">
        <f t="shared" ca="1" si="122"/>
        <v>0.01</v>
      </c>
      <c r="B315" s="304">
        <f t="shared" ca="1" si="123"/>
        <v>3.1099999999999777</v>
      </c>
      <c r="D315" s="306">
        <f t="shared" ca="1" si="124"/>
        <v>-0.75882664342842143</v>
      </c>
      <c r="E315" s="307">
        <f t="shared" ca="1" si="125"/>
        <v>-13.547193949166129</v>
      </c>
      <c r="F315" s="304">
        <f t="shared" ca="1" si="126"/>
        <v>13.56842959856078</v>
      </c>
      <c r="G315" s="306">
        <f t="shared" ca="1" si="127"/>
        <v>60.496247769700545</v>
      </c>
      <c r="H315" s="307">
        <f t="shared" ca="1" si="128"/>
        <v>297.84374623079344</v>
      </c>
      <c r="I315" s="304">
        <f t="shared" ca="1" si="129"/>
        <v>303.92547304068853</v>
      </c>
      <c r="J315" s="306">
        <f t="shared" ca="1" si="130"/>
        <v>138.42664064068984</v>
      </c>
      <c r="K315" s="307">
        <f t="shared" ca="1" si="131"/>
        <v>715.52114787402741</v>
      </c>
      <c r="L315" s="304">
        <f t="shared" ca="1" si="116"/>
        <v>728.78834231485371</v>
      </c>
      <c r="M315" s="306">
        <f t="shared" ca="1" si="132"/>
        <v>1.3704082948852969</v>
      </c>
      <c r="N315" s="304">
        <f t="shared" ca="1" si="133"/>
        <v>78.518611506647076</v>
      </c>
      <c r="P315" s="310">
        <f t="shared" ca="1" si="134"/>
        <v>8</v>
      </c>
      <c r="Q315" s="304">
        <f t="shared" ca="1" si="135"/>
        <v>304.30434782610564</v>
      </c>
      <c r="R315" s="306">
        <f t="shared" ca="1" si="136"/>
        <v>0.15271617411076099</v>
      </c>
      <c r="S315" s="307">
        <f t="shared" ca="1" si="137"/>
        <v>5.1166597444875626</v>
      </c>
      <c r="T315" s="304">
        <f t="shared" ca="1" si="117"/>
        <v>50.194432093422989</v>
      </c>
      <c r="U315" s="311">
        <f t="shared" ca="1" si="118"/>
        <v>0</v>
      </c>
      <c r="V315" s="306">
        <f t="shared" ca="1" si="119"/>
        <v>1.1403761665092711</v>
      </c>
      <c r="W315" s="304">
        <f t="shared" ca="1" si="120"/>
        <v>323.43407551266733</v>
      </c>
      <c r="Y315" s="314" t="str">
        <f t="shared" ca="1" si="138"/>
        <v/>
      </c>
      <c r="Z315" s="315" t="str">
        <f t="shared" ca="1" si="139"/>
        <v/>
      </c>
      <c r="AA315" s="316" t="str">
        <f t="shared" ca="1" si="140"/>
        <v/>
      </c>
      <c r="AC315" s="310" t="e">
        <f t="shared" ca="1" si="141"/>
        <v>#N/A</v>
      </c>
      <c r="AD315" s="323" t="e">
        <f t="shared" ca="1" si="142"/>
        <v>#N/A</v>
      </c>
      <c r="AE315" s="324">
        <f t="shared" ca="1" si="121"/>
        <v>715.52114787402741</v>
      </c>
      <c r="AG315" s="306">
        <f t="shared" ca="1" si="143"/>
        <v>-13.42727621449888</v>
      </c>
      <c r="AH315" s="304">
        <f t="shared" ca="1" si="144"/>
        <v>-3.8134546658457569</v>
      </c>
    </row>
    <row r="316" spans="1:34" x14ac:dyDescent="0.2">
      <c r="A316" s="347">
        <f t="shared" ca="1" si="122"/>
        <v>0.01</v>
      </c>
      <c r="B316" s="304">
        <f t="shared" ca="1" si="123"/>
        <v>3.1199999999999775</v>
      </c>
      <c r="D316" s="306">
        <f t="shared" ca="1" si="124"/>
        <v>-1.0692492441913148</v>
      </c>
      <c r="E316" s="307">
        <f t="shared" ca="1" si="125"/>
        <v>-15.074280220431962</v>
      </c>
      <c r="F316" s="304">
        <f t="shared" ca="1" si="126"/>
        <v>15.112154648173437</v>
      </c>
      <c r="G316" s="306">
        <f t="shared" ca="1" si="127"/>
        <v>60.485555277258634</v>
      </c>
      <c r="H316" s="307">
        <f t="shared" ca="1" si="128"/>
        <v>297.69300342858912</v>
      </c>
      <c r="I316" s="304">
        <f t="shared" ca="1" si="129"/>
        <v>303.7756189813993</v>
      </c>
      <c r="J316" s="306">
        <f t="shared" ca="1" si="130"/>
        <v>139.03154965592464</v>
      </c>
      <c r="K316" s="307">
        <f t="shared" ca="1" si="131"/>
        <v>718.49883162232436</v>
      </c>
      <c r="L316" s="304">
        <f t="shared" ca="1" si="116"/>
        <v>731.82671640380352</v>
      </c>
      <c r="M316" s="306">
        <f t="shared" ca="1" si="132"/>
        <v>1.3703440146540269</v>
      </c>
      <c r="N316" s="304">
        <f t="shared" ca="1" si="133"/>
        <v>78.514928520689182</v>
      </c>
      <c r="P316" s="310">
        <f t="shared" ca="1" si="134"/>
        <v>8</v>
      </c>
      <c r="Q316" s="304">
        <f t="shared" ca="1" si="135"/>
        <v>295.95652173914931</v>
      </c>
      <c r="R316" s="306">
        <f t="shared" ca="1" si="136"/>
        <v>0.14852678913729855</v>
      </c>
      <c r="S316" s="307">
        <f t="shared" ca="1" si="137"/>
        <v>5.1151744765961897</v>
      </c>
      <c r="T316" s="304">
        <f t="shared" ca="1" si="117"/>
        <v>50.179861615408626</v>
      </c>
      <c r="U316" s="311">
        <f t="shared" ca="1" si="118"/>
        <v>0</v>
      </c>
      <c r="V316" s="306">
        <f t="shared" ca="1" si="119"/>
        <v>1.1400362122381211</v>
      </c>
      <c r="W316" s="304">
        <f t="shared" ca="1" si="120"/>
        <v>323.01888517969263</v>
      </c>
      <c r="Y316" s="314" t="str">
        <f t="shared" ca="1" si="138"/>
        <v/>
      </c>
      <c r="Z316" s="315" t="str">
        <f t="shared" ca="1" si="139"/>
        <v/>
      </c>
      <c r="AA316" s="316" t="str">
        <f t="shared" ca="1" si="140"/>
        <v/>
      </c>
      <c r="AC316" s="310" t="e">
        <f t="shared" ca="1" si="141"/>
        <v>#N/A</v>
      </c>
      <c r="AD316" s="323" t="e">
        <f t="shared" ca="1" si="142"/>
        <v>#N/A</v>
      </c>
      <c r="AE316" s="324">
        <f t="shared" ca="1" si="121"/>
        <v>718.49883162232436</v>
      </c>
      <c r="AG316" s="306">
        <f t="shared" ca="1" si="143"/>
        <v>-14.985468688176173</v>
      </c>
      <c r="AH316" s="304">
        <f t="shared" ca="1" si="144"/>
        <v>-5.3717725366432703</v>
      </c>
    </row>
    <row r="317" spans="1:34" x14ac:dyDescent="0.2">
      <c r="A317" s="347">
        <f t="shared" ca="1" si="122"/>
        <v>0.01</v>
      </c>
      <c r="B317" s="304">
        <f t="shared" ca="1" si="123"/>
        <v>3.1299999999999772</v>
      </c>
      <c r="D317" s="306">
        <f t="shared" ca="1" si="124"/>
        <v>-1.378761415295332</v>
      </c>
      <c r="E317" s="307">
        <f t="shared" ca="1" si="125"/>
        <v>-16.595878460556019</v>
      </c>
      <c r="F317" s="304">
        <f t="shared" ca="1" si="126"/>
        <v>16.65305272068321</v>
      </c>
      <c r="G317" s="306">
        <f t="shared" ca="1" si="127"/>
        <v>60.47176766310568</v>
      </c>
      <c r="H317" s="307">
        <f t="shared" ca="1" si="128"/>
        <v>297.52704464398357</v>
      </c>
      <c r="I317" s="304">
        <f t="shared" ca="1" si="129"/>
        <v>303.61023859363445</v>
      </c>
      <c r="J317" s="306">
        <f t="shared" ca="1" si="130"/>
        <v>139.63633627062646</v>
      </c>
      <c r="K317" s="307">
        <f t="shared" ca="1" si="131"/>
        <v>721.47493186268719</v>
      </c>
      <c r="L317" s="304">
        <f t="shared" ca="1" si="116"/>
        <v>734.86351366315137</v>
      </c>
      <c r="M317" s="306">
        <f t="shared" ca="1" si="132"/>
        <v>1.3702796790545471</v>
      </c>
      <c r="N317" s="304">
        <f t="shared" ca="1" si="133"/>
        <v>78.511242362366545</v>
      </c>
      <c r="P317" s="310">
        <f t="shared" ca="1" si="134"/>
        <v>8</v>
      </c>
      <c r="Q317" s="304">
        <f t="shared" ca="1" si="135"/>
        <v>287.60869565219298</v>
      </c>
      <c r="R317" s="306">
        <f t="shared" ca="1" si="136"/>
        <v>0.14433740416383611</v>
      </c>
      <c r="S317" s="307">
        <f t="shared" ca="1" si="137"/>
        <v>5.1137311025545511</v>
      </c>
      <c r="T317" s="304">
        <f t="shared" ca="1" si="117"/>
        <v>50.165702116060146</v>
      </c>
      <c r="U317" s="311">
        <f t="shared" ca="1" si="118"/>
        <v>0</v>
      </c>
      <c r="V317" s="306">
        <f t="shared" ca="1" si="119"/>
        <v>1.1396965363770712</v>
      </c>
      <c r="W317" s="304">
        <f t="shared" ca="1" si="120"/>
        <v>322.57112815055416</v>
      </c>
      <c r="Y317" s="314" t="str">
        <f t="shared" ca="1" si="138"/>
        <v/>
      </c>
      <c r="Z317" s="315" t="str">
        <f t="shared" ca="1" si="139"/>
        <v/>
      </c>
      <c r="AA317" s="316" t="str">
        <f t="shared" ca="1" si="140"/>
        <v/>
      </c>
      <c r="AC317" s="310" t="e">
        <f t="shared" ca="1" si="141"/>
        <v>#N/A</v>
      </c>
      <c r="AD317" s="323" t="e">
        <f t="shared" ca="1" si="142"/>
        <v>#N/A</v>
      </c>
      <c r="AE317" s="324">
        <f t="shared" ca="1" si="121"/>
        <v>721.47493186268719</v>
      </c>
      <c r="AG317" s="306">
        <f t="shared" ca="1" si="143"/>
        <v>-16.538101609679771</v>
      </c>
      <c r="AH317" s="304">
        <f t="shared" ca="1" si="144"/>
        <v>-6.924530996518488</v>
      </c>
    </row>
    <row r="318" spans="1:34" x14ac:dyDescent="0.2">
      <c r="A318" s="347">
        <f t="shared" ca="1" si="122"/>
        <v>0.01</v>
      </c>
      <c r="B318" s="304">
        <f t="shared" ca="1" si="123"/>
        <v>3.139999999999977</v>
      </c>
      <c r="D318" s="306">
        <f t="shared" ca="1" si="124"/>
        <v>-1.6873616710222861</v>
      </c>
      <c r="E318" s="307">
        <f t="shared" ca="1" si="125"/>
        <v>-18.111985383025122</v>
      </c>
      <c r="F318" s="304">
        <f t="shared" ca="1" si="126"/>
        <v>18.190415166338308</v>
      </c>
      <c r="G318" s="306">
        <f t="shared" ca="1" si="127"/>
        <v>60.454894046395459</v>
      </c>
      <c r="H318" s="307">
        <f t="shared" ca="1" si="128"/>
        <v>297.34592479015333</v>
      </c>
      <c r="I318" s="304">
        <f t="shared" ca="1" si="129"/>
        <v>303.42938750798743</v>
      </c>
      <c r="J318" s="306">
        <f t="shared" ca="1" si="130"/>
        <v>140.24096957917396</v>
      </c>
      <c r="K318" s="307">
        <f t="shared" ca="1" si="131"/>
        <v>724.44929670985789</v>
      </c>
      <c r="L318" s="304">
        <f t="shared" ca="1" si="116"/>
        <v>737.89857910956471</v>
      </c>
      <c r="M318" s="306">
        <f t="shared" ca="1" si="132"/>
        <v>1.3702152847261779</v>
      </c>
      <c r="N318" s="304">
        <f t="shared" ca="1" si="133"/>
        <v>78.507552839126404</v>
      </c>
      <c r="P318" s="310">
        <f t="shared" ca="1" si="134"/>
        <v>8</v>
      </c>
      <c r="Q318" s="304">
        <f t="shared" ca="1" si="135"/>
        <v>279.26086956523659</v>
      </c>
      <c r="R318" s="306">
        <f t="shared" ca="1" si="136"/>
        <v>0.14014801919037362</v>
      </c>
      <c r="S318" s="307">
        <f t="shared" ca="1" si="137"/>
        <v>5.1123296223626475</v>
      </c>
      <c r="T318" s="304">
        <f t="shared" ca="1" si="117"/>
        <v>50.151953595377577</v>
      </c>
      <c r="U318" s="311">
        <f t="shared" ca="1" si="118"/>
        <v>0</v>
      </c>
      <c r="V318" s="306">
        <f t="shared" ca="1" si="119"/>
        <v>1.1393571560562079</v>
      </c>
      <c r="W318" s="304">
        <f t="shared" ca="1" si="120"/>
        <v>322.09101037062436</v>
      </c>
      <c r="Y318" s="314" t="str">
        <f t="shared" ca="1" si="138"/>
        <v/>
      </c>
      <c r="Z318" s="315" t="str">
        <f t="shared" ca="1" si="139"/>
        <v/>
      </c>
      <c r="AA318" s="316" t="str">
        <f t="shared" ca="1" si="140"/>
        <v/>
      </c>
      <c r="AC318" s="310" t="e">
        <f t="shared" ca="1" si="141"/>
        <v>#N/A</v>
      </c>
      <c r="AD318" s="323" t="e">
        <f t="shared" ca="1" si="142"/>
        <v>#N/A</v>
      </c>
      <c r="AE318" s="324">
        <f t="shared" ca="1" si="121"/>
        <v>724.44929670985789</v>
      </c>
      <c r="AG318" s="306">
        <f t="shared" ca="1" si="143"/>
        <v>-18.085171475160209</v>
      </c>
      <c r="AH318" s="304">
        <f t="shared" ca="1" si="144"/>
        <v>-8.471726548277978</v>
      </c>
    </row>
    <row r="319" spans="1:34" x14ac:dyDescent="0.2">
      <c r="A319" s="347">
        <f t="shared" ca="1" si="122"/>
        <v>0.01</v>
      </c>
      <c r="B319" s="304">
        <f t="shared" ca="1" si="123"/>
        <v>3.1499999999999768</v>
      </c>
      <c r="D319" s="306">
        <f t="shared" ca="1" si="124"/>
        <v>-1.995048776385818</v>
      </c>
      <c r="E319" s="307">
        <f t="shared" ca="1" si="125"/>
        <v>-19.622598843703948</v>
      </c>
      <c r="F319" s="304">
        <f t="shared" ca="1" si="126"/>
        <v>19.723757375335207</v>
      </c>
      <c r="G319" s="306">
        <f t="shared" ca="1" si="127"/>
        <v>60.434943558631602</v>
      </c>
      <c r="H319" s="307">
        <f t="shared" ca="1" si="128"/>
        <v>297.14969880171628</v>
      </c>
      <c r="I319" s="304">
        <f t="shared" ca="1" si="129"/>
        <v>303.23312137839707</v>
      </c>
      <c r="J319" s="306">
        <f t="shared" ca="1" si="130"/>
        <v>140.84541876719911</v>
      </c>
      <c r="K319" s="307">
        <f t="shared" ca="1" si="131"/>
        <v>727.42177482781722</v>
      </c>
      <c r="L319" s="304">
        <f t="shared" ca="1" si="116"/>
        <v>740.93175831608085</v>
      </c>
      <c r="M319" s="306">
        <f t="shared" ca="1" si="132"/>
        <v>1.3701508283040036</v>
      </c>
      <c r="N319" s="304">
        <f t="shared" ca="1" si="133"/>
        <v>78.503859758173306</v>
      </c>
      <c r="P319" s="310">
        <f t="shared" ca="1" si="134"/>
        <v>8</v>
      </c>
      <c r="Q319" s="304">
        <f t="shared" ca="1" si="135"/>
        <v>270.91304347828031</v>
      </c>
      <c r="R319" s="306">
        <f t="shared" ca="1" si="136"/>
        <v>0.13595863421691121</v>
      </c>
      <c r="S319" s="307">
        <f t="shared" ca="1" si="137"/>
        <v>5.1109700360204782</v>
      </c>
      <c r="T319" s="304">
        <f t="shared" ca="1" si="117"/>
        <v>50.138616053360892</v>
      </c>
      <c r="U319" s="311">
        <f t="shared" ca="1" si="118"/>
        <v>0</v>
      </c>
      <c r="V319" s="306">
        <f t="shared" ca="1" si="119"/>
        <v>1.1390180883233387</v>
      </c>
      <c r="W319" s="304">
        <f t="shared" ca="1" si="120"/>
        <v>321.57874228650769</v>
      </c>
      <c r="Y319" s="314" t="str">
        <f t="shared" ca="1" si="138"/>
        <v/>
      </c>
      <c r="Z319" s="315" t="str">
        <f t="shared" ca="1" si="139"/>
        <v/>
      </c>
      <c r="AA319" s="316" t="str">
        <f t="shared" ca="1" si="140"/>
        <v/>
      </c>
      <c r="AC319" s="310" t="e">
        <f t="shared" ca="1" si="141"/>
        <v>#N/A</v>
      </c>
      <c r="AD319" s="323" t="e">
        <f t="shared" ca="1" si="142"/>
        <v>#N/A</v>
      </c>
      <c r="AE319" s="324">
        <f t="shared" ca="1" si="121"/>
        <v>727.42177482781722</v>
      </c>
      <c r="AG319" s="306">
        <f t="shared" ca="1" si="143"/>
        <v>-19.626675950114993</v>
      </c>
      <c r="AH319" s="304">
        <f t="shared" ca="1" si="144"/>
        <v>-10.013356864090015</v>
      </c>
    </row>
    <row r="320" spans="1:34" x14ac:dyDescent="0.2">
      <c r="A320" s="347">
        <f t="shared" ca="1" si="122"/>
        <v>0.01</v>
      </c>
      <c r="B320" s="304">
        <f t="shared" ca="1" si="123"/>
        <v>3.1599999999999766</v>
      </c>
      <c r="D320" s="306">
        <f t="shared" ca="1" si="124"/>
        <v>-2.3018217439270612</v>
      </c>
      <c r="E320" s="307">
        <f t="shared" ca="1" si="125"/>
        <v>-21.127717823953816</v>
      </c>
      <c r="F320" s="304">
        <f t="shared" ca="1" si="126"/>
        <v>21.25273732462318</v>
      </c>
      <c r="G320" s="306">
        <f t="shared" ca="1" si="127"/>
        <v>60.41192534119233</v>
      </c>
      <c r="H320" s="307">
        <f t="shared" ca="1" si="128"/>
        <v>296.93842162347676</v>
      </c>
      <c r="I320" s="304">
        <f t="shared" ca="1" si="129"/>
        <v>303.02149587062542</v>
      </c>
      <c r="J320" s="306">
        <f t="shared" ca="1" si="130"/>
        <v>141.44965311169824</v>
      </c>
      <c r="K320" s="307">
        <f t="shared" ca="1" si="131"/>
        <v>730.39221542994323</v>
      </c>
      <c r="L320" s="304">
        <f t="shared" ca="1" si="116"/>
        <v>743.96289741228384</v>
      </c>
      <c r="M320" s="306">
        <f t="shared" ca="1" si="132"/>
        <v>1.3700863064178792</v>
      </c>
      <c r="N320" s="304">
        <f t="shared" ca="1" si="133"/>
        <v>78.500162926412159</v>
      </c>
      <c r="P320" s="310">
        <f t="shared" ca="1" si="134"/>
        <v>8</v>
      </c>
      <c r="Q320" s="304">
        <f t="shared" ca="1" si="135"/>
        <v>262.56521739132393</v>
      </c>
      <c r="R320" s="306">
        <f t="shared" ca="1" si="136"/>
        <v>0.13176924924344874</v>
      </c>
      <c r="S320" s="307">
        <f t="shared" ca="1" si="137"/>
        <v>5.1096523435280439</v>
      </c>
      <c r="T320" s="304">
        <f t="shared" ca="1" si="117"/>
        <v>50.12568949001011</v>
      </c>
      <c r="U320" s="311">
        <f t="shared" ca="1" si="118"/>
        <v>0</v>
      </c>
      <c r="V320" s="306">
        <f t="shared" ca="1" si="119"/>
        <v>1.1386793501441117</v>
      </c>
      <c r="W320" s="304">
        <f t="shared" ca="1" si="120"/>
        <v>321.03453874999775</v>
      </c>
      <c r="Y320" s="314" t="str">
        <f t="shared" ca="1" si="138"/>
        <v/>
      </c>
      <c r="Z320" s="315" t="str">
        <f t="shared" ca="1" si="139"/>
        <v/>
      </c>
      <c r="AA320" s="316" t="str">
        <f t="shared" ca="1" si="140"/>
        <v/>
      </c>
      <c r="AC320" s="310" t="e">
        <f t="shared" ca="1" si="141"/>
        <v>#N/A</v>
      </c>
      <c r="AD320" s="323" t="e">
        <f t="shared" ca="1" si="142"/>
        <v>#N/A</v>
      </c>
      <c r="AE320" s="324">
        <f t="shared" ca="1" si="121"/>
        <v>730.39221542994323</v>
      </c>
      <c r="AG320" s="306">
        <f t="shared" ca="1" si="143"/>
        <v>-21.162613852211486</v>
      </c>
      <c r="AH320" s="304">
        <f t="shared" ca="1" si="144"/>
        <v>-11.549420768309435</v>
      </c>
    </row>
    <row r="321" spans="1:34" x14ac:dyDescent="0.2">
      <c r="A321" s="347">
        <f t="shared" ca="1" si="122"/>
        <v>0.01</v>
      </c>
      <c r="B321" s="304">
        <f t="shared" ca="1" si="123"/>
        <v>3.1699999999999764</v>
      </c>
      <c r="D321" s="306">
        <f t="shared" ca="1" si="124"/>
        <v>-2.6076798305140745</v>
      </c>
      <c r="E321" s="307">
        <f t="shared" ca="1" si="125"/>
        <v>-22.627342413754334</v>
      </c>
      <c r="F321" s="304">
        <f t="shared" ca="1" si="126"/>
        <v>22.777107340655789</v>
      </c>
      <c r="G321" s="306">
        <f t="shared" ca="1" si="127"/>
        <v>60.385848542887189</v>
      </c>
      <c r="H321" s="307">
        <f t="shared" ca="1" si="128"/>
        <v>296.7121481993392</v>
      </c>
      <c r="I321" s="304">
        <f t="shared" ca="1" si="129"/>
        <v>302.79456665090794</v>
      </c>
      <c r="J321" s="306">
        <f t="shared" ca="1" si="130"/>
        <v>142.05364198111863</v>
      </c>
      <c r="K321" s="307">
        <f t="shared" ca="1" si="131"/>
        <v>733.36046827905727</v>
      </c>
      <c r="L321" s="304">
        <f t="shared" ca="1" si="116"/>
        <v>746.991843084366</v>
      </c>
      <c r="M321" s="306">
        <f t="shared" ca="1" si="132"/>
        <v>1.3700217156914374</v>
      </c>
      <c r="N321" s="304">
        <f t="shared" ca="1" si="133"/>
        <v>78.496462150391352</v>
      </c>
      <c r="P321" s="310">
        <f t="shared" ca="1" si="134"/>
        <v>8</v>
      </c>
      <c r="Q321" s="304">
        <f t="shared" ca="1" si="135"/>
        <v>254.2173913043676</v>
      </c>
      <c r="R321" s="306">
        <f t="shared" ca="1" si="136"/>
        <v>0.1275798642699863</v>
      </c>
      <c r="S321" s="307">
        <f t="shared" ca="1" si="137"/>
        <v>5.1083765448853438</v>
      </c>
      <c r="T321" s="304">
        <f t="shared" ca="1" si="117"/>
        <v>50.113173905325226</v>
      </c>
      <c r="U321" s="311">
        <f t="shared" ca="1" si="118"/>
        <v>0</v>
      </c>
      <c r="V321" s="306">
        <f t="shared" ca="1" si="119"/>
        <v>1.138340958402156</v>
      </c>
      <c r="W321" s="304">
        <f t="shared" ca="1" si="120"/>
        <v>320.45861892295403</v>
      </c>
      <c r="Y321" s="314" t="str">
        <f t="shared" ca="1" si="138"/>
        <v/>
      </c>
      <c r="Z321" s="315" t="str">
        <f t="shared" ca="1" si="139"/>
        <v/>
      </c>
      <c r="AA321" s="316" t="str">
        <f t="shared" ca="1" si="140"/>
        <v/>
      </c>
      <c r="AC321" s="310" t="e">
        <f t="shared" ca="1" si="141"/>
        <v>#N/A</v>
      </c>
      <c r="AD321" s="323" t="e">
        <f t="shared" ca="1" si="142"/>
        <v>#N/A</v>
      </c>
      <c r="AE321" s="324">
        <f t="shared" ca="1" si="121"/>
        <v>733.36046827905727</v>
      </c>
      <c r="AG321" s="306">
        <f t="shared" ca="1" si="143"/>
        <v>-22.692985134113414</v>
      </c>
      <c r="AH321" s="304">
        <f t="shared" ca="1" si="144"/>
        <v>-13.079918220306105</v>
      </c>
    </row>
    <row r="322" spans="1:34" x14ac:dyDescent="0.2">
      <c r="A322" s="347">
        <f t="shared" ca="1" si="122"/>
        <v>0.01</v>
      </c>
      <c r="B322" s="304">
        <f t="shared" ca="1" si="123"/>
        <v>3.1799999999999762</v>
      </c>
      <c r="D322" s="306">
        <f t="shared" ca="1" si="124"/>
        <v>-2.9126225341470509</v>
      </c>
      <c r="E322" s="307">
        <f t="shared" ca="1" si="125"/>
        <v>-24.121473794837801</v>
      </c>
      <c r="F322" s="304">
        <f t="shared" ca="1" si="126"/>
        <v>24.296684301802745</v>
      </c>
      <c r="G322" s="306">
        <f t="shared" ca="1" si="127"/>
        <v>60.356722317545717</v>
      </c>
      <c r="H322" s="307">
        <f t="shared" ca="1" si="128"/>
        <v>296.47093346139081</v>
      </c>
      <c r="I322" s="304">
        <f t="shared" ca="1" si="129"/>
        <v>302.55238937477543</v>
      </c>
      <c r="J322" s="306">
        <f t="shared" ca="1" si="130"/>
        <v>142.65735483542079</v>
      </c>
      <c r="K322" s="307">
        <f t="shared" ca="1" si="131"/>
        <v>736.32638368736093</v>
      </c>
      <c r="L322" s="304">
        <f t="shared" ca="1" si="116"/>
        <v>750.0184425750781</v>
      </c>
      <c r="M322" s="306">
        <f t="shared" ca="1" si="132"/>
        <v>1.3699570527410903</v>
      </c>
      <c r="N322" s="304">
        <f t="shared" ca="1" si="133"/>
        <v>78.492757236245595</v>
      </c>
      <c r="P322" s="310">
        <f t="shared" ca="1" si="134"/>
        <v>8</v>
      </c>
      <c r="Q322" s="304">
        <f t="shared" ca="1" si="135"/>
        <v>245.86956521741126</v>
      </c>
      <c r="R322" s="306">
        <f t="shared" ca="1" si="136"/>
        <v>0.12339047929652386</v>
      </c>
      <c r="S322" s="307">
        <f t="shared" ca="1" si="137"/>
        <v>5.1071426400923787</v>
      </c>
      <c r="T322" s="304">
        <f t="shared" ca="1" si="117"/>
        <v>50.101069299306239</v>
      </c>
      <c r="U322" s="311">
        <f t="shared" ca="1" si="118"/>
        <v>0</v>
      </c>
      <c r="V322" s="306">
        <f t="shared" ca="1" si="119"/>
        <v>1.1380029298992334</v>
      </c>
      <c r="W322" s="304">
        <f t="shared" ca="1" si="120"/>
        <v>319.85120618311566</v>
      </c>
      <c r="Y322" s="314" t="str">
        <f t="shared" ca="1" si="138"/>
        <v/>
      </c>
      <c r="Z322" s="315" t="str">
        <f t="shared" ca="1" si="139"/>
        <v/>
      </c>
      <c r="AA322" s="316" t="str">
        <f t="shared" ca="1" si="140"/>
        <v/>
      </c>
      <c r="AC322" s="310" t="e">
        <f t="shared" ca="1" si="141"/>
        <v>#N/A</v>
      </c>
      <c r="AD322" s="323" t="e">
        <f t="shared" ca="1" si="142"/>
        <v>#N/A</v>
      </c>
      <c r="AE322" s="324">
        <f t="shared" ca="1" si="121"/>
        <v>736.32638368736093</v>
      </c>
      <c r="AG322" s="306">
        <f t="shared" ca="1" si="143"/>
        <v>-24.217790866321035</v>
      </c>
      <c r="AH322" s="304">
        <f t="shared" ca="1" si="144"/>
        <v>-14.604850297307065</v>
      </c>
    </row>
    <row r="323" spans="1:34" x14ac:dyDescent="0.2">
      <c r="A323" s="347">
        <f t="shared" ca="1" si="122"/>
        <v>0.01</v>
      </c>
      <c r="B323" s="304">
        <f t="shared" ca="1" si="123"/>
        <v>3.189999999999976</v>
      </c>
      <c r="D323" s="306">
        <f t="shared" ca="1" si="124"/>
        <v>-3.216649590770551</v>
      </c>
      <c r="E323" s="307">
        <f t="shared" ca="1" si="125"/>
        <v>-25.610114223842174</v>
      </c>
      <c r="F323" s="304">
        <f t="shared" ca="1" si="126"/>
        <v>25.811330557490592</v>
      </c>
      <c r="G323" s="306">
        <f t="shared" ca="1" si="127"/>
        <v>60.324555821638015</v>
      </c>
      <c r="H323" s="307">
        <f t="shared" ca="1" si="128"/>
        <v>296.21483231915238</v>
      </c>
      <c r="I323" s="304">
        <f t="shared" ca="1" si="129"/>
        <v>302.29501967604676</v>
      </c>
      <c r="J323" s="306">
        <f t="shared" ca="1" si="130"/>
        <v>143.2607612261167</v>
      </c>
      <c r="K323" s="307">
        <f t="shared" ca="1" si="131"/>
        <v>739.28981251626362</v>
      </c>
      <c r="L323" s="304">
        <f t="shared" ca="1" si="116"/>
        <v>753.04254368356817</v>
      </c>
      <c r="M323" s="306">
        <f t="shared" ca="1" si="132"/>
        <v>1.3698923141750274</v>
      </c>
      <c r="N323" s="304">
        <f t="shared" ca="1" si="133"/>
        <v>78.489047989638465</v>
      </c>
      <c r="P323" s="310">
        <f t="shared" ca="1" si="134"/>
        <v>8</v>
      </c>
      <c r="Q323" s="304">
        <f t="shared" ca="1" si="135"/>
        <v>237.5217391304549</v>
      </c>
      <c r="R323" s="306">
        <f t="shared" ca="1" si="136"/>
        <v>0.1192010943230614</v>
      </c>
      <c r="S323" s="307">
        <f t="shared" ca="1" si="137"/>
        <v>5.1059506291491479</v>
      </c>
      <c r="T323" s="304">
        <f t="shared" ca="1" si="117"/>
        <v>50.089375671953142</v>
      </c>
      <c r="U323" s="311">
        <f t="shared" ca="1" si="118"/>
        <v>0</v>
      </c>
      <c r="V323" s="306">
        <f t="shared" ca="1" si="119"/>
        <v>1.137665281355404</v>
      </c>
      <c r="W323" s="304">
        <f t="shared" ca="1" si="120"/>
        <v>319.21252803087663</v>
      </c>
      <c r="Y323" s="314" t="str">
        <f t="shared" ca="1" si="138"/>
        <v/>
      </c>
      <c r="Z323" s="315" t="str">
        <f t="shared" ca="1" si="139"/>
        <v/>
      </c>
      <c r="AA323" s="316" t="str">
        <f t="shared" ca="1" si="140"/>
        <v/>
      </c>
      <c r="AC323" s="310" t="e">
        <f t="shared" ca="1" si="141"/>
        <v>#N/A</v>
      </c>
      <c r="AD323" s="323" t="e">
        <f t="shared" ca="1" si="142"/>
        <v>#N/A</v>
      </c>
      <c r="AE323" s="324">
        <f t="shared" ca="1" si="121"/>
        <v>739.28981251626362</v>
      </c>
      <c r="AG323" s="306">
        <f t="shared" ca="1" si="143"/>
        <v>-25.737033220030895</v>
      </c>
      <c r="AH323" s="304">
        <f t="shared" ca="1" si="144"/>
        <v>-16.124219177258297</v>
      </c>
    </row>
    <row r="324" spans="1:34" x14ac:dyDescent="0.2">
      <c r="A324" s="347">
        <f t="shared" ca="1" si="122"/>
        <v>0.01</v>
      </c>
      <c r="B324" s="304">
        <f t="shared" ca="1" si="123"/>
        <v>3.1999999999999758</v>
      </c>
      <c r="D324" s="306">
        <f t="shared" ca="1" si="124"/>
        <v>-3.5197609710943984</v>
      </c>
      <c r="E324" s="307">
        <f t="shared" ca="1" si="125"/>
        <v>-27.093267015490376</v>
      </c>
      <c r="F324" s="304">
        <f t="shared" ca="1" si="126"/>
        <v>27.32094132467434</v>
      </c>
      <c r="G324" s="306">
        <f t="shared" ca="1" si="127"/>
        <v>60.289358211927073</v>
      </c>
      <c r="H324" s="307">
        <f t="shared" ca="1" si="128"/>
        <v>295.9438996489975</v>
      </c>
      <c r="I324" s="304">
        <f t="shared" ca="1" si="129"/>
        <v>302.02251315599301</v>
      </c>
      <c r="J324" s="306">
        <f t="shared" ca="1" si="130"/>
        <v>143.86383079628453</v>
      </c>
      <c r="K324" s="307">
        <f t="shared" ca="1" si="131"/>
        <v>742.25060617610438</v>
      </c>
      <c r="L324" s="304">
        <f t="shared" ref="L324:L387" ca="1" si="145">SQRT(pos_x^2+pos_z^2)</f>
        <v>756.06399476511001</v>
      </c>
      <c r="M324" s="306">
        <f t="shared" ca="1" si="132"/>
        <v>1.3698274965922117</v>
      </c>
      <c r="N324" s="304">
        <f t="shared" ca="1" si="133"/>
        <v>78.485334215704896</v>
      </c>
      <c r="P324" s="310">
        <f t="shared" ca="1" si="134"/>
        <v>8</v>
      </c>
      <c r="Q324" s="304">
        <f t="shared" ca="1" si="135"/>
        <v>229.17391304349857</v>
      </c>
      <c r="R324" s="306">
        <f t="shared" ca="1" si="136"/>
        <v>0.11501170934959895</v>
      </c>
      <c r="S324" s="307">
        <f t="shared" ca="1" si="137"/>
        <v>5.1048005120556521</v>
      </c>
      <c r="T324" s="304">
        <f t="shared" ref="T324:T387" ca="1" si="146">m*g</f>
        <v>50.07809302326595</v>
      </c>
      <c r="U324" s="311">
        <f t="shared" ref="U324:U387" ca="1" si="147">IF(pos_xz&lt;L_rampe,Poids*COS(Beta),0)</f>
        <v>0</v>
      </c>
      <c r="V324" s="306">
        <f t="shared" ref="V324:V387" ca="1" si="148">Rho_moyen*(20000-Alt_rampe-pos_z)/(20000+Alt_rampe+pos_z)</f>
        <v>1.1373280294092105</v>
      </c>
      <c r="W324" s="304">
        <f t="shared" ref="W324:W387" ca="1" si="149">1/2*Rho*Sref*Cx*vit_xz^2</f>
        <v>318.54281599704495</v>
      </c>
      <c r="Y324" s="314" t="str">
        <f t="shared" ca="1" si="138"/>
        <v/>
      </c>
      <c r="Z324" s="315" t="str">
        <f t="shared" ca="1" si="139"/>
        <v/>
      </c>
      <c r="AA324" s="316" t="str">
        <f t="shared" ca="1" si="140"/>
        <v/>
      </c>
      <c r="AC324" s="310" t="e">
        <f t="shared" ca="1" si="141"/>
        <v>#N/A</v>
      </c>
      <c r="AD324" s="323" t="e">
        <f t="shared" ca="1" si="142"/>
        <v>#N/A</v>
      </c>
      <c r="AE324" s="324">
        <f t="shared" ref="AE324:AE387" ca="1" si="150">IF(t&lt;T_para, pos_z, NA())</f>
        <v>742.25060617610438</v>
      </c>
      <c r="AG324" s="306">
        <f t="shared" ca="1" si="143"/>
        <v>-27.250715450023186</v>
      </c>
      <c r="AH324" s="304">
        <f t="shared" ca="1" si="144"/>
        <v>-17.638028121714086</v>
      </c>
    </row>
    <row r="325" spans="1:34" x14ac:dyDescent="0.2">
      <c r="A325" s="347">
        <f t="shared" ref="A325:A388" ca="1" si="151">IF(B324+0.01&lt;=T_ini+ROUNDUP(Temps_fin_propu,0), 0.01, IF(K324&gt;0, 0.1, 0.0001))</f>
        <v>0.01</v>
      </c>
      <c r="B325" s="304">
        <f t="shared" ref="B325:B388" ca="1" si="152">B324+pas</f>
        <v>3.2099999999999755</v>
      </c>
      <c r="D325" s="306">
        <f t="shared" ref="D325:D388" ca="1" si="153">IF(AND(L324&lt;L_rampe,Poussee&lt;Poids*SIN(M324)),0,(-W324+Poussee)/m*COS(M324)-U324/m*SIN(M324))</f>
        <v>-3.7731494670801897</v>
      </c>
      <c r="E325" s="307">
        <f t="shared" ref="E325:E388" ca="1" si="154">IF(AND(L324&lt;L_rampe,Poussee&lt;Poids*SIN(M324)),0,(-W324+Poussee)/m*SIN(M324)+U324/m*COS(M324)-Poids/m)</f>
        <v>-28.331354354462881</v>
      </c>
      <c r="F325" s="304">
        <f t="shared" ref="F325:F388" ca="1" si="155">SQRT(acc_x^2+acc_z^2)</f>
        <v>28.581502697707663</v>
      </c>
      <c r="G325" s="306">
        <f t="shared" ref="G325:G388" ca="1" si="156">G324+acc_x*pas</f>
        <v>60.251626717256272</v>
      </c>
      <c r="H325" s="307">
        <f t="shared" ref="H325:H388" ca="1" si="157">H324+acc_z*pas</f>
        <v>295.66058610545286</v>
      </c>
      <c r="I325" s="304">
        <f t="shared" ref="I325:I388" ca="1" si="158">SQRT(vit_x^2+vit_z^2)</f>
        <v>301.73737040395827</v>
      </c>
      <c r="J325" s="306">
        <f t="shared" ref="J325:J388" ca="1" si="159">J324+0.5*(vit_x+G324)*pas*(K324&gt;=0)</f>
        <v>144.46653572093044</v>
      </c>
      <c r="K325" s="307">
        <f t="shared" ref="K325:K388" ca="1" si="160">K324+0.5*(vit_z+H324)*pas</f>
        <v>745.20862860487659</v>
      </c>
      <c r="L325" s="304">
        <f t="shared" ca="1" si="145"/>
        <v>759.08265695533294</v>
      </c>
      <c r="M325" s="306">
        <f t="shared" ref="M325:M388" ca="1" si="161">IF(AND(L324&gt;L_rampe,G325&gt;0),ATAN2(G325,H325),$M$4)</f>
        <v>1.3697625971072624</v>
      </c>
      <c r="N325" s="304">
        <f t="shared" ref="N325:N388" ca="1" si="162">DEGREES(Beta)</f>
        <v>78.481615749124728</v>
      </c>
      <c r="P325" s="310">
        <f t="shared" ref="P325:P388" ca="1" si="163">MATCH(t-pas/2-T_ini,CdP_t)</f>
        <v>9</v>
      </c>
      <c r="Q325" s="304">
        <f t="shared" ref="Q325:Q388" ca="1" si="164">(INDEX(CdP,2,i_P+1)-INDEX(CdP,2,i_P+0))/(INDEX(CdP,1,i_P+1)-INDEX(CdP,1,i_P+0))*(t-pas/2-T_ini-INDEX(CdP,1,i_P+0))+INDEX(CdP,2,i_P+0)</f>
        <v>222.07407407408843</v>
      </c>
      <c r="R325" s="306">
        <f t="shared" ref="R325:R388" ca="1" si="165">Poussee/(g*ISP)</f>
        <v>0.11144863096456581</v>
      </c>
      <c r="S325" s="307">
        <f t="shared" ref="S325:S388" ca="1" si="166">S324-Débit*pas</f>
        <v>5.1036860257460068</v>
      </c>
      <c r="T325" s="304">
        <f t="shared" ca="1" si="146"/>
        <v>50.067159912568329</v>
      </c>
      <c r="U325" s="311">
        <f t="shared" ca="1" si="147"/>
        <v>0</v>
      </c>
      <c r="V325" s="306">
        <f t="shared" ca="1" si="148"/>
        <v>1.1369911892539628</v>
      </c>
      <c r="W325" s="304">
        <f t="shared" ca="1" si="149"/>
        <v>317.84745629778212</v>
      </c>
      <c r="Y325" s="314" t="str">
        <f t="shared" ref="Y325:Y388" ca="1" si="167">IF(AND(pos_z&lt;=0,K324&gt;0),"Impact balistique","") &amp; IF(AND(H326&lt;0,vit_z&gt;=0),"Apogée","") &amp; IF(AND(Poussee=0,Q324&gt;0),"Fin de propulsion","") &amp; IF(AND(L326&gt;L_rampe,pos_xz&lt;=L_rampe),"Sortie de rampe","")</f>
        <v/>
      </c>
      <c r="Z325" s="315" t="str">
        <f t="shared" ref="Z325:Z388" ca="1" si="168">IF(ABS(t-T_para)&lt;pas/2,"Para","")</f>
        <v/>
      </c>
      <c r="AA325" s="316" t="str">
        <f t="shared" ref="AA325:AA388" ca="1" si="169">IF(ABS(t-T_satellite)&lt;pas/2,"Satellite","")</f>
        <v/>
      </c>
      <c r="AC325" s="310" t="e">
        <f t="shared" ref="AC325:AC388" ca="1" si="170">IF(ABS(t-ROUND(t,0))&lt;0.001,t,NA())</f>
        <v>#N/A</v>
      </c>
      <c r="AD325" s="323" t="e">
        <f t="shared" ref="AD325:AD388" ca="1" si="171">IF(ABS(t-ROUND(t,0))&lt;0.001,pos_x,NA())</f>
        <v>#N/A</v>
      </c>
      <c r="AE325" s="324">
        <f t="shared" ca="1" si="150"/>
        <v>745.20862860487659</v>
      </c>
      <c r="AG325" s="306">
        <f t="shared" ref="AG325:AG388" ca="1" si="172">IF(AND(L324&lt;L_rampe,Poussee&lt;Poids*SIN(M324)),0,(-W324+Poussee)/m-Poids*SIN(M324)/m)</f>
        <v>-28.514338748506653</v>
      </c>
      <c r="AH325" s="304">
        <f t="shared" ref="AH325:AH388" ca="1" si="173">IF(AND(L324&lt;L_rampe,Poussee&lt;Poids*SIN(M324)), g*SIN(M324), (-W324+Poussee)/m)</f>
        <v>-18.901778329683921</v>
      </c>
    </row>
    <row r="326" spans="1:34" x14ac:dyDescent="0.2">
      <c r="A326" s="347">
        <f t="shared" ca="1" si="151"/>
        <v>0.01</v>
      </c>
      <c r="B326" s="304">
        <f t="shared" ca="1" si="152"/>
        <v>3.2199999999999753</v>
      </c>
      <c r="D326" s="306">
        <f t="shared" ca="1" si="153"/>
        <v>-3.9769454371304018</v>
      </c>
      <c r="E326" s="307">
        <f t="shared" ca="1" si="154"/>
        <v>-29.325257643900606</v>
      </c>
      <c r="F326" s="304">
        <f t="shared" ca="1" si="155"/>
        <v>29.593695796420281</v>
      </c>
      <c r="G326" s="306">
        <f t="shared" ca="1" si="156"/>
        <v>60.211857262884969</v>
      </c>
      <c r="H326" s="307">
        <f t="shared" ca="1" si="157"/>
        <v>295.36733352901388</v>
      </c>
      <c r="I326" s="304">
        <f t="shared" ca="1" si="158"/>
        <v>301.44208311230494</v>
      </c>
      <c r="J326" s="306">
        <f t="shared" ca="1" si="159"/>
        <v>145.06885314083115</v>
      </c>
      <c r="K326" s="307">
        <f t="shared" ca="1" si="160"/>
        <v>748.1637682030489</v>
      </c>
      <c r="L326" s="304">
        <f t="shared" ca="1" si="145"/>
        <v>762.09841635013356</v>
      </c>
      <c r="M326" s="306">
        <f t="shared" ca="1" si="161"/>
        <v>1.3696976133525458</v>
      </c>
      <c r="N326" s="304">
        <f t="shared" ca="1" si="162"/>
        <v>78.47789245424255</v>
      </c>
      <c r="P326" s="310">
        <f t="shared" ca="1" si="163"/>
        <v>9</v>
      </c>
      <c r="Q326" s="304">
        <f t="shared" ca="1" si="164"/>
        <v>216.2222222222367</v>
      </c>
      <c r="R326" s="306">
        <f t="shared" ca="1" si="165"/>
        <v>0.1085118591679681</v>
      </c>
      <c r="S326" s="307">
        <f t="shared" ca="1" si="166"/>
        <v>5.1026009071543275</v>
      </c>
      <c r="T326" s="304">
        <f t="shared" ca="1" si="146"/>
        <v>50.056514899183952</v>
      </c>
      <c r="U326" s="311">
        <f t="shared" ca="1" si="147"/>
        <v>0</v>
      </c>
      <c r="V326" s="306">
        <f t="shared" ca="1" si="148"/>
        <v>1.1366547732813554</v>
      </c>
      <c r="W326" s="304">
        <f t="shared" ca="1" si="149"/>
        <v>317.13179313071794</v>
      </c>
      <c r="Y326" s="314" t="str">
        <f t="shared" ca="1" si="167"/>
        <v/>
      </c>
      <c r="Z326" s="315" t="str">
        <f t="shared" ca="1" si="168"/>
        <v/>
      </c>
      <c r="AA326" s="316" t="str">
        <f t="shared" ca="1" si="169"/>
        <v/>
      </c>
      <c r="AC326" s="310" t="e">
        <f t="shared" ca="1" si="170"/>
        <v>#N/A</v>
      </c>
      <c r="AD326" s="323" t="e">
        <f t="shared" ca="1" si="171"/>
        <v>#N/A</v>
      </c>
      <c r="AE326" s="324">
        <f t="shared" ca="1" si="150"/>
        <v>748.1637682030489</v>
      </c>
      <c r="AG326" s="306">
        <f t="shared" ca="1" si="172"/>
        <v>-29.528792813145891</v>
      </c>
      <c r="AH326" s="304">
        <f t="shared" ca="1" si="173"/>
        <v>-19.9163595046317</v>
      </c>
    </row>
    <row r="327" spans="1:34" x14ac:dyDescent="0.2">
      <c r="A327" s="347">
        <f t="shared" ca="1" si="151"/>
        <v>0.01</v>
      </c>
      <c r="B327" s="304">
        <f t="shared" ca="1" si="152"/>
        <v>3.2299999999999751</v>
      </c>
      <c r="D327" s="306">
        <f t="shared" ca="1" si="153"/>
        <v>-4.1801393404618832</v>
      </c>
      <c r="E327" s="307">
        <f t="shared" ca="1" si="154"/>
        <v>-30.315539388718044</v>
      </c>
      <c r="F327" s="304">
        <f t="shared" ca="1" si="155"/>
        <v>30.602377249726732</v>
      </c>
      <c r="G327" s="306">
        <f t="shared" ca="1" si="156"/>
        <v>60.17005586948035</v>
      </c>
      <c r="H327" s="307">
        <f t="shared" ca="1" si="157"/>
        <v>295.06417813512672</v>
      </c>
      <c r="I327" s="304">
        <f t="shared" ca="1" si="158"/>
        <v>301.13668797058619</v>
      </c>
      <c r="J327" s="306">
        <f t="shared" ca="1" si="159"/>
        <v>145.67076270649298</v>
      </c>
      <c r="K327" s="307">
        <f t="shared" ca="1" si="160"/>
        <v>751.11592576136957</v>
      </c>
      <c r="L327" s="304">
        <f t="shared" ca="1" si="145"/>
        <v>765.1111716867365</v>
      </c>
      <c r="M327" s="306">
        <f t="shared" ca="1" si="161"/>
        <v>1.3696325429521208</v>
      </c>
      <c r="N327" s="304">
        <f t="shared" ca="1" si="162"/>
        <v>78.474164194926971</v>
      </c>
      <c r="P327" s="310">
        <f t="shared" ca="1" si="163"/>
        <v>9</v>
      </c>
      <c r="Q327" s="304">
        <f t="shared" ca="1" si="164"/>
        <v>210.37037037038499</v>
      </c>
      <c r="R327" s="306">
        <f t="shared" ca="1" si="165"/>
        <v>0.10557508737137039</v>
      </c>
      <c r="S327" s="307">
        <f t="shared" ca="1" si="166"/>
        <v>5.101545156280614</v>
      </c>
      <c r="T327" s="304">
        <f t="shared" ca="1" si="146"/>
        <v>50.046157983112828</v>
      </c>
      <c r="U327" s="311">
        <f t="shared" ca="1" si="147"/>
        <v>0</v>
      </c>
      <c r="V327" s="306">
        <f t="shared" ca="1" si="148"/>
        <v>1.1363187924592142</v>
      </c>
      <c r="W327" s="304">
        <f t="shared" ca="1" si="149"/>
        <v>316.3959871094367</v>
      </c>
      <c r="Y327" s="314" t="str">
        <f t="shared" ca="1" si="167"/>
        <v/>
      </c>
      <c r="Z327" s="315" t="str">
        <f t="shared" ca="1" si="168"/>
        <v/>
      </c>
      <c r="AA327" s="316" t="str">
        <f t="shared" ca="1" si="169"/>
        <v/>
      </c>
      <c r="AC327" s="310" t="e">
        <f t="shared" ca="1" si="170"/>
        <v>#N/A</v>
      </c>
      <c r="AD327" s="323" t="e">
        <f t="shared" ca="1" si="171"/>
        <v>#N/A</v>
      </c>
      <c r="AE327" s="324">
        <f t="shared" ca="1" si="150"/>
        <v>751.11592576136957</v>
      </c>
      <c r="AG327" s="306">
        <f t="shared" ca="1" si="172"/>
        <v>-30.539577924879708</v>
      </c>
      <c r="AH327" s="304">
        <f t="shared" ca="1" si="173"/>
        <v>-20.927271932288363</v>
      </c>
    </row>
    <row r="328" spans="1:34" x14ac:dyDescent="0.2">
      <c r="A328" s="347">
        <f t="shared" ca="1" si="151"/>
        <v>0.01</v>
      </c>
      <c r="B328" s="304">
        <f t="shared" ca="1" si="152"/>
        <v>3.2399999999999749</v>
      </c>
      <c r="D328" s="306">
        <f t="shared" ca="1" si="153"/>
        <v>-4.3827331227991406</v>
      </c>
      <c r="E328" s="307">
        <f t="shared" ca="1" si="154"/>
        <v>-31.30221117011228</v>
      </c>
      <c r="F328" s="304">
        <f t="shared" ca="1" si="155"/>
        <v>31.607542988406781</v>
      </c>
      <c r="G328" s="306">
        <f t="shared" ca="1" si="156"/>
        <v>60.126228538252356</v>
      </c>
      <c r="H328" s="307">
        <f t="shared" ca="1" si="157"/>
        <v>294.75115602342561</v>
      </c>
      <c r="I328" s="304">
        <f t="shared" ca="1" si="158"/>
        <v>300.82122155090707</v>
      </c>
      <c r="J328" s="306">
        <f t="shared" ca="1" si="159"/>
        <v>146.27224412853164</v>
      </c>
      <c r="K328" s="307">
        <f t="shared" ca="1" si="160"/>
        <v>754.06500243216237</v>
      </c>
      <c r="L328" s="304">
        <f t="shared" ca="1" si="145"/>
        <v>768.12082206864682</v>
      </c>
      <c r="M328" s="306">
        <f t="shared" ca="1" si="161"/>
        <v>1.3695673835212387</v>
      </c>
      <c r="N328" s="304">
        <f t="shared" ca="1" si="162"/>
        <v>78.470430834541958</v>
      </c>
      <c r="P328" s="310">
        <f t="shared" ca="1" si="163"/>
        <v>9</v>
      </c>
      <c r="Q328" s="304">
        <f t="shared" ca="1" si="164"/>
        <v>204.51851851853326</v>
      </c>
      <c r="R328" s="306">
        <f t="shared" ca="1" si="165"/>
        <v>0.10263831557477268</v>
      </c>
      <c r="S328" s="307">
        <f t="shared" ca="1" si="166"/>
        <v>5.1005187731248665</v>
      </c>
      <c r="T328" s="304">
        <f t="shared" ca="1" si="146"/>
        <v>50.036089164354941</v>
      </c>
      <c r="U328" s="311">
        <f t="shared" ca="1" si="147"/>
        <v>0</v>
      </c>
      <c r="V328" s="306">
        <f t="shared" ca="1" si="148"/>
        <v>1.1359832577019349</v>
      </c>
      <c r="W328" s="304">
        <f t="shared" ca="1" si="149"/>
        <v>315.64020017966408</v>
      </c>
      <c r="Y328" s="314" t="str">
        <f t="shared" ca="1" si="167"/>
        <v/>
      </c>
      <c r="Z328" s="315" t="str">
        <f t="shared" ca="1" si="168"/>
        <v/>
      </c>
      <c r="AA328" s="316" t="str">
        <f t="shared" ca="1" si="169"/>
        <v/>
      </c>
      <c r="AC328" s="310" t="e">
        <f t="shared" ca="1" si="170"/>
        <v>#N/A</v>
      </c>
      <c r="AD328" s="323" t="e">
        <f t="shared" ca="1" si="171"/>
        <v>#N/A</v>
      </c>
      <c r="AE328" s="324">
        <f t="shared" ca="1" si="150"/>
        <v>754.06500243216237</v>
      </c>
      <c r="AG328" s="306">
        <f t="shared" ca="1" si="172"/>
        <v>-31.546705828514391</v>
      </c>
      <c r="AH328" s="304">
        <f t="shared" ca="1" si="173"/>
        <v>-21.934527362274753</v>
      </c>
    </row>
    <row r="329" spans="1:34" x14ac:dyDescent="0.2">
      <c r="A329" s="347">
        <f t="shared" ca="1" si="151"/>
        <v>0.01</v>
      </c>
      <c r="B329" s="304">
        <f t="shared" ca="1" si="152"/>
        <v>3.2499999999999747</v>
      </c>
      <c r="D329" s="306">
        <f t="shared" ca="1" si="153"/>
        <v>-4.5847288199812368</v>
      </c>
      <c r="E329" s="307">
        <f t="shared" ca="1" si="154"/>
        <v>-32.285284956275824</v>
      </c>
      <c r="F329" s="304">
        <f t="shared" ca="1" si="155"/>
        <v>32.609191389249389</v>
      </c>
      <c r="G329" s="306">
        <f t="shared" ca="1" si="156"/>
        <v>60.080381250052547</v>
      </c>
      <c r="H329" s="307">
        <f t="shared" ca="1" si="157"/>
        <v>294.42830317386284</v>
      </c>
      <c r="I329" s="304">
        <f t="shared" ca="1" si="158"/>
        <v>300.49572030395336</v>
      </c>
      <c r="J329" s="306">
        <f t="shared" ca="1" si="159"/>
        <v>146.87327717747317</v>
      </c>
      <c r="K329" s="307">
        <f t="shared" ca="1" si="160"/>
        <v>757.01089972814884</v>
      </c>
      <c r="L329" s="304">
        <f t="shared" ca="1" si="145"/>
        <v>771.12726696445657</v>
      </c>
      <c r="M329" s="306">
        <f t="shared" ca="1" si="161"/>
        <v>1.3695021326658425</v>
      </c>
      <c r="N329" s="304">
        <f t="shared" ca="1" si="162"/>
        <v>78.466692235918131</v>
      </c>
      <c r="P329" s="310">
        <f t="shared" ca="1" si="163"/>
        <v>9</v>
      </c>
      <c r="Q329" s="304">
        <f t="shared" ca="1" si="164"/>
        <v>198.66666666668152</v>
      </c>
      <c r="R329" s="306">
        <f t="shared" ca="1" si="165"/>
        <v>9.9701543778174959E-2</v>
      </c>
      <c r="S329" s="307">
        <f t="shared" ca="1" si="166"/>
        <v>5.0995217576870848</v>
      </c>
      <c r="T329" s="304">
        <f t="shared" ca="1" si="146"/>
        <v>50.026308442910306</v>
      </c>
      <c r="U329" s="311">
        <f t="shared" ca="1" si="147"/>
        <v>0</v>
      </c>
      <c r="V329" s="306">
        <f t="shared" ca="1" si="148"/>
        <v>1.1356481798707223</v>
      </c>
      <c r="W329" s="304">
        <f t="shared" ca="1" si="149"/>
        <v>314.86459558290943</v>
      </c>
      <c r="Y329" s="314" t="str">
        <f t="shared" ca="1" si="167"/>
        <v/>
      </c>
      <c r="Z329" s="315" t="str">
        <f t="shared" ca="1" si="168"/>
        <v/>
      </c>
      <c r="AA329" s="316" t="str">
        <f t="shared" ca="1" si="169"/>
        <v/>
      </c>
      <c r="AC329" s="310" t="e">
        <f t="shared" ca="1" si="170"/>
        <v>#N/A</v>
      </c>
      <c r="AD329" s="323" t="e">
        <f t="shared" ca="1" si="171"/>
        <v>#N/A</v>
      </c>
      <c r="AE329" s="324">
        <f t="shared" ca="1" si="150"/>
        <v>757.01089972814884</v>
      </c>
      <c r="AG329" s="306">
        <f t="shared" ca="1" si="172"/>
        <v>-32.550188666018293</v>
      </c>
      <c r="AH329" s="304">
        <f t="shared" ca="1" si="173"/>
        <v>-22.93813794139718</v>
      </c>
    </row>
    <row r="330" spans="1:34" x14ac:dyDescent="0.2">
      <c r="A330" s="347">
        <f t="shared" ca="1" si="151"/>
        <v>0.01</v>
      </c>
      <c r="B330" s="304">
        <f t="shared" ca="1" si="152"/>
        <v>3.2599999999999745</v>
      </c>
      <c r="D330" s="306">
        <f t="shared" ca="1" si="153"/>
        <v>-4.7861285565824181</v>
      </c>
      <c r="E330" s="307">
        <f t="shared" ca="1" si="154"/>
        <v>-33.264773095090796</v>
      </c>
      <c r="F330" s="304">
        <f t="shared" ca="1" si="155"/>
        <v>33.607322946465253</v>
      </c>
      <c r="G330" s="306">
        <f t="shared" ca="1" si="156"/>
        <v>60.032519964486724</v>
      </c>
      <c r="H330" s="307">
        <f t="shared" ca="1" si="157"/>
        <v>294.09565544291195</v>
      </c>
      <c r="I330" s="304">
        <f t="shared" ca="1" si="158"/>
        <v>300.16022055509364</v>
      </c>
      <c r="J330" s="306">
        <f t="shared" ca="1" si="159"/>
        <v>147.47384168354586</v>
      </c>
      <c r="K330" s="307">
        <f t="shared" ca="1" si="160"/>
        <v>759.95351952123269</v>
      </c>
      <c r="L330" s="304">
        <f t="shared" ca="1" si="145"/>
        <v>774.1304062066107</v>
      </c>
      <c r="M330" s="306">
        <f t="shared" ca="1" si="161"/>
        <v>1.3694367879820599</v>
      </c>
      <c r="N330" s="304">
        <f t="shared" ca="1" si="162"/>
        <v>78.462948261323774</v>
      </c>
      <c r="P330" s="310">
        <f t="shared" ca="1" si="163"/>
        <v>9</v>
      </c>
      <c r="Q330" s="304">
        <f t="shared" ca="1" si="164"/>
        <v>192.81481481482979</v>
      </c>
      <c r="R330" s="306">
        <f t="shared" ca="1" si="165"/>
        <v>9.6764771981577249E-2</v>
      </c>
      <c r="S330" s="307">
        <f t="shared" ca="1" si="166"/>
        <v>5.0985541099672691</v>
      </c>
      <c r="T330" s="304">
        <f t="shared" ca="1" si="146"/>
        <v>50.016815818778909</v>
      </c>
      <c r="U330" s="311">
        <f t="shared" ca="1" si="147"/>
        <v>0</v>
      </c>
      <c r="V330" s="306">
        <f t="shared" ca="1" si="148"/>
        <v>1.1353135697738326</v>
      </c>
      <c r="W330" s="304">
        <f t="shared" ca="1" si="149"/>
        <v>314.0693378206438</v>
      </c>
      <c r="Y330" s="314" t="str">
        <f t="shared" ca="1" si="167"/>
        <v/>
      </c>
      <c r="Z330" s="315" t="str">
        <f t="shared" ca="1" si="168"/>
        <v/>
      </c>
      <c r="AA330" s="316" t="str">
        <f t="shared" ca="1" si="169"/>
        <v/>
      </c>
      <c r="AC330" s="310" t="e">
        <f t="shared" ca="1" si="170"/>
        <v>#N/A</v>
      </c>
      <c r="AD330" s="323" t="e">
        <f t="shared" ca="1" si="171"/>
        <v>#N/A</v>
      </c>
      <c r="AE330" s="324">
        <f t="shared" ca="1" si="150"/>
        <v>759.95351952123269</v>
      </c>
      <c r="AG330" s="306">
        <f t="shared" ca="1" si="172"/>
        <v>-33.55003896908994</v>
      </c>
      <c r="AH330" s="304">
        <f t="shared" ca="1" si="173"/>
        <v>-23.938116206216581</v>
      </c>
    </row>
    <row r="331" spans="1:34" x14ac:dyDescent="0.2">
      <c r="A331" s="347">
        <f t="shared" ca="1" si="151"/>
        <v>0.01</v>
      </c>
      <c r="B331" s="304">
        <f t="shared" ca="1" si="152"/>
        <v>3.2699999999999743</v>
      </c>
      <c r="D331" s="306">
        <f t="shared" ca="1" si="153"/>
        <v>-4.9869345445460889</v>
      </c>
      <c r="E331" s="307">
        <f t="shared" ca="1" si="154"/>
        <v>-34.240688306884259</v>
      </c>
      <c r="F331" s="304">
        <f t="shared" ca="1" si="155"/>
        <v>34.601940001693364</v>
      </c>
      <c r="G331" s="306">
        <f t="shared" ca="1" si="156"/>
        <v>59.982650619041266</v>
      </c>
      <c r="H331" s="307">
        <f t="shared" ca="1" si="157"/>
        <v>293.75324855984309</v>
      </c>
      <c r="I331" s="304">
        <f t="shared" ca="1" si="158"/>
        <v>299.81475850055637</v>
      </c>
      <c r="J331" s="306">
        <f t="shared" ca="1" si="159"/>
        <v>148.07391753646348</v>
      </c>
      <c r="K331" s="307">
        <f t="shared" ca="1" si="160"/>
        <v>762.89276404124644</v>
      </c>
      <c r="L331" s="304">
        <f t="shared" ca="1" si="145"/>
        <v>777.13013999013594</v>
      </c>
      <c r="M331" s="306">
        <f t="shared" ca="1" si="161"/>
        <v>1.3693713470556921</v>
      </c>
      <c r="N331" s="304">
        <f t="shared" ca="1" si="162"/>
        <v>78.459198772435471</v>
      </c>
      <c r="P331" s="310">
        <f t="shared" ca="1" si="163"/>
        <v>9</v>
      </c>
      <c r="Q331" s="304">
        <f t="shared" ca="1" si="164"/>
        <v>186.96296296297808</v>
      </c>
      <c r="R331" s="306">
        <f t="shared" ca="1" si="165"/>
        <v>9.382800018497954E-2</v>
      </c>
      <c r="S331" s="307">
        <f t="shared" ca="1" si="166"/>
        <v>5.0976158299654193</v>
      </c>
      <c r="T331" s="304">
        <f t="shared" ca="1" si="146"/>
        <v>50.007611291960764</v>
      </c>
      <c r="U331" s="311">
        <f t="shared" ca="1" si="147"/>
        <v>0</v>
      </c>
      <c r="V331" s="306">
        <f t="shared" ca="1" si="148"/>
        <v>1.1349794381668203</v>
      </c>
      <c r="W331" s="304">
        <f t="shared" ca="1" si="149"/>
        <v>313.25459261901801</v>
      </c>
      <c r="Y331" s="314" t="str">
        <f t="shared" ca="1" si="167"/>
        <v/>
      </c>
      <c r="Z331" s="315" t="str">
        <f t="shared" ca="1" si="168"/>
        <v/>
      </c>
      <c r="AA331" s="316" t="str">
        <f t="shared" ca="1" si="169"/>
        <v/>
      </c>
      <c r="AC331" s="310" t="e">
        <f t="shared" ca="1" si="170"/>
        <v>#N/A</v>
      </c>
      <c r="AD331" s="323" t="e">
        <f t="shared" ca="1" si="171"/>
        <v>#N/A</v>
      </c>
      <c r="AE331" s="324">
        <f t="shared" ca="1" si="150"/>
        <v>762.89276404124644</v>
      </c>
      <c r="AG331" s="306">
        <f t="shared" ca="1" si="172"/>
        <v>-34.546269651788677</v>
      </c>
      <c r="AH331" s="304">
        <f t="shared" ca="1" si="173"/>
        <v>-24.934475075680226</v>
      </c>
    </row>
    <row r="332" spans="1:34" x14ac:dyDescent="0.2">
      <c r="A332" s="347">
        <f t="shared" ca="1" si="151"/>
        <v>0.01</v>
      </c>
      <c r="B332" s="304">
        <f t="shared" ca="1" si="152"/>
        <v>3.279999999999974</v>
      </c>
      <c r="D332" s="306">
        <f t="shared" ca="1" si="153"/>
        <v>-5.1871490818325316</v>
      </c>
      <c r="E332" s="307">
        <f t="shared" ca="1" si="154"/>
        <v>-35.213043677246368</v>
      </c>
      <c r="F332" s="304">
        <f t="shared" ca="1" si="155"/>
        <v>35.593046520532866</v>
      </c>
      <c r="G332" s="306">
        <f t="shared" ca="1" si="156"/>
        <v>59.930779128222937</v>
      </c>
      <c r="H332" s="307">
        <f t="shared" ca="1" si="157"/>
        <v>293.4011181230706</v>
      </c>
      <c r="I332" s="304">
        <f t="shared" ca="1" si="158"/>
        <v>299.45937020367865</v>
      </c>
      <c r="J332" s="306">
        <f t="shared" ca="1" si="159"/>
        <v>148.67348468519981</v>
      </c>
      <c r="K332" s="307">
        <f t="shared" ca="1" si="160"/>
        <v>765.82853587466104</v>
      </c>
      <c r="L332" s="304">
        <f t="shared" ca="1" si="145"/>
        <v>780.12636887133056</v>
      </c>
      <c r="M332" s="306">
        <f t="shared" ca="1" si="161"/>
        <v>1.3693058074616993</v>
      </c>
      <c r="N332" s="304">
        <f t="shared" ca="1" si="162"/>
        <v>78.455443630308679</v>
      </c>
      <c r="P332" s="310">
        <f t="shared" ca="1" si="163"/>
        <v>9</v>
      </c>
      <c r="Q332" s="304">
        <f t="shared" ca="1" si="164"/>
        <v>181.11111111112635</v>
      </c>
      <c r="R332" s="306">
        <f t="shared" ca="1" si="165"/>
        <v>9.0891228388381831E-2</v>
      </c>
      <c r="S332" s="307">
        <f t="shared" ca="1" si="166"/>
        <v>5.0967069176815354</v>
      </c>
      <c r="T332" s="304">
        <f t="shared" ca="1" si="146"/>
        <v>49.998694862455864</v>
      </c>
      <c r="U332" s="311">
        <f t="shared" ca="1" si="147"/>
        <v>0</v>
      </c>
      <c r="V332" s="306">
        <f t="shared" ca="1" si="148"/>
        <v>1.134645795752792</v>
      </c>
      <c r="W332" s="304">
        <f t="shared" ca="1" si="149"/>
        <v>312.42052689411906</v>
      </c>
      <c r="Y332" s="314" t="str">
        <f t="shared" ca="1" si="167"/>
        <v/>
      </c>
      <c r="Z332" s="315" t="str">
        <f t="shared" ca="1" si="168"/>
        <v/>
      </c>
      <c r="AA332" s="316" t="str">
        <f t="shared" ca="1" si="169"/>
        <v/>
      </c>
      <c r="AC332" s="310" t="e">
        <f t="shared" ca="1" si="170"/>
        <v>#N/A</v>
      </c>
      <c r="AD332" s="323" t="e">
        <f t="shared" ca="1" si="171"/>
        <v>#N/A</v>
      </c>
      <c r="AE332" s="324">
        <f t="shared" ca="1" si="150"/>
        <v>765.82853587466104</v>
      </c>
      <c r="AG332" s="306">
        <f t="shared" ca="1" si="172"/>
        <v>-35.538894003229771</v>
      </c>
      <c r="AH332" s="304">
        <f t="shared" ca="1" si="173"/>
        <v>-25.927227843817832</v>
      </c>
    </row>
    <row r="333" spans="1:34" x14ac:dyDescent="0.2">
      <c r="A333" s="347">
        <f t="shared" ca="1" si="151"/>
        <v>0.01</v>
      </c>
      <c r="B333" s="304">
        <f t="shared" ca="1" si="152"/>
        <v>3.2899999999999738</v>
      </c>
      <c r="D333" s="306">
        <f t="shared" ca="1" si="153"/>
        <v>-5.3867745510804941</v>
      </c>
      <c r="E333" s="307">
        <f t="shared" ca="1" si="154"/>
        <v>-36.181852649912031</v>
      </c>
      <c r="F333" s="304">
        <f t="shared" ca="1" si="155"/>
        <v>36.580647906292128</v>
      </c>
      <c r="G333" s="306">
        <f t="shared" ca="1" si="156"/>
        <v>59.87691138271213</v>
      </c>
      <c r="H333" s="307">
        <f t="shared" ca="1" si="157"/>
        <v>293.03929959657148</v>
      </c>
      <c r="I333" s="304">
        <f t="shared" ca="1" si="158"/>
        <v>299.09409159122879</v>
      </c>
      <c r="J333" s="306">
        <f t="shared" ca="1" si="159"/>
        <v>149.27252313775449</v>
      </c>
      <c r="K333" s="307">
        <f t="shared" ca="1" si="160"/>
        <v>768.7607379632592</v>
      </c>
      <c r="L333" s="304">
        <f t="shared" ca="1" si="145"/>
        <v>783.11899376641759</v>
      </c>
      <c r="M333" s="306">
        <f t="shared" ca="1" si="161"/>
        <v>1.3692401667636804</v>
      </c>
      <c r="N333" s="304">
        <f t="shared" ca="1" si="162"/>
        <v>78.451682695347898</v>
      </c>
      <c r="P333" s="310">
        <f t="shared" ca="1" si="163"/>
        <v>9</v>
      </c>
      <c r="Q333" s="304">
        <f t="shared" ca="1" si="164"/>
        <v>175.25925925927461</v>
      </c>
      <c r="R333" s="306">
        <f t="shared" ca="1" si="165"/>
        <v>8.7954456591784108E-2</v>
      </c>
      <c r="S333" s="307">
        <f t="shared" ca="1" si="166"/>
        <v>5.0958273731156174</v>
      </c>
      <c r="T333" s="304">
        <f t="shared" ca="1" si="146"/>
        <v>49.990066530264208</v>
      </c>
      <c r="U333" s="311">
        <f t="shared" ca="1" si="147"/>
        <v>0</v>
      </c>
      <c r="V333" s="306">
        <f t="shared" ca="1" si="148"/>
        <v>1.1343126531826619</v>
      </c>
      <c r="W333" s="304">
        <f t="shared" ca="1" si="149"/>
        <v>311.56730871776824</v>
      </c>
      <c r="Y333" s="314" t="str">
        <f t="shared" ca="1" si="167"/>
        <v/>
      </c>
      <c r="Z333" s="315" t="str">
        <f t="shared" ca="1" si="168"/>
        <v/>
      </c>
      <c r="AA333" s="316" t="str">
        <f t="shared" ca="1" si="169"/>
        <v/>
      </c>
      <c r="AC333" s="310" t="e">
        <f t="shared" ca="1" si="170"/>
        <v>#N/A</v>
      </c>
      <c r="AD333" s="323" t="e">
        <f t="shared" ca="1" si="171"/>
        <v>#N/A</v>
      </c>
      <c r="AE333" s="324">
        <f t="shared" ca="1" si="150"/>
        <v>768.7607379632592</v>
      </c>
      <c r="AG333" s="306">
        <f t="shared" ca="1" si="172"/>
        <v>-36.527925680344389</v>
      </c>
      <c r="AH333" s="304">
        <f t="shared" ca="1" si="173"/>
        <v>-26.91638817250265</v>
      </c>
    </row>
    <row r="334" spans="1:34" x14ac:dyDescent="0.2">
      <c r="A334" s="347">
        <f t="shared" ca="1" si="151"/>
        <v>0.01</v>
      </c>
      <c r="B334" s="304">
        <f t="shared" ca="1" si="152"/>
        <v>3.2999999999999736</v>
      </c>
      <c r="D334" s="306">
        <f t="shared" ca="1" si="153"/>
        <v>-5.5858134182830783</v>
      </c>
      <c r="E334" s="307">
        <f t="shared" ca="1" si="154"/>
        <v>-37.147129019707656</v>
      </c>
      <c r="F334" s="304">
        <f t="shared" ca="1" si="155"/>
        <v>37.564750843718876</v>
      </c>
      <c r="G334" s="306">
        <f t="shared" ca="1" si="156"/>
        <v>59.821053248529303</v>
      </c>
      <c r="H334" s="307">
        <f t="shared" ca="1" si="157"/>
        <v>292.66782830637442</v>
      </c>
      <c r="I334" s="304">
        <f t="shared" ca="1" si="158"/>
        <v>298.71895844979917</v>
      </c>
      <c r="J334" s="306">
        <f t="shared" ca="1" si="159"/>
        <v>149.87101296091069</v>
      </c>
      <c r="K334" s="307">
        <f t="shared" ca="1" si="160"/>
        <v>771.68927360277394</v>
      </c>
      <c r="L334" s="304">
        <f t="shared" ca="1" si="145"/>
        <v>786.10791595016155</v>
      </c>
      <c r="M334" s="306">
        <f t="shared" ca="1" si="161"/>
        <v>1.369174422513348</v>
      </c>
      <c r="N334" s="304">
        <f t="shared" ca="1" si="162"/>
        <v>78.447915827276603</v>
      </c>
      <c r="P334" s="310">
        <f t="shared" ca="1" si="163"/>
        <v>9</v>
      </c>
      <c r="Q334" s="304">
        <f t="shared" ca="1" si="164"/>
        <v>169.40740740742291</v>
      </c>
      <c r="R334" s="306">
        <f t="shared" ca="1" si="165"/>
        <v>8.5017684795186413E-2</v>
      </c>
      <c r="S334" s="307">
        <f t="shared" ca="1" si="166"/>
        <v>5.0949771962676653</v>
      </c>
      <c r="T334" s="304">
        <f t="shared" ca="1" si="146"/>
        <v>49.981726295385798</v>
      </c>
      <c r="U334" s="311">
        <f t="shared" ca="1" si="147"/>
        <v>0</v>
      </c>
      <c r="V334" s="306">
        <f t="shared" ca="1" si="148"/>
        <v>1.1339800210554147</v>
      </c>
      <c r="W334" s="304">
        <f t="shared" ca="1" si="149"/>
        <v>310.69510728385791</v>
      </c>
      <c r="Y334" s="314" t="str">
        <f t="shared" ca="1" si="167"/>
        <v/>
      </c>
      <c r="Z334" s="315" t="str">
        <f t="shared" ca="1" si="168"/>
        <v/>
      </c>
      <c r="AA334" s="316" t="str">
        <f t="shared" ca="1" si="169"/>
        <v/>
      </c>
      <c r="AC334" s="310" t="e">
        <f t="shared" ca="1" si="170"/>
        <v>#N/A</v>
      </c>
      <c r="AD334" s="323" t="e">
        <f t="shared" ca="1" si="171"/>
        <v>#N/A</v>
      </c>
      <c r="AE334" s="324">
        <f t="shared" ca="1" si="150"/>
        <v>771.68927360277394</v>
      </c>
      <c r="AG334" s="306">
        <f t="shared" ca="1" si="172"/>
        <v>-37.513378700706319</v>
      </c>
      <c r="AH334" s="304">
        <f t="shared" ca="1" si="173"/>
        <v>-27.901970084279242</v>
      </c>
    </row>
    <row r="335" spans="1:34" x14ac:dyDescent="0.2">
      <c r="A335" s="347">
        <f t="shared" ca="1" si="151"/>
        <v>0.01</v>
      </c>
      <c r="B335" s="304">
        <f t="shared" ca="1" si="152"/>
        <v>3.3099999999999734</v>
      </c>
      <c r="D335" s="306">
        <f t="shared" ca="1" si="153"/>
        <v>-5.7842682314780474</v>
      </c>
      <c r="E335" s="307">
        <f t="shared" ca="1" si="154"/>
        <v>-38.108886925563326</v>
      </c>
      <c r="F335" s="304">
        <f t="shared" ca="1" si="155"/>
        <v>38.545363167040698</v>
      </c>
      <c r="G335" s="306">
        <f t="shared" ca="1" si="156"/>
        <v>59.763210566214525</v>
      </c>
      <c r="H335" s="307">
        <f t="shared" ca="1" si="157"/>
        <v>292.2867394371188</v>
      </c>
      <c r="I335" s="304">
        <f t="shared" ca="1" si="158"/>
        <v>298.33400642227139</v>
      </c>
      <c r="J335" s="306">
        <f t="shared" ca="1" si="159"/>
        <v>150.46893427998441</v>
      </c>
      <c r="K335" s="307">
        <f t="shared" ca="1" si="160"/>
        <v>774.61404644149138</v>
      </c>
      <c r="L335" s="304">
        <f t="shared" ca="1" si="145"/>
        <v>789.09303705444984</v>
      </c>
      <c r="M335" s="306">
        <f t="shared" ca="1" si="161"/>
        <v>1.3691085722499967</v>
      </c>
      <c r="N335" s="304">
        <f t="shared" ca="1" si="162"/>
        <v>78.444142885106757</v>
      </c>
      <c r="P335" s="310">
        <f t="shared" ca="1" si="163"/>
        <v>9</v>
      </c>
      <c r="Q335" s="304">
        <f t="shared" ca="1" si="164"/>
        <v>163.55555555557117</v>
      </c>
      <c r="R335" s="306">
        <f t="shared" ca="1" si="165"/>
        <v>8.208091299858869E-2</v>
      </c>
      <c r="S335" s="307">
        <f t="shared" ca="1" si="166"/>
        <v>5.0941563871376792</v>
      </c>
      <c r="T335" s="304">
        <f t="shared" ca="1" si="146"/>
        <v>49.973674157820632</v>
      </c>
      <c r="U335" s="311">
        <f t="shared" ca="1" si="147"/>
        <v>0</v>
      </c>
      <c r="V335" s="306">
        <f t="shared" ca="1" si="148"/>
        <v>1.1336479099183683</v>
      </c>
      <c r="W335" s="304">
        <f t="shared" ca="1" si="149"/>
        <v>309.80409287523048</v>
      </c>
      <c r="Y335" s="314" t="str">
        <f t="shared" ca="1" si="167"/>
        <v/>
      </c>
      <c r="Z335" s="315" t="str">
        <f t="shared" ca="1" si="168"/>
        <v/>
      </c>
      <c r="AA335" s="316" t="str">
        <f t="shared" ca="1" si="169"/>
        <v/>
      </c>
      <c r="AC335" s="310" t="e">
        <f t="shared" ca="1" si="170"/>
        <v>#N/A</v>
      </c>
      <c r="AD335" s="323" t="e">
        <f t="shared" ca="1" si="171"/>
        <v>#N/A</v>
      </c>
      <c r="AE335" s="324">
        <f t="shared" ca="1" si="150"/>
        <v>774.61404644149138</v>
      </c>
      <c r="AG335" s="306">
        <f t="shared" ca="1" si="172"/>
        <v>-38.495267435425674</v>
      </c>
      <c r="AH335" s="304">
        <f t="shared" ca="1" si="173"/>
        <v>-28.883987955258274</v>
      </c>
    </row>
    <row r="336" spans="1:34" x14ac:dyDescent="0.2">
      <c r="A336" s="347">
        <f t="shared" ca="1" si="151"/>
        <v>0.01</v>
      </c>
      <c r="B336" s="304">
        <f t="shared" ca="1" si="152"/>
        <v>3.3199999999999732</v>
      </c>
      <c r="D336" s="306">
        <f t="shared" ca="1" si="153"/>
        <v>-5.9821416194529053</v>
      </c>
      <c r="E336" s="307">
        <f t="shared" ca="1" si="154"/>
        <v>-39.067140843591858</v>
      </c>
      <c r="F336" s="304">
        <f t="shared" ca="1" si="155"/>
        <v>39.522493747842304</v>
      </c>
      <c r="G336" s="306">
        <f t="shared" ca="1" si="156"/>
        <v>59.703389150019994</v>
      </c>
      <c r="H336" s="307">
        <f t="shared" ca="1" si="157"/>
        <v>291.89606802868286</v>
      </c>
      <c r="I336" s="304">
        <f t="shared" ca="1" si="158"/>
        <v>297.9392710043511</v>
      </c>
      <c r="J336" s="306">
        <f t="shared" ca="1" si="159"/>
        <v>151.06626727856559</v>
      </c>
      <c r="K336" s="307">
        <f t="shared" ca="1" si="160"/>
        <v>777.53496047882038</v>
      </c>
      <c r="L336" s="304">
        <f t="shared" ca="1" si="145"/>
        <v>792.07425906683761</v>
      </c>
      <c r="M336" s="306">
        <f t="shared" ca="1" si="161"/>
        <v>1.3690426134999683</v>
      </c>
      <c r="N336" s="304">
        <f t="shared" ca="1" si="162"/>
        <v>78.440363727108164</v>
      </c>
      <c r="P336" s="310">
        <f t="shared" ca="1" si="163"/>
        <v>9</v>
      </c>
      <c r="Q336" s="304">
        <f t="shared" ca="1" si="164"/>
        <v>157.70370370371944</v>
      </c>
      <c r="R336" s="306">
        <f t="shared" ca="1" si="165"/>
        <v>7.9144141201990981E-2</v>
      </c>
      <c r="S336" s="307">
        <f t="shared" ca="1" si="166"/>
        <v>5.0933649457256589</v>
      </c>
      <c r="T336" s="304">
        <f t="shared" ca="1" si="146"/>
        <v>49.965910117568718</v>
      </c>
      <c r="U336" s="311">
        <f t="shared" ca="1" si="147"/>
        <v>0</v>
      </c>
      <c r="V336" s="306">
        <f t="shared" ca="1" si="148"/>
        <v>1.1333163302674474</v>
      </c>
      <c r="W336" s="304">
        <f t="shared" ca="1" si="149"/>
        <v>308.89443683109943</v>
      </c>
      <c r="Y336" s="314" t="str">
        <f t="shared" ca="1" si="167"/>
        <v/>
      </c>
      <c r="Z336" s="315" t="str">
        <f t="shared" ca="1" si="168"/>
        <v/>
      </c>
      <c r="AA336" s="316" t="str">
        <f t="shared" ca="1" si="169"/>
        <v/>
      </c>
      <c r="AC336" s="310" t="e">
        <f t="shared" ca="1" si="170"/>
        <v>#N/A</v>
      </c>
      <c r="AD336" s="323" t="e">
        <f t="shared" ca="1" si="171"/>
        <v>#N/A</v>
      </c>
      <c r="AE336" s="324">
        <f t="shared" ca="1" si="150"/>
        <v>777.53496047882038</v>
      </c>
      <c r="AG336" s="306">
        <f t="shared" ca="1" si="172"/>
        <v>-39.473606602111118</v>
      </c>
      <c r="AH336" s="304">
        <f t="shared" ca="1" si="173"/>
        <v>-29.862456508079863</v>
      </c>
    </row>
    <row r="337" spans="1:34" x14ac:dyDescent="0.2">
      <c r="A337" s="347">
        <f t="shared" ca="1" si="151"/>
        <v>0.01</v>
      </c>
      <c r="B337" s="304">
        <f t="shared" ca="1" si="152"/>
        <v>3.329999999999973</v>
      </c>
      <c r="D337" s="306">
        <f t="shared" ca="1" si="153"/>
        <v>-6.1794362904649907</v>
      </c>
      <c r="E337" s="307">
        <f t="shared" ca="1" si="154"/>
        <v>-40.021905580235838</v>
      </c>
      <c r="F337" s="304">
        <f t="shared" ca="1" si="155"/>
        <v>40.496152399224648</v>
      </c>
      <c r="G337" s="306">
        <f t="shared" ca="1" si="156"/>
        <v>59.641594787115345</v>
      </c>
      <c r="H337" s="307">
        <f t="shared" ca="1" si="157"/>
        <v>291.49584897288048</v>
      </c>
      <c r="I337" s="304">
        <f t="shared" ca="1" si="158"/>
        <v>297.53478754117276</v>
      </c>
      <c r="J337" s="306">
        <f t="shared" ca="1" si="159"/>
        <v>151.66299219825126</v>
      </c>
      <c r="K337" s="307">
        <f t="shared" ca="1" si="160"/>
        <v>780.4519200638282</v>
      </c>
      <c r="L337" s="304">
        <f t="shared" ca="1" si="145"/>
        <v>795.05148432906083</v>
      </c>
      <c r="M337" s="306">
        <f t="shared" ca="1" si="161"/>
        <v>1.3689765437761081</v>
      </c>
      <c r="N337" s="304">
        <f t="shared" ca="1" si="162"/>
        <v>78.436578210777384</v>
      </c>
      <c r="P337" s="310">
        <f t="shared" ca="1" si="163"/>
        <v>9</v>
      </c>
      <c r="Q337" s="304">
        <f t="shared" ca="1" si="164"/>
        <v>151.85185185186771</v>
      </c>
      <c r="R337" s="306">
        <f t="shared" ca="1" si="165"/>
        <v>7.6207369405393258E-2</v>
      </c>
      <c r="S337" s="307">
        <f t="shared" ca="1" si="166"/>
        <v>5.0926028720316046</v>
      </c>
      <c r="T337" s="304">
        <f t="shared" ca="1" si="146"/>
        <v>49.958434174630042</v>
      </c>
      <c r="U337" s="311">
        <f t="shared" ca="1" si="147"/>
        <v>0</v>
      </c>
      <c r="V337" s="306">
        <f t="shared" ca="1" si="148"/>
        <v>1.1329852925474537</v>
      </c>
      <c r="W337" s="304">
        <f t="shared" ca="1" si="149"/>
        <v>307.96631151500844</v>
      </c>
      <c r="Y337" s="314" t="str">
        <f t="shared" ca="1" si="167"/>
        <v/>
      </c>
      <c r="Z337" s="315" t="str">
        <f t="shared" ca="1" si="168"/>
        <v/>
      </c>
      <c r="AA337" s="316" t="str">
        <f t="shared" ca="1" si="169"/>
        <v/>
      </c>
      <c r="AC337" s="310" t="e">
        <f t="shared" ca="1" si="170"/>
        <v>#N/A</v>
      </c>
      <c r="AD337" s="323" t="e">
        <f t="shared" ca="1" si="171"/>
        <v>#N/A</v>
      </c>
      <c r="AE337" s="324">
        <f t="shared" ca="1" si="150"/>
        <v>780.4519200638282</v>
      </c>
      <c r="AG337" s="306">
        <f t="shared" ca="1" si="172"/>
        <v>-40.448411257901732</v>
      </c>
      <c r="AH337" s="304">
        <f t="shared" ca="1" si="173"/>
        <v>-30.837390804946537</v>
      </c>
    </row>
    <row r="338" spans="1:34" x14ac:dyDescent="0.2">
      <c r="A338" s="347">
        <f t="shared" ca="1" si="151"/>
        <v>0.01</v>
      </c>
      <c r="B338" s="304">
        <f t="shared" ca="1" si="152"/>
        <v>3.3399999999999728</v>
      </c>
      <c r="D338" s="306">
        <f t="shared" ca="1" si="153"/>
        <v>-6.3761550309767152</v>
      </c>
      <c r="E338" s="307">
        <f t="shared" ca="1" si="154"/>
        <v>-40.973196265482613</v>
      </c>
      <c r="F338" s="304">
        <f t="shared" ca="1" si="155"/>
        <v>41.466349793402458</v>
      </c>
      <c r="G338" s="306">
        <f t="shared" ca="1" si="156"/>
        <v>59.577833236805574</v>
      </c>
      <c r="H338" s="307">
        <f t="shared" ca="1" si="157"/>
        <v>291.08611701022568</v>
      </c>
      <c r="I338" s="304">
        <f t="shared" ca="1" si="158"/>
        <v>297.12059122397324</v>
      </c>
      <c r="J338" s="306">
        <f t="shared" ca="1" si="159"/>
        <v>152.25908933837087</v>
      </c>
      <c r="K338" s="307">
        <f t="shared" ca="1" si="160"/>
        <v>783.36482989374372</v>
      </c>
      <c r="L338" s="304">
        <f t="shared" ca="1" si="145"/>
        <v>798.02461553551336</v>
      </c>
      <c r="M338" s="306">
        <f t="shared" ca="1" si="161"/>
        <v>1.3689103605772177</v>
      </c>
      <c r="N338" s="304">
        <f t="shared" ca="1" si="162"/>
        <v>78.43278619280629</v>
      </c>
      <c r="P338" s="310">
        <f t="shared" ca="1" si="163"/>
        <v>9</v>
      </c>
      <c r="Q338" s="304">
        <f t="shared" ca="1" si="164"/>
        <v>146.00000000001597</v>
      </c>
      <c r="R338" s="306">
        <f t="shared" ca="1" si="165"/>
        <v>7.3270597608795549E-2</v>
      </c>
      <c r="S338" s="307">
        <f t="shared" ca="1" si="166"/>
        <v>5.091870166055517</v>
      </c>
      <c r="T338" s="304">
        <f t="shared" ca="1" si="146"/>
        <v>49.951246329004626</v>
      </c>
      <c r="U338" s="311">
        <f t="shared" ca="1" si="147"/>
        <v>0</v>
      </c>
      <c r="V338" s="306">
        <f t="shared" ca="1" si="148"/>
        <v>1.1326548071523468</v>
      </c>
      <c r="W338" s="304">
        <f t="shared" ca="1" si="149"/>
        <v>307.01989028333384</v>
      </c>
      <c r="Y338" s="314" t="str">
        <f t="shared" ca="1" si="167"/>
        <v/>
      </c>
      <c r="Z338" s="315" t="str">
        <f t="shared" ca="1" si="168"/>
        <v/>
      </c>
      <c r="AA338" s="316" t="str">
        <f t="shared" ca="1" si="169"/>
        <v/>
      </c>
      <c r="AC338" s="310" t="e">
        <f t="shared" ca="1" si="170"/>
        <v>#N/A</v>
      </c>
      <c r="AD338" s="323" t="e">
        <f t="shared" ca="1" si="171"/>
        <v>#N/A</v>
      </c>
      <c r="AE338" s="324">
        <f t="shared" ca="1" si="150"/>
        <v>783.36482989374372</v>
      </c>
      <c r="AG338" s="306">
        <f t="shared" ca="1" si="172"/>
        <v>-41.419696792568459</v>
      </c>
      <c r="AH338" s="304">
        <f t="shared" ca="1" si="173"/>
        <v>-31.808806240725843</v>
      </c>
    </row>
    <row r="339" spans="1:34" x14ac:dyDescent="0.2">
      <c r="A339" s="347">
        <f t="shared" ca="1" si="151"/>
        <v>0.01</v>
      </c>
      <c r="B339" s="304">
        <f t="shared" ca="1" si="152"/>
        <v>3.3499999999999726</v>
      </c>
      <c r="D339" s="306">
        <f t="shared" ca="1" si="153"/>
        <v>-6.5723007044063326</v>
      </c>
      <c r="E339" s="307">
        <f t="shared" ca="1" si="154"/>
        <v>-41.921028346149143</v>
      </c>
      <c r="F339" s="304">
        <f t="shared" ca="1" si="155"/>
        <v>42.433097390454307</v>
      </c>
      <c r="G339" s="306">
        <f t="shared" ca="1" si="156"/>
        <v>59.512110229761511</v>
      </c>
      <c r="H339" s="307">
        <f t="shared" ca="1" si="157"/>
        <v>290.66690672676418</v>
      </c>
      <c r="I339" s="304">
        <f t="shared" ca="1" si="158"/>
        <v>296.69671708683381</v>
      </c>
      <c r="J339" s="306">
        <f t="shared" ca="1" si="159"/>
        <v>152.8545390557037</v>
      </c>
      <c r="K339" s="307">
        <f t="shared" ca="1" si="160"/>
        <v>786.2735950124287</v>
      </c>
      <c r="L339" s="304">
        <f t="shared" ca="1" si="145"/>
        <v>800.99355573169282</v>
      </c>
      <c r="M339" s="306">
        <f t="shared" ca="1" si="161"/>
        <v>1.3688440613874984</v>
      </c>
      <c r="N339" s="304">
        <f t="shared" ca="1" si="162"/>
        <v>78.428987529050232</v>
      </c>
      <c r="P339" s="310">
        <f t="shared" ca="1" si="163"/>
        <v>9</v>
      </c>
      <c r="Q339" s="304">
        <f t="shared" ca="1" si="164"/>
        <v>140.14814814816427</v>
      </c>
      <c r="R339" s="306">
        <f t="shared" ca="1" si="165"/>
        <v>7.0333825812197839E-2</v>
      </c>
      <c r="S339" s="307">
        <f t="shared" ca="1" si="166"/>
        <v>5.0911668277973954</v>
      </c>
      <c r="T339" s="304">
        <f t="shared" ca="1" si="146"/>
        <v>49.944346580692454</v>
      </c>
      <c r="U339" s="311">
        <f t="shared" ca="1" si="147"/>
        <v>0</v>
      </c>
      <c r="V339" s="306">
        <f t="shared" ca="1" si="148"/>
        <v>1.132324884425524</v>
      </c>
      <c r="W339" s="304">
        <f t="shared" ca="1" si="149"/>
        <v>306.05534745432567</v>
      </c>
      <c r="Y339" s="314" t="str">
        <f t="shared" ca="1" si="167"/>
        <v/>
      </c>
      <c r="Z339" s="315" t="str">
        <f t="shared" ca="1" si="168"/>
        <v/>
      </c>
      <c r="AA339" s="316" t="str">
        <f t="shared" ca="1" si="169"/>
        <v/>
      </c>
      <c r="AC339" s="310" t="e">
        <f t="shared" ca="1" si="170"/>
        <v>#N/A</v>
      </c>
      <c r="AD339" s="323" t="e">
        <f t="shared" ca="1" si="171"/>
        <v>#N/A</v>
      </c>
      <c r="AE339" s="324">
        <f t="shared" ca="1" si="150"/>
        <v>786.2735950124287</v>
      </c>
      <c r="AG339" s="306">
        <f t="shared" ca="1" si="172"/>
        <v>-42.38747892168724</v>
      </c>
      <c r="AH339" s="304">
        <f t="shared" ca="1" si="173"/>
        <v>-32.776718536124598</v>
      </c>
    </row>
    <row r="340" spans="1:34" x14ac:dyDescent="0.2">
      <c r="A340" s="347">
        <f t="shared" ca="1" si="151"/>
        <v>0.01</v>
      </c>
      <c r="B340" s="304">
        <f t="shared" ca="1" si="152"/>
        <v>3.3599999999999723</v>
      </c>
      <c r="D340" s="306">
        <f t="shared" ca="1" si="153"/>
        <v>-6.767876249894381</v>
      </c>
      <c r="E340" s="307">
        <f t="shared" ca="1" si="154"/>
        <v>-42.86541757923672</v>
      </c>
      <c r="F340" s="304">
        <f t="shared" ca="1" si="155"/>
        <v>43.39640737637415</v>
      </c>
      <c r="G340" s="306">
        <f t="shared" ca="1" si="156"/>
        <v>59.444431467262568</v>
      </c>
      <c r="H340" s="307">
        <f t="shared" ca="1" si="157"/>
        <v>290.23825255097182</v>
      </c>
      <c r="I340" s="304">
        <f t="shared" ca="1" si="158"/>
        <v>296.26320000348977</v>
      </c>
      <c r="J340" s="306">
        <f t="shared" ca="1" si="159"/>
        <v>153.44932176418882</v>
      </c>
      <c r="K340" s="307">
        <f t="shared" ca="1" si="160"/>
        <v>789.17812080881743</v>
      </c>
      <c r="L340" s="304">
        <f t="shared" ca="1" si="145"/>
        <v>803.95820831261244</v>
      </c>
      <c r="M340" s="306">
        <f t="shared" ca="1" si="161"/>
        <v>1.3687776436759904</v>
      </c>
      <c r="N340" s="304">
        <f t="shared" ca="1" si="162"/>
        <v>78.425182074495908</v>
      </c>
      <c r="P340" s="310">
        <f t="shared" ca="1" si="163"/>
        <v>9</v>
      </c>
      <c r="Q340" s="304">
        <f t="shared" ca="1" si="164"/>
        <v>134.29629629631253</v>
      </c>
      <c r="R340" s="306">
        <f t="shared" ca="1" si="165"/>
        <v>6.739705401560013E-2</v>
      </c>
      <c r="S340" s="307">
        <f t="shared" ca="1" si="166"/>
        <v>5.0904928572572397</v>
      </c>
      <c r="T340" s="304">
        <f t="shared" ca="1" si="146"/>
        <v>49.937734929693526</v>
      </c>
      <c r="U340" s="311">
        <f t="shared" ca="1" si="147"/>
        <v>0</v>
      </c>
      <c r="V340" s="306">
        <f t="shared" ca="1" si="148"/>
        <v>1.1319955346601083</v>
      </c>
      <c r="W340" s="304">
        <f t="shared" ca="1" si="149"/>
        <v>305.07285827768857</v>
      </c>
      <c r="Y340" s="314" t="str">
        <f t="shared" ca="1" si="167"/>
        <v/>
      </c>
      <c r="Z340" s="315" t="str">
        <f t="shared" ca="1" si="168"/>
        <v/>
      </c>
      <c r="AA340" s="316" t="str">
        <f t="shared" ca="1" si="169"/>
        <v/>
      </c>
      <c r="AC340" s="310" t="e">
        <f t="shared" ca="1" si="170"/>
        <v>#N/A</v>
      </c>
      <c r="AD340" s="323" t="e">
        <f t="shared" ca="1" si="171"/>
        <v>#N/A</v>
      </c>
      <c r="AE340" s="324">
        <f t="shared" ca="1" si="150"/>
        <v>789.17812080881743</v>
      </c>
      <c r="AG340" s="306">
        <f t="shared" ca="1" si="172"/>
        <v>-43.351773679883678</v>
      </c>
      <c r="AH340" s="304">
        <f t="shared" ca="1" si="173"/>
        <v>-33.741143730934731</v>
      </c>
    </row>
    <row r="341" spans="1:34" x14ac:dyDescent="0.2">
      <c r="A341" s="347">
        <f t="shared" ca="1" si="151"/>
        <v>0.01</v>
      </c>
      <c r="B341" s="304">
        <f t="shared" ca="1" si="152"/>
        <v>3.3699999999999721</v>
      </c>
      <c r="D341" s="306">
        <f t="shared" ca="1" si="153"/>
        <v>-6.9628846810859608</v>
      </c>
      <c r="E341" s="307">
        <f t="shared" ca="1" si="154"/>
        <v>-43.806380025356539</v>
      </c>
      <c r="F341" s="304">
        <f t="shared" ca="1" si="155"/>
        <v>44.356292608919176</v>
      </c>
      <c r="G341" s="306">
        <f t="shared" ca="1" si="156"/>
        <v>59.37480262045171</v>
      </c>
      <c r="H341" s="307">
        <f t="shared" ca="1" si="157"/>
        <v>289.80018875071823</v>
      </c>
      <c r="I341" s="304">
        <f t="shared" ca="1" si="158"/>
        <v>295.82007468420653</v>
      </c>
      <c r="J341" s="306">
        <f t="shared" ca="1" si="159"/>
        <v>154.0434179346274</v>
      </c>
      <c r="K341" s="307">
        <f t="shared" ca="1" si="160"/>
        <v>792.07831301532588</v>
      </c>
      <c r="L341" s="304">
        <f t="shared" ca="1" si="145"/>
        <v>806.91847702118378</v>
      </c>
      <c r="M341" s="306">
        <f t="shared" ca="1" si="161"/>
        <v>1.3687111048960023</v>
      </c>
      <c r="N341" s="304">
        <f t="shared" ca="1" si="162"/>
        <v>78.421369683228647</v>
      </c>
      <c r="P341" s="310">
        <f t="shared" ca="1" si="163"/>
        <v>9</v>
      </c>
      <c r="Q341" s="304">
        <f t="shared" ca="1" si="164"/>
        <v>128.44444444446083</v>
      </c>
      <c r="R341" s="306">
        <f t="shared" ca="1" si="165"/>
        <v>6.4460282219002421E-2</v>
      </c>
      <c r="S341" s="307">
        <f t="shared" ca="1" si="166"/>
        <v>5.0898482544350498</v>
      </c>
      <c r="T341" s="304">
        <f t="shared" ca="1" si="146"/>
        <v>49.931411376007844</v>
      </c>
      <c r="U341" s="311">
        <f t="shared" ca="1" si="147"/>
        <v>0</v>
      </c>
      <c r="V341" s="306">
        <f t="shared" ca="1" si="148"/>
        <v>1.1316667680992341</v>
      </c>
      <c r="W341" s="304">
        <f t="shared" ca="1" si="149"/>
        <v>304.07259890470033</v>
      </c>
      <c r="Y341" s="314" t="str">
        <f t="shared" ca="1" si="167"/>
        <v/>
      </c>
      <c r="Z341" s="315" t="str">
        <f t="shared" ca="1" si="168"/>
        <v/>
      </c>
      <c r="AA341" s="316" t="str">
        <f t="shared" ca="1" si="169"/>
        <v/>
      </c>
      <c r="AC341" s="310" t="e">
        <f t="shared" ca="1" si="170"/>
        <v>#N/A</v>
      </c>
      <c r="AD341" s="323" t="e">
        <f t="shared" ca="1" si="171"/>
        <v>#N/A</v>
      </c>
      <c r="AE341" s="324">
        <f t="shared" ca="1" si="150"/>
        <v>792.07831301532588</v>
      </c>
      <c r="AG341" s="306">
        <f t="shared" ca="1" si="172"/>
        <v>-44.312597414150339</v>
      </c>
      <c r="AH341" s="304">
        <f t="shared" ca="1" si="173"/>
        <v>-34.702098177351793</v>
      </c>
    </row>
    <row r="342" spans="1:34" x14ac:dyDescent="0.2">
      <c r="A342" s="347">
        <f t="shared" ca="1" si="151"/>
        <v>0.01</v>
      </c>
      <c r="B342" s="304">
        <f t="shared" ca="1" si="152"/>
        <v>3.3799999999999719</v>
      </c>
      <c r="D342" s="306">
        <f t="shared" ca="1" si="153"/>
        <v>-7.1573290849292084</v>
      </c>
      <c r="E342" s="307">
        <f t="shared" ca="1" si="154"/>
        <v>-44.743932042226795</v>
      </c>
      <c r="F342" s="304">
        <f t="shared" ca="1" si="155"/>
        <v>45.31276657002288</v>
      </c>
      <c r="G342" s="306">
        <f t="shared" ca="1" si="156"/>
        <v>59.303229329602416</v>
      </c>
      <c r="H342" s="307">
        <f t="shared" ca="1" si="157"/>
        <v>289.35274943029594</v>
      </c>
      <c r="I342" s="304">
        <f t="shared" ca="1" si="158"/>
        <v>295.36737567272229</v>
      </c>
      <c r="J342" s="306">
        <f t="shared" ca="1" si="159"/>
        <v>154.63680809437767</v>
      </c>
      <c r="K342" s="307">
        <f t="shared" ca="1" si="160"/>
        <v>794.9740777062309</v>
      </c>
      <c r="L342" s="304">
        <f t="shared" ca="1" si="145"/>
        <v>809.87426594656642</v>
      </c>
      <c r="M342" s="306">
        <f t="shared" ca="1" si="161"/>
        <v>1.3686444424845361</v>
      </c>
      <c r="N342" s="304">
        <f t="shared" ca="1" si="162"/>
        <v>78.417550208399462</v>
      </c>
      <c r="P342" s="310">
        <f t="shared" ca="1" si="163"/>
        <v>9</v>
      </c>
      <c r="Q342" s="304">
        <f t="shared" ca="1" si="164"/>
        <v>122.59259259260908</v>
      </c>
      <c r="R342" s="306">
        <f t="shared" ca="1" si="165"/>
        <v>6.1523510422404705E-2</v>
      </c>
      <c r="S342" s="307">
        <f t="shared" ca="1" si="166"/>
        <v>5.0892330193308259</v>
      </c>
      <c r="T342" s="304">
        <f t="shared" ca="1" si="146"/>
        <v>49.925375919635407</v>
      </c>
      <c r="U342" s="311">
        <f t="shared" ca="1" si="147"/>
        <v>0</v>
      </c>
      <c r="V342" s="306">
        <f t="shared" ca="1" si="148"/>
        <v>1.1313385949363441</v>
      </c>
      <c r="W342" s="304">
        <f t="shared" ca="1" si="149"/>
        <v>303.05474635886986</v>
      </c>
      <c r="Y342" s="314" t="str">
        <f t="shared" ca="1" si="167"/>
        <v/>
      </c>
      <c r="Z342" s="315" t="str">
        <f t="shared" ca="1" si="168"/>
        <v/>
      </c>
      <c r="AA342" s="316" t="str">
        <f t="shared" ca="1" si="169"/>
        <v/>
      </c>
      <c r="AC342" s="310" t="e">
        <f t="shared" ca="1" si="170"/>
        <v>#N/A</v>
      </c>
      <c r="AD342" s="323" t="e">
        <f t="shared" ca="1" si="171"/>
        <v>#N/A</v>
      </c>
      <c r="AE342" s="324">
        <f t="shared" ca="1" si="150"/>
        <v>794.9740777062309</v>
      </c>
      <c r="AG342" s="306">
        <f t="shared" ca="1" si="172"/>
        <v>-45.269966777237428</v>
      </c>
      <c r="AH342" s="304">
        <f t="shared" ca="1" si="173"/>
        <v>-35.659598533366768</v>
      </c>
    </row>
    <row r="343" spans="1:34" x14ac:dyDescent="0.2">
      <c r="A343" s="347">
        <f t="shared" ca="1" si="151"/>
        <v>0.01</v>
      </c>
      <c r="B343" s="304">
        <f t="shared" ca="1" si="152"/>
        <v>3.3899999999999717</v>
      </c>
      <c r="D343" s="306">
        <f t="shared" ca="1" si="153"/>
        <v>-7.3512126204900037</v>
      </c>
      <c r="E343" s="307">
        <f t="shared" ca="1" si="154"/>
        <v>-45.678090278242102</v>
      </c>
      <c r="F343" s="304">
        <f t="shared" ca="1" si="155"/>
        <v>46.265843323761942</v>
      </c>
      <c r="G343" s="306">
        <f t="shared" ca="1" si="156"/>
        <v>59.229717203397513</v>
      </c>
      <c r="H343" s="307">
        <f t="shared" ca="1" si="157"/>
        <v>288.8959685275135</v>
      </c>
      <c r="I343" s="304">
        <f t="shared" ca="1" si="158"/>
        <v>294.90513734325572</v>
      </c>
      <c r="J343" s="306">
        <f t="shared" ca="1" si="159"/>
        <v>155.22947282704266</v>
      </c>
      <c r="K343" s="307">
        <f t="shared" ca="1" si="160"/>
        <v>797.86532129601994</v>
      </c>
      <c r="L343" s="304">
        <f t="shared" ca="1" si="145"/>
        <v>812.82547952248819</v>
      </c>
      <c r="M343" s="306">
        <f t="shared" ca="1" si="161"/>
        <v>1.3685776538617</v>
      </c>
      <c r="N343" s="304">
        <f t="shared" ca="1" si="162"/>
        <v>78.413723502191459</v>
      </c>
      <c r="P343" s="310">
        <f t="shared" ca="1" si="163"/>
        <v>9</v>
      </c>
      <c r="Q343" s="304">
        <f t="shared" ca="1" si="164"/>
        <v>116.74074074075736</v>
      </c>
      <c r="R343" s="306">
        <f t="shared" ca="1" si="165"/>
        <v>5.8586738625806996E-2</v>
      </c>
      <c r="S343" s="307">
        <f t="shared" ca="1" si="166"/>
        <v>5.088647151944568</v>
      </c>
      <c r="T343" s="304">
        <f t="shared" ca="1" si="146"/>
        <v>49.919628560576214</v>
      </c>
      <c r="U343" s="311">
        <f t="shared" ca="1" si="147"/>
        <v>0</v>
      </c>
      <c r="V343" s="306">
        <f t="shared" ca="1" si="148"/>
        <v>1.1310110253154848</v>
      </c>
      <c r="W343" s="304">
        <f t="shared" ca="1" si="149"/>
        <v>302.01947850712918</v>
      </c>
      <c r="Y343" s="314" t="str">
        <f t="shared" ca="1" si="167"/>
        <v/>
      </c>
      <c r="Z343" s="315" t="str">
        <f t="shared" ca="1" si="168"/>
        <v/>
      </c>
      <c r="AA343" s="316" t="str">
        <f t="shared" ca="1" si="169"/>
        <v/>
      </c>
      <c r="AC343" s="310" t="e">
        <f t="shared" ca="1" si="170"/>
        <v>#N/A</v>
      </c>
      <c r="AD343" s="323" t="e">
        <f t="shared" ca="1" si="171"/>
        <v>#N/A</v>
      </c>
      <c r="AE343" s="324">
        <f t="shared" ca="1" si="150"/>
        <v>797.86532129601994</v>
      </c>
      <c r="AG343" s="306">
        <f t="shared" ca="1" si="172"/>
        <v>-46.223898721117607</v>
      </c>
      <c r="AH343" s="304">
        <f t="shared" ca="1" si="173"/>
        <v>-36.613661756232155</v>
      </c>
    </row>
    <row r="344" spans="1:34" x14ac:dyDescent="0.2">
      <c r="A344" s="347">
        <f t="shared" ca="1" si="151"/>
        <v>0.01</v>
      </c>
      <c r="B344" s="304">
        <f t="shared" ca="1" si="152"/>
        <v>3.3999999999999715</v>
      </c>
      <c r="D344" s="306">
        <f t="shared" ca="1" si="153"/>
        <v>-7.5445385177832867</v>
      </c>
      <c r="E344" s="307">
        <f t="shared" ca="1" si="154"/>
        <v>-46.608871666115412</v>
      </c>
      <c r="F344" s="304">
        <f t="shared" ca="1" si="155"/>
        <v>47.215537479041068</v>
      </c>
      <c r="G344" s="306">
        <f t="shared" ca="1" si="156"/>
        <v>59.154271818219684</v>
      </c>
      <c r="H344" s="307">
        <f t="shared" ca="1" si="157"/>
        <v>288.42987981085236</v>
      </c>
      <c r="I344" s="304">
        <f t="shared" ca="1" si="158"/>
        <v>294.43339389757841</v>
      </c>
      <c r="J344" s="306">
        <f t="shared" ca="1" si="159"/>
        <v>155.82139277215074</v>
      </c>
      <c r="K344" s="307">
        <f t="shared" ca="1" si="160"/>
        <v>800.75195053771176</v>
      </c>
      <c r="L344" s="304">
        <f t="shared" ca="1" si="145"/>
        <v>815.77202252553559</v>
      </c>
      <c r="M344" s="306">
        <f t="shared" ca="1" si="161"/>
        <v>1.3685107364301188</v>
      </c>
      <c r="N344" s="304">
        <f t="shared" ca="1" si="162"/>
        <v>78.409889415785997</v>
      </c>
      <c r="P344" s="310">
        <f t="shared" ca="1" si="163"/>
        <v>9</v>
      </c>
      <c r="Q344" s="304">
        <f t="shared" ca="1" si="164"/>
        <v>110.88888888890563</v>
      </c>
      <c r="R344" s="306">
        <f t="shared" ca="1" si="165"/>
        <v>5.564996682920928E-2</v>
      </c>
      <c r="S344" s="307">
        <f t="shared" ca="1" si="166"/>
        <v>5.0880906522762759</v>
      </c>
      <c r="T344" s="304">
        <f t="shared" ca="1" si="146"/>
        <v>49.914169298830267</v>
      </c>
      <c r="U344" s="311">
        <f t="shared" ca="1" si="147"/>
        <v>0</v>
      </c>
      <c r="V344" s="306">
        <f t="shared" ca="1" si="148"/>
        <v>1.1306840693316051</v>
      </c>
      <c r="W344" s="304">
        <f t="shared" ca="1" si="149"/>
        <v>300.96697403156168</v>
      </c>
      <c r="Y344" s="314" t="str">
        <f t="shared" ca="1" si="167"/>
        <v/>
      </c>
      <c r="Z344" s="315" t="str">
        <f t="shared" ca="1" si="168"/>
        <v/>
      </c>
      <c r="AA344" s="316" t="str">
        <f t="shared" ca="1" si="169"/>
        <v/>
      </c>
      <c r="AC344" s="310" t="e">
        <f t="shared" ca="1" si="170"/>
        <v>#N/A</v>
      </c>
      <c r="AD344" s="323" t="e">
        <f t="shared" ca="1" si="171"/>
        <v>#N/A</v>
      </c>
      <c r="AE344" s="324">
        <f t="shared" ca="1" si="150"/>
        <v>800.75195053771176</v>
      </c>
      <c r="AG344" s="306">
        <f t="shared" ca="1" si="172"/>
        <v>-47.174410490525133</v>
      </c>
      <c r="AH344" s="304">
        <f t="shared" ca="1" si="173"/>
        <v>-37.564305096002336</v>
      </c>
    </row>
    <row r="345" spans="1:34" x14ac:dyDescent="0.2">
      <c r="A345" s="347">
        <f t="shared" ca="1" si="151"/>
        <v>0.01</v>
      </c>
      <c r="B345" s="304">
        <f t="shared" ca="1" si="152"/>
        <v>3.4099999999999713</v>
      </c>
      <c r="D345" s="306">
        <f t="shared" ca="1" si="153"/>
        <v>-7.7373100766209406</v>
      </c>
      <c r="E345" s="307">
        <f t="shared" ca="1" si="154"/>
        <v>-47.536293416593359</v>
      </c>
      <c r="F345" s="304">
        <f t="shared" ca="1" si="155"/>
        <v>48.161864156303551</v>
      </c>
      <c r="G345" s="306">
        <f t="shared" ca="1" si="156"/>
        <v>59.076898717453474</v>
      </c>
      <c r="H345" s="307">
        <f t="shared" ca="1" si="157"/>
        <v>287.9545168766864</v>
      </c>
      <c r="I345" s="304">
        <f t="shared" ca="1" si="158"/>
        <v>293.9521793621509</v>
      </c>
      <c r="J345" s="306">
        <f t="shared" ca="1" si="159"/>
        <v>156.4125486248291</v>
      </c>
      <c r="K345" s="307">
        <f t="shared" ca="1" si="160"/>
        <v>803.63387252114944</v>
      </c>
      <c r="L345" s="304">
        <f t="shared" ca="1" si="145"/>
        <v>818.71380007341611</v>
      </c>
      <c r="M345" s="306">
        <f t="shared" ca="1" si="161"/>
        <v>1.3684436875743291</v>
      </c>
      <c r="N345" s="304">
        <f t="shared" ca="1" si="162"/>
        <v>78.406047799328078</v>
      </c>
      <c r="P345" s="310">
        <f t="shared" ca="1" si="163"/>
        <v>9</v>
      </c>
      <c r="Q345" s="304">
        <f t="shared" ca="1" si="164"/>
        <v>105.03703703705391</v>
      </c>
      <c r="R345" s="306">
        <f t="shared" ca="1" si="165"/>
        <v>5.2713195032611571E-2</v>
      </c>
      <c r="S345" s="307">
        <f t="shared" ca="1" si="166"/>
        <v>5.0875635203259497</v>
      </c>
      <c r="T345" s="304">
        <f t="shared" ca="1" si="146"/>
        <v>49.908998134397571</v>
      </c>
      <c r="U345" s="311">
        <f t="shared" ca="1" si="147"/>
        <v>0</v>
      </c>
      <c r="V345" s="306">
        <f t="shared" ca="1" si="148"/>
        <v>1.130357737030862</v>
      </c>
      <c r="W345" s="304">
        <f t="shared" ca="1" si="149"/>
        <v>299.89741240166268</v>
      </c>
      <c r="Y345" s="314" t="str">
        <f t="shared" ca="1" si="167"/>
        <v/>
      </c>
      <c r="Z345" s="315" t="str">
        <f t="shared" ca="1" si="168"/>
        <v/>
      </c>
      <c r="AA345" s="316" t="str">
        <f t="shared" ca="1" si="169"/>
        <v/>
      </c>
      <c r="AC345" s="310" t="e">
        <f t="shared" ca="1" si="170"/>
        <v>#N/A</v>
      </c>
      <c r="AD345" s="323" t="e">
        <f t="shared" ca="1" si="171"/>
        <v>#N/A</v>
      </c>
      <c r="AE345" s="324">
        <f t="shared" ca="1" si="150"/>
        <v>803.63387252114944</v>
      </c>
      <c r="AG345" s="306">
        <f t="shared" ca="1" si="172"/>
        <v>-48.12151961657041</v>
      </c>
      <c r="AH345" s="304">
        <f t="shared" ca="1" si="173"/>
        <v>-38.511546089149363</v>
      </c>
    </row>
    <row r="346" spans="1:34" x14ac:dyDescent="0.2">
      <c r="A346" s="347">
        <f t="shared" ca="1" si="151"/>
        <v>0.01</v>
      </c>
      <c r="B346" s="304">
        <f t="shared" ca="1" si="152"/>
        <v>3.4199999999999711</v>
      </c>
      <c r="D346" s="306">
        <f t="shared" ca="1" si="153"/>
        <v>-7.9295306654767046</v>
      </c>
      <c r="E346" s="307">
        <f t="shared" ca="1" si="154"/>
        <v>-48.460373012245313</v>
      </c>
      <c r="F346" s="304">
        <f t="shared" ca="1" si="155"/>
        <v>49.104838957690198</v>
      </c>
      <c r="G346" s="306">
        <f t="shared" ca="1" si="156"/>
        <v>58.99760341079871</v>
      </c>
      <c r="H346" s="307">
        <f t="shared" ca="1" si="157"/>
        <v>287.46991314656395</v>
      </c>
      <c r="I346" s="304">
        <f t="shared" ca="1" si="158"/>
        <v>293.46152758532236</v>
      </c>
      <c r="J346" s="306">
        <f t="shared" ca="1" si="159"/>
        <v>157.00292113547036</v>
      </c>
      <c r="K346" s="307">
        <f t="shared" ca="1" si="160"/>
        <v>806.51099467126573</v>
      </c>
      <c r="L346" s="304">
        <f t="shared" ca="1" si="145"/>
        <v>821.65071762319121</v>
      </c>
      <c r="M346" s="306">
        <f t="shared" ca="1" si="161"/>
        <v>1.3683765046601724</v>
      </c>
      <c r="N346" s="304">
        <f t="shared" ca="1" si="162"/>
        <v>78.402198501891505</v>
      </c>
      <c r="P346" s="310">
        <f t="shared" ca="1" si="163"/>
        <v>9</v>
      </c>
      <c r="Q346" s="304">
        <f t="shared" ca="1" si="164"/>
        <v>99.185185185202172</v>
      </c>
      <c r="R346" s="306">
        <f t="shared" ca="1" si="165"/>
        <v>4.9776423236013854E-2</v>
      </c>
      <c r="S346" s="307">
        <f t="shared" ca="1" si="166"/>
        <v>5.0870657560935895</v>
      </c>
      <c r="T346" s="304">
        <f t="shared" ca="1" si="146"/>
        <v>49.904115067278113</v>
      </c>
      <c r="U346" s="311">
        <f t="shared" ca="1" si="147"/>
        <v>0</v>
      </c>
      <c r="V346" s="306">
        <f t="shared" ca="1" si="148"/>
        <v>1.1300320384109255</v>
      </c>
      <c r="W346" s="304">
        <f t="shared" ca="1" si="149"/>
        <v>298.81097384713286</v>
      </c>
      <c r="Y346" s="314" t="str">
        <f t="shared" ca="1" si="167"/>
        <v/>
      </c>
      <c r="Z346" s="315" t="str">
        <f t="shared" ca="1" si="168"/>
        <v/>
      </c>
      <c r="AA346" s="316" t="str">
        <f t="shared" ca="1" si="169"/>
        <v/>
      </c>
      <c r="AC346" s="310" t="e">
        <f t="shared" ca="1" si="170"/>
        <v>#N/A</v>
      </c>
      <c r="AD346" s="323" t="e">
        <f t="shared" ca="1" si="171"/>
        <v>#N/A</v>
      </c>
      <c r="AE346" s="324">
        <f t="shared" ca="1" si="150"/>
        <v>806.51099467126573</v>
      </c>
      <c r="AG346" s="306">
        <f t="shared" ca="1" si="172"/>
        <v>-49.065243910430063</v>
      </c>
      <c r="AH346" s="304">
        <f t="shared" ca="1" si="173"/>
        <v>-39.455402552254313</v>
      </c>
    </row>
    <row r="347" spans="1:34" x14ac:dyDescent="0.2">
      <c r="A347" s="347">
        <f t="shared" ca="1" si="151"/>
        <v>0.01</v>
      </c>
      <c r="B347" s="304">
        <f t="shared" ca="1" si="152"/>
        <v>3.4299999999999708</v>
      </c>
      <c r="D347" s="306">
        <f t="shared" ca="1" si="153"/>
        <v>-8.1212037203680314</v>
      </c>
      <c r="E347" s="307">
        <f t="shared" ca="1" si="154"/>
        <v>-49.38112820132681</v>
      </c>
      <c r="F347" s="304">
        <f t="shared" ca="1" si="155"/>
        <v>50.04447794016432</v>
      </c>
      <c r="G347" s="306">
        <f t="shared" ca="1" si="156"/>
        <v>58.916391373595033</v>
      </c>
      <c r="H347" s="307">
        <f t="shared" ca="1" si="157"/>
        <v>286.97610186455069</v>
      </c>
      <c r="I347" s="304">
        <f t="shared" ca="1" si="158"/>
        <v>292.96147223459195</v>
      </c>
      <c r="J347" s="306">
        <f t="shared" ca="1" si="159"/>
        <v>157.59249110939234</v>
      </c>
      <c r="K347" s="307">
        <f t="shared" ca="1" si="160"/>
        <v>809.38322474632128</v>
      </c>
      <c r="L347" s="304">
        <f t="shared" ca="1" si="145"/>
        <v>824.58268096948166</v>
      </c>
      <c r="M347" s="306">
        <f t="shared" ca="1" si="161"/>
        <v>1.3683091850341726</v>
      </c>
      <c r="N347" s="304">
        <f t="shared" ca="1" si="162"/>
        <v>78.398341371443323</v>
      </c>
      <c r="P347" s="310">
        <f t="shared" ca="1" si="163"/>
        <v>9</v>
      </c>
      <c r="Q347" s="304">
        <f t="shared" ca="1" si="164"/>
        <v>93.333333333350453</v>
      </c>
      <c r="R347" s="306">
        <f t="shared" ca="1" si="165"/>
        <v>4.6839651439416145E-2</v>
      </c>
      <c r="S347" s="307">
        <f t="shared" ca="1" si="166"/>
        <v>5.0865973595791951</v>
      </c>
      <c r="T347" s="304">
        <f t="shared" ca="1" si="146"/>
        <v>49.899520097471907</v>
      </c>
      <c r="U347" s="311">
        <f t="shared" ca="1" si="147"/>
        <v>0</v>
      </c>
      <c r="V347" s="306">
        <f t="shared" ca="1" si="148"/>
        <v>1.1297069834212896</v>
      </c>
      <c r="W347" s="304">
        <f t="shared" ca="1" si="149"/>
        <v>297.70783933120043</v>
      </c>
      <c r="Y347" s="314" t="str">
        <f t="shared" ca="1" si="167"/>
        <v/>
      </c>
      <c r="Z347" s="315" t="str">
        <f t="shared" ca="1" si="168"/>
        <v/>
      </c>
      <c r="AA347" s="316" t="str">
        <f t="shared" ca="1" si="169"/>
        <v/>
      </c>
      <c r="AC347" s="310" t="e">
        <f t="shared" ca="1" si="170"/>
        <v>#N/A</v>
      </c>
      <c r="AD347" s="323" t="e">
        <f t="shared" ca="1" si="171"/>
        <v>#N/A</v>
      </c>
      <c r="AE347" s="324">
        <f t="shared" ca="1" si="150"/>
        <v>809.38322474632128</v>
      </c>
      <c r="AG347" s="306">
        <f t="shared" ca="1" si="172"/>
        <v>-50.00560145711345</v>
      </c>
      <c r="AH347" s="304">
        <f t="shared" ca="1" si="173"/>
        <v>-40.395892575775093</v>
      </c>
    </row>
    <row r="348" spans="1:34" x14ac:dyDescent="0.2">
      <c r="A348" s="347">
        <f t="shared" ca="1" si="151"/>
        <v>0.01</v>
      </c>
      <c r="B348" s="304">
        <f t="shared" ca="1" si="152"/>
        <v>3.4399999999999706</v>
      </c>
      <c r="D348" s="306">
        <f t="shared" ca="1" si="153"/>
        <v>-8.3123327437553183</v>
      </c>
      <c r="E348" s="307">
        <f t="shared" ca="1" si="154"/>
        <v>-50.298576991717574</v>
      </c>
      <c r="F348" s="304">
        <f t="shared" ca="1" si="155"/>
        <v>50.980797591197486</v>
      </c>
      <c r="G348" s="306">
        <f t="shared" ca="1" si="156"/>
        <v>58.833268046157478</v>
      </c>
      <c r="H348" s="307">
        <f t="shared" ca="1" si="157"/>
        <v>286.4731160946335</v>
      </c>
      <c r="I348" s="304">
        <f t="shared" ca="1" si="158"/>
        <v>292.45204679393231</v>
      </c>
      <c r="J348" s="306">
        <f t="shared" ca="1" si="159"/>
        <v>158.1812394064911</v>
      </c>
      <c r="K348" s="307">
        <f t="shared" ca="1" si="160"/>
        <v>812.25047083611719</v>
      </c>
      <c r="L348" s="304">
        <f t="shared" ca="1" si="145"/>
        <v>827.50959624264647</v>
      </c>
      <c r="M348" s="306">
        <f t="shared" ca="1" si="161"/>
        <v>1.3682417260229094</v>
      </c>
      <c r="N348" s="304">
        <f t="shared" ca="1" si="162"/>
        <v>78.394476254807813</v>
      </c>
      <c r="P348" s="310">
        <f t="shared" ca="1" si="163"/>
        <v>9</v>
      </c>
      <c r="Q348" s="304">
        <f t="shared" ca="1" si="164"/>
        <v>87.481481481498719</v>
      </c>
      <c r="R348" s="306">
        <f t="shared" ca="1" si="165"/>
        <v>4.3902879642818429E-2</v>
      </c>
      <c r="S348" s="307">
        <f t="shared" ca="1" si="166"/>
        <v>5.0861583307827667</v>
      </c>
      <c r="T348" s="304">
        <f t="shared" ca="1" si="146"/>
        <v>49.895213224978946</v>
      </c>
      <c r="U348" s="311">
        <f t="shared" ca="1" si="147"/>
        <v>0</v>
      </c>
      <c r="V348" s="306">
        <f t="shared" ca="1" si="148"/>
        <v>1.1293825819635865</v>
      </c>
      <c r="W348" s="304">
        <f t="shared" ca="1" si="149"/>
        <v>296.58819052447222</v>
      </c>
      <c r="Y348" s="314" t="str">
        <f t="shared" ca="1" si="167"/>
        <v/>
      </c>
      <c r="Z348" s="315" t="str">
        <f t="shared" ca="1" si="168"/>
        <v/>
      </c>
      <c r="AA348" s="316" t="str">
        <f t="shared" ca="1" si="169"/>
        <v/>
      </c>
      <c r="AC348" s="310" t="e">
        <f t="shared" ca="1" si="170"/>
        <v>#N/A</v>
      </c>
      <c r="AD348" s="323" t="e">
        <f t="shared" ca="1" si="171"/>
        <v>#N/A</v>
      </c>
      <c r="AE348" s="324">
        <f t="shared" ca="1" si="150"/>
        <v>812.25047083611719</v>
      </c>
      <c r="AG348" s="306">
        <f t="shared" ca="1" si="172"/>
        <v>-50.942610609305646</v>
      </c>
      <c r="AH348" s="304">
        <f t="shared" ca="1" si="173"/>
        <v>-41.333034517890752</v>
      </c>
    </row>
    <row r="349" spans="1:34" x14ac:dyDescent="0.2">
      <c r="A349" s="347">
        <f t="shared" ca="1" si="151"/>
        <v>0.01</v>
      </c>
      <c r="B349" s="304">
        <f t="shared" ca="1" si="152"/>
        <v>3.4499999999999704</v>
      </c>
      <c r="D349" s="306">
        <f t="shared" ca="1" si="153"/>
        <v>-8.502921303458427</v>
      </c>
      <c r="E349" s="307">
        <f t="shared" ca="1" si="154"/>
        <v>-51.212737644934712</v>
      </c>
      <c r="F349" s="304">
        <f t="shared" ca="1" si="155"/>
        <v>51.913814806674729</v>
      </c>
      <c r="G349" s="306">
        <f t="shared" ca="1" si="156"/>
        <v>58.74823883312289</v>
      </c>
      <c r="H349" s="307">
        <f t="shared" ca="1" si="157"/>
        <v>285.96098871818413</v>
      </c>
      <c r="I349" s="304">
        <f t="shared" ca="1" si="158"/>
        <v>291.93328456117348</v>
      </c>
      <c r="J349" s="306">
        <f t="shared" ca="1" si="159"/>
        <v>158.76914694088751</v>
      </c>
      <c r="K349" s="307">
        <f t="shared" ca="1" si="160"/>
        <v>815.11264136018133</v>
      </c>
      <c r="L349" s="304">
        <f t="shared" ca="1" si="145"/>
        <v>830.43136990693506</v>
      </c>
      <c r="M349" s="306">
        <f t="shared" ca="1" si="161"/>
        <v>1.3681741249323778</v>
      </c>
      <c r="N349" s="304">
        <f t="shared" ca="1" si="162"/>
        <v>78.39060299762987</v>
      </c>
      <c r="P349" s="310">
        <f t="shared" ca="1" si="163"/>
        <v>9</v>
      </c>
      <c r="Q349" s="304">
        <f t="shared" ca="1" si="164"/>
        <v>81.629629629646985</v>
      </c>
      <c r="R349" s="306">
        <f t="shared" ca="1" si="165"/>
        <v>4.0966107846220713E-2</v>
      </c>
      <c r="S349" s="307">
        <f t="shared" ca="1" si="166"/>
        <v>5.0857486697043042</v>
      </c>
      <c r="T349" s="304">
        <f t="shared" ca="1" si="146"/>
        <v>49.891194449799229</v>
      </c>
      <c r="U349" s="311">
        <f t="shared" ca="1" si="147"/>
        <v>0</v>
      </c>
      <c r="V349" s="306">
        <f t="shared" ca="1" si="148"/>
        <v>1.1290588438918991</v>
      </c>
      <c r="W349" s="304">
        <f t="shared" ca="1" si="149"/>
        <v>295.45220977930887</v>
      </c>
      <c r="Y349" s="314" t="str">
        <f t="shared" ca="1" si="167"/>
        <v/>
      </c>
      <c r="Z349" s="315" t="str">
        <f t="shared" ca="1" si="168"/>
        <v/>
      </c>
      <c r="AA349" s="316" t="str">
        <f t="shared" ca="1" si="169"/>
        <v/>
      </c>
      <c r="AC349" s="310" t="e">
        <f t="shared" ca="1" si="170"/>
        <v>#N/A</v>
      </c>
      <c r="AD349" s="323" t="e">
        <f t="shared" ca="1" si="171"/>
        <v>#N/A</v>
      </c>
      <c r="AE349" s="324">
        <f t="shared" ca="1" si="150"/>
        <v>815.11264136018133</v>
      </c>
      <c r="AG349" s="306">
        <f t="shared" ca="1" si="172"/>
        <v>-51.876289981287663</v>
      </c>
      <c r="AH349" s="304">
        <f t="shared" ca="1" si="173"/>
        <v>-42.26684699842302</v>
      </c>
    </row>
    <row r="350" spans="1:34" x14ac:dyDescent="0.2">
      <c r="A350" s="347">
        <f t="shared" ca="1" si="151"/>
        <v>0.01</v>
      </c>
      <c r="B350" s="304">
        <f t="shared" ca="1" si="152"/>
        <v>3.4599999999999702</v>
      </c>
      <c r="D350" s="306">
        <f t="shared" ca="1" si="153"/>
        <v>-8.6929730315908245</v>
      </c>
      <c r="E350" s="307">
        <f t="shared" ca="1" si="154"/>
        <v>-52.123628670221052</v>
      </c>
      <c r="F350" s="304">
        <f t="shared" ca="1" si="155"/>
        <v>52.843546870730158</v>
      </c>
      <c r="G350" s="306">
        <f t="shared" ca="1" si="156"/>
        <v>58.661309102806982</v>
      </c>
      <c r="H350" s="307">
        <f t="shared" ca="1" si="157"/>
        <v>285.43975243148191</v>
      </c>
      <c r="I350" s="304">
        <f t="shared" ca="1" si="158"/>
        <v>291.40521864544695</v>
      </c>
      <c r="J350" s="306">
        <f t="shared" ca="1" si="159"/>
        <v>159.35619468056717</v>
      </c>
      <c r="K350" s="307">
        <f t="shared" ca="1" si="160"/>
        <v>817.96964506592963</v>
      </c>
      <c r="L350" s="304">
        <f t="shared" ca="1" si="145"/>
        <v>833.34790875861313</v>
      </c>
      <c r="M350" s="306">
        <f t="shared" ca="1" si="161"/>
        <v>1.3681063790473391</v>
      </c>
      <c r="N350" s="304">
        <f t="shared" ca="1" si="162"/>
        <v>78.386721444337766</v>
      </c>
      <c r="P350" s="310">
        <f t="shared" ca="1" si="163"/>
        <v>9</v>
      </c>
      <c r="Q350" s="304">
        <f t="shared" ca="1" si="164"/>
        <v>75.777777777795279</v>
      </c>
      <c r="R350" s="306">
        <f t="shared" ca="1" si="165"/>
        <v>3.8029336049623011E-2</v>
      </c>
      <c r="S350" s="307">
        <f t="shared" ca="1" si="166"/>
        <v>5.0853683763438076</v>
      </c>
      <c r="T350" s="304">
        <f t="shared" ca="1" si="146"/>
        <v>49.887463771932758</v>
      </c>
      <c r="U350" s="311">
        <f t="shared" ca="1" si="147"/>
        <v>0</v>
      </c>
      <c r="V350" s="306">
        <f t="shared" ca="1" si="148"/>
        <v>1.1287357790130845</v>
      </c>
      <c r="W350" s="304">
        <f t="shared" ca="1" si="149"/>
        <v>294.30008010472608</v>
      </c>
      <c r="Y350" s="314" t="str">
        <f t="shared" ca="1" si="167"/>
        <v/>
      </c>
      <c r="Z350" s="315" t="str">
        <f t="shared" ca="1" si="168"/>
        <v/>
      </c>
      <c r="AA350" s="316" t="str">
        <f t="shared" ca="1" si="169"/>
        <v/>
      </c>
      <c r="AC350" s="310" t="e">
        <f t="shared" ca="1" si="170"/>
        <v>#N/A</v>
      </c>
      <c r="AD350" s="323" t="e">
        <f t="shared" ca="1" si="171"/>
        <v>#N/A</v>
      </c>
      <c r="AE350" s="324">
        <f t="shared" ca="1" si="150"/>
        <v>817.96964506592963</v>
      </c>
      <c r="AG350" s="306">
        <f t="shared" ca="1" si="172"/>
        <v>-52.806658442933831</v>
      </c>
      <c r="AH350" s="304">
        <f t="shared" ca="1" si="173"/>
        <v>-43.197348892835059</v>
      </c>
    </row>
    <row r="351" spans="1:34" x14ac:dyDescent="0.2">
      <c r="A351" s="347">
        <f t="shared" ca="1" si="151"/>
        <v>0.01</v>
      </c>
      <c r="B351" s="304">
        <f t="shared" ca="1" si="152"/>
        <v>3.46999999999997</v>
      </c>
      <c r="D351" s="306">
        <f t="shared" ca="1" si="153"/>
        <v>-8.8824916235115268</v>
      </c>
      <c r="E351" s="307">
        <f t="shared" ca="1" si="154"/>
        <v>-53.031268818709684</v>
      </c>
      <c r="F351" s="304">
        <f t="shared" ca="1" si="155"/>
        <v>53.770011437268657</v>
      </c>
      <c r="G351" s="306">
        <f t="shared" ca="1" si="156"/>
        <v>58.572484186571863</v>
      </c>
      <c r="H351" s="307">
        <f t="shared" ca="1" si="157"/>
        <v>284.9094397432948</v>
      </c>
      <c r="I351" s="304">
        <f t="shared" ca="1" si="158"/>
        <v>290.8678819646891</v>
      </c>
      <c r="J351" s="306">
        <f t="shared" ca="1" si="159"/>
        <v>159.94236364701408</v>
      </c>
      <c r="K351" s="307">
        <f t="shared" ca="1" si="160"/>
        <v>820.82139102680355</v>
      </c>
      <c r="L351" s="304">
        <f t="shared" ca="1" si="145"/>
        <v>836.25911992406429</v>
      </c>
      <c r="M351" s="306">
        <f t="shared" ca="1" si="161"/>
        <v>1.3680384856306607</v>
      </c>
      <c r="N351" s="304">
        <f t="shared" ca="1" si="162"/>
        <v>78.38283143810537</v>
      </c>
      <c r="P351" s="310">
        <f t="shared" ca="1" si="163"/>
        <v>9</v>
      </c>
      <c r="Q351" s="304">
        <f t="shared" ca="1" si="164"/>
        <v>69.925925925943545</v>
      </c>
      <c r="R351" s="306">
        <f t="shared" ca="1" si="165"/>
        <v>3.5092564253025295E-2</v>
      </c>
      <c r="S351" s="307">
        <f t="shared" ca="1" si="166"/>
        <v>5.0850174507012778</v>
      </c>
      <c r="T351" s="304">
        <f t="shared" ca="1" si="146"/>
        <v>49.884021191379539</v>
      </c>
      <c r="U351" s="311">
        <f t="shared" ca="1" si="147"/>
        <v>0</v>
      </c>
      <c r="V351" s="306">
        <f t="shared" ca="1" si="148"/>
        <v>1.1284133970870931</v>
      </c>
      <c r="W351" s="304">
        <f t="shared" ca="1" si="149"/>
        <v>293.13198514181482</v>
      </c>
      <c r="Y351" s="314" t="str">
        <f t="shared" ca="1" si="167"/>
        <v/>
      </c>
      <c r="Z351" s="315" t="str">
        <f t="shared" ca="1" si="168"/>
        <v/>
      </c>
      <c r="AA351" s="316" t="str">
        <f t="shared" ca="1" si="169"/>
        <v/>
      </c>
      <c r="AC351" s="310" t="e">
        <f t="shared" ca="1" si="170"/>
        <v>#N/A</v>
      </c>
      <c r="AD351" s="323" t="e">
        <f t="shared" ca="1" si="171"/>
        <v>#N/A</v>
      </c>
      <c r="AE351" s="324">
        <f t="shared" ca="1" si="150"/>
        <v>820.82139102680355</v>
      </c>
      <c r="AG351" s="306">
        <f t="shared" ca="1" si="172"/>
        <v>-53.733735113787446</v>
      </c>
      <c r="AH351" s="304">
        <f t="shared" ca="1" si="173"/>
        <v>-44.1245593263085</v>
      </c>
    </row>
    <row r="352" spans="1:34" x14ac:dyDescent="0.2">
      <c r="A352" s="347">
        <f t="shared" ca="1" si="151"/>
        <v>0.01</v>
      </c>
      <c r="B352" s="304">
        <f t="shared" ca="1" si="152"/>
        <v>3.4799999999999698</v>
      </c>
      <c r="D352" s="306">
        <f t="shared" ca="1" si="153"/>
        <v>-9.066164909889455</v>
      </c>
      <c r="E352" s="307">
        <f t="shared" ca="1" si="154"/>
        <v>-53.909819240535136</v>
      </c>
      <c r="F352" s="304">
        <f t="shared" ca="1" si="155"/>
        <v>54.666845132314734</v>
      </c>
      <c r="G352" s="306">
        <f t="shared" ca="1" si="156"/>
        <v>58.481822537472965</v>
      </c>
      <c r="H352" s="307">
        <f t="shared" ca="1" si="157"/>
        <v>284.37034155088946</v>
      </c>
      <c r="I352" s="304">
        <f t="shared" ca="1" si="158"/>
        <v>290.32157122934223</v>
      </c>
      <c r="J352" s="306">
        <f t="shared" ca="1" si="159"/>
        <v>160.52763518063429</v>
      </c>
      <c r="K352" s="307">
        <f t="shared" ca="1" si="160"/>
        <v>823.66778993327443</v>
      </c>
      <c r="L352" s="304">
        <f t="shared" ca="1" si="145"/>
        <v>839.16491217772648</v>
      </c>
      <c r="M352" s="306">
        <f t="shared" ca="1" si="161"/>
        <v>1.367970441984516</v>
      </c>
      <c r="N352" s="304">
        <f t="shared" ca="1" si="162"/>
        <v>78.3789328243586</v>
      </c>
      <c r="P352" s="310">
        <f t="shared" ca="1" si="163"/>
        <v>10</v>
      </c>
      <c r="Q352" s="304">
        <f t="shared" ca="1" si="164"/>
        <v>64.20833333335024</v>
      </c>
      <c r="R352" s="306">
        <f t="shared" ca="1" si="165"/>
        <v>3.2223170923279483E-2</v>
      </c>
      <c r="S352" s="307">
        <f t="shared" ca="1" si="166"/>
        <v>5.0846952189920449</v>
      </c>
      <c r="T352" s="304">
        <f t="shared" ca="1" si="146"/>
        <v>49.880860098311963</v>
      </c>
      <c r="U352" s="311">
        <f t="shared" ca="1" si="147"/>
        <v>0</v>
      </c>
      <c r="V352" s="306">
        <f t="shared" ca="1" si="148"/>
        <v>1.1280917076811956</v>
      </c>
      <c r="W352" s="304">
        <f t="shared" ca="1" si="149"/>
        <v>291.94864003285966</v>
      </c>
      <c r="Y352" s="314" t="str">
        <f t="shared" ca="1" si="167"/>
        <v/>
      </c>
      <c r="Z352" s="315" t="str">
        <f t="shared" ca="1" si="168"/>
        <v/>
      </c>
      <c r="AA352" s="316" t="str">
        <f t="shared" ca="1" si="169"/>
        <v/>
      </c>
      <c r="AC352" s="310" t="e">
        <f t="shared" ca="1" si="170"/>
        <v>#N/A</v>
      </c>
      <c r="AD352" s="323" t="e">
        <f t="shared" ca="1" si="171"/>
        <v>#N/A</v>
      </c>
      <c r="AE352" s="324">
        <f t="shared" ca="1" si="150"/>
        <v>823.66778993327443</v>
      </c>
      <c r="AG352" s="306">
        <f t="shared" ca="1" si="172"/>
        <v>-54.631140743238149</v>
      </c>
      <c r="AH352" s="304">
        <f t="shared" ca="1" si="173"/>
        <v>-45.022099053922219</v>
      </c>
    </row>
    <row r="353" spans="1:34" x14ac:dyDescent="0.2">
      <c r="A353" s="347">
        <f t="shared" ca="1" si="151"/>
        <v>0.01</v>
      </c>
      <c r="B353" s="304">
        <f t="shared" ca="1" si="152"/>
        <v>3.4899999999999696</v>
      </c>
      <c r="D353" s="306">
        <f t="shared" ca="1" si="153"/>
        <v>-9.2440128394696206</v>
      </c>
      <c r="E353" s="307">
        <f t="shared" ca="1" si="154"/>
        <v>-54.759404351692268</v>
      </c>
      <c r="F353" s="304">
        <f t="shared" ca="1" si="155"/>
        <v>55.534170907004757</v>
      </c>
      <c r="G353" s="306">
        <f t="shared" ca="1" si="156"/>
        <v>58.389382409078266</v>
      </c>
      <c r="H353" s="307">
        <f t="shared" ca="1" si="157"/>
        <v>283.82274750737253</v>
      </c>
      <c r="I353" s="304">
        <f t="shared" ca="1" si="158"/>
        <v>289.76658189092012</v>
      </c>
      <c r="J353" s="306">
        <f t="shared" ca="1" si="159"/>
        <v>161.11199120536705</v>
      </c>
      <c r="K353" s="307">
        <f t="shared" ca="1" si="160"/>
        <v>826.50875537856575</v>
      </c>
      <c r="L353" s="304">
        <f t="shared" ca="1" si="145"/>
        <v>842.06519725469241</v>
      </c>
      <c r="M353" s="306">
        <f t="shared" ca="1" si="161"/>
        <v>1.3679022454505039</v>
      </c>
      <c r="N353" s="304">
        <f t="shared" ca="1" si="162"/>
        <v>78.375025450782289</v>
      </c>
      <c r="P353" s="310">
        <f t="shared" ca="1" si="163"/>
        <v>10</v>
      </c>
      <c r="Q353" s="304">
        <f t="shared" ca="1" si="164"/>
        <v>58.625000000017017</v>
      </c>
      <c r="R353" s="306">
        <f t="shared" ca="1" si="165"/>
        <v>2.9421156060386408E-2</v>
      </c>
      <c r="S353" s="307">
        <f t="shared" ca="1" si="166"/>
        <v>5.084401007431441</v>
      </c>
      <c r="T353" s="304">
        <f t="shared" ca="1" si="146"/>
        <v>49.877973882902438</v>
      </c>
      <c r="U353" s="311">
        <f t="shared" ca="1" si="147"/>
        <v>0</v>
      </c>
      <c r="V353" s="306">
        <f t="shared" ca="1" si="148"/>
        <v>1.1277707200250482</v>
      </c>
      <c r="W353" s="304">
        <f t="shared" ca="1" si="149"/>
        <v>290.75075363122198</v>
      </c>
      <c r="Y353" s="314" t="str">
        <f t="shared" ca="1" si="167"/>
        <v/>
      </c>
      <c r="Z353" s="315" t="str">
        <f t="shared" ca="1" si="168"/>
        <v/>
      </c>
      <c r="AA353" s="316" t="str">
        <f t="shared" ca="1" si="169"/>
        <v/>
      </c>
      <c r="AC353" s="310" t="e">
        <f t="shared" ca="1" si="170"/>
        <v>#N/A</v>
      </c>
      <c r="AD353" s="323" t="e">
        <f t="shared" ca="1" si="171"/>
        <v>#N/A</v>
      </c>
      <c r="AE353" s="324">
        <f t="shared" ca="1" si="150"/>
        <v>826.50875537856575</v>
      </c>
      <c r="AG353" s="306">
        <f t="shared" ca="1" si="172"/>
        <v>-55.499001224052044</v>
      </c>
      <c r="AH353" s="304">
        <f t="shared" ca="1" si="173"/>
        <v>-45.890093974061664</v>
      </c>
    </row>
    <row r="354" spans="1:34" x14ac:dyDescent="0.2">
      <c r="A354" s="347">
        <f t="shared" ca="1" si="151"/>
        <v>0.01</v>
      </c>
      <c r="B354" s="304">
        <f t="shared" ca="1" si="152"/>
        <v>3.4999999999999694</v>
      </c>
      <c r="D354" s="306">
        <f t="shared" ca="1" si="153"/>
        <v>-9.4213754153713705</v>
      </c>
      <c r="E354" s="307">
        <f t="shared" ca="1" si="154"/>
        <v>-55.606008544069965</v>
      </c>
      <c r="F354" s="304">
        <f t="shared" ca="1" si="155"/>
        <v>56.398497328568482</v>
      </c>
      <c r="G354" s="306">
        <f t="shared" ca="1" si="156"/>
        <v>58.295168654924552</v>
      </c>
      <c r="H354" s="307">
        <f t="shared" ca="1" si="157"/>
        <v>283.26668742193181</v>
      </c>
      <c r="I354" s="304">
        <f t="shared" ca="1" si="158"/>
        <v>289.20294412661246</v>
      </c>
      <c r="J354" s="306">
        <f t="shared" ca="1" si="159"/>
        <v>161.69541396068706</v>
      </c>
      <c r="K354" s="307">
        <f t="shared" ca="1" si="160"/>
        <v>829.34420255321231</v>
      </c>
      <c r="L354" s="304">
        <f t="shared" ca="1" si="145"/>
        <v>844.95988851811273</v>
      </c>
      <c r="M354" s="306">
        <f t="shared" ca="1" si="161"/>
        <v>1.3678338933474052</v>
      </c>
      <c r="N354" s="304">
        <f t="shared" ca="1" si="162"/>
        <v>78.371109163753886</v>
      </c>
      <c r="P354" s="310">
        <f t="shared" ca="1" si="163"/>
        <v>10</v>
      </c>
      <c r="Q354" s="304">
        <f t="shared" ca="1" si="164"/>
        <v>53.041666666683788</v>
      </c>
      <c r="R354" s="306">
        <f t="shared" ca="1" si="165"/>
        <v>2.661914119749333E-2</v>
      </c>
      <c r="S354" s="307">
        <f t="shared" ca="1" si="166"/>
        <v>5.0841348160194659</v>
      </c>
      <c r="T354" s="304">
        <f t="shared" ca="1" si="146"/>
        <v>49.875362545150963</v>
      </c>
      <c r="U354" s="311">
        <f t="shared" ca="1" si="147"/>
        <v>0</v>
      </c>
      <c r="V354" s="306">
        <f t="shared" ca="1" si="148"/>
        <v>1.1274504431586327</v>
      </c>
      <c r="W354" s="304">
        <f t="shared" ca="1" si="149"/>
        <v>289.53849975110671</v>
      </c>
      <c r="Y354" s="314" t="str">
        <f t="shared" ca="1" si="167"/>
        <v/>
      </c>
      <c r="Z354" s="315" t="str">
        <f t="shared" ca="1" si="168"/>
        <v/>
      </c>
      <c r="AA354" s="316" t="str">
        <f t="shared" ca="1" si="169"/>
        <v/>
      </c>
      <c r="AC354" s="310" t="e">
        <f t="shared" ca="1" si="170"/>
        <v>#N/A</v>
      </c>
      <c r="AD354" s="323" t="e">
        <f t="shared" ca="1" si="171"/>
        <v>#N/A</v>
      </c>
      <c r="AE354" s="324">
        <f t="shared" ca="1" si="150"/>
        <v>829.34420255321231</v>
      </c>
      <c r="AG354" s="306">
        <f t="shared" ca="1" si="172"/>
        <v>-56.363843988718259</v>
      </c>
      <c r="AH354" s="304">
        <f t="shared" ca="1" si="173"/>
        <v>-46.755071524765022</v>
      </c>
    </row>
    <row r="355" spans="1:34" x14ac:dyDescent="0.2">
      <c r="A355" s="347">
        <f t="shared" ca="1" si="151"/>
        <v>0.01</v>
      </c>
      <c r="B355" s="304">
        <f t="shared" ca="1" si="152"/>
        <v>3.5099999999999691</v>
      </c>
      <c r="D355" s="306">
        <f t="shared" ca="1" si="153"/>
        <v>-9.5982564569776212</v>
      </c>
      <c r="E355" s="307">
        <f t="shared" ca="1" si="154"/>
        <v>-56.449650837763564</v>
      </c>
      <c r="F355" s="304">
        <f t="shared" ca="1" si="155"/>
        <v>57.259842880672778</v>
      </c>
      <c r="G355" s="306">
        <f t="shared" ca="1" si="156"/>
        <v>58.199186090354779</v>
      </c>
      <c r="H355" s="307">
        <f t="shared" ca="1" si="157"/>
        <v>282.70219091355415</v>
      </c>
      <c r="I355" s="304">
        <f t="shared" ca="1" si="158"/>
        <v>288.6306879195339</v>
      </c>
      <c r="J355" s="306">
        <f t="shared" ca="1" si="159"/>
        <v>162.27788573441347</v>
      </c>
      <c r="K355" s="307">
        <f t="shared" ca="1" si="160"/>
        <v>832.17404694488971</v>
      </c>
      <c r="L355" s="304">
        <f t="shared" ca="1" si="145"/>
        <v>847.84889963192552</v>
      </c>
      <c r="M355" s="306">
        <f t="shared" ca="1" si="161"/>
        <v>1.3677653829705361</v>
      </c>
      <c r="N355" s="304">
        <f t="shared" ca="1" si="162"/>
        <v>78.367183808306436</v>
      </c>
      <c r="P355" s="310">
        <f t="shared" ca="1" si="163"/>
        <v>10</v>
      </c>
      <c r="Q355" s="304">
        <f t="shared" ca="1" si="164"/>
        <v>47.458333333350552</v>
      </c>
      <c r="R355" s="306">
        <f t="shared" ca="1" si="165"/>
        <v>2.3817126334600251E-2</v>
      </c>
      <c r="S355" s="307">
        <f t="shared" ca="1" si="166"/>
        <v>5.0838966447561198</v>
      </c>
      <c r="T355" s="304">
        <f t="shared" ca="1" si="146"/>
        <v>49.873026085057539</v>
      </c>
      <c r="U355" s="311">
        <f t="shared" ca="1" si="147"/>
        <v>0</v>
      </c>
      <c r="V355" s="306">
        <f t="shared" ca="1" si="148"/>
        <v>1.1271308860793634</v>
      </c>
      <c r="W355" s="304">
        <f t="shared" ca="1" si="149"/>
        <v>288.31205261795884</v>
      </c>
      <c r="Y355" s="314" t="str">
        <f t="shared" ca="1" si="167"/>
        <v/>
      </c>
      <c r="Z355" s="315" t="str">
        <f t="shared" ca="1" si="168"/>
        <v/>
      </c>
      <c r="AA355" s="316" t="str">
        <f t="shared" ca="1" si="169"/>
        <v/>
      </c>
      <c r="AC355" s="310" t="e">
        <f t="shared" ca="1" si="170"/>
        <v>#N/A</v>
      </c>
      <c r="AD355" s="323" t="e">
        <f t="shared" ca="1" si="171"/>
        <v>#N/A</v>
      </c>
      <c r="AE355" s="324">
        <f t="shared" ca="1" si="150"/>
        <v>832.17404694488971</v>
      </c>
      <c r="AG355" s="306">
        <f t="shared" ca="1" si="172"/>
        <v>-57.22568844473868</v>
      </c>
      <c r="AH355" s="304">
        <f t="shared" ca="1" si="173"/>
        <v>-47.617051119136008</v>
      </c>
    </row>
    <row r="356" spans="1:34" x14ac:dyDescent="0.2">
      <c r="A356" s="347">
        <f t="shared" ca="1" si="151"/>
        <v>0.01</v>
      </c>
      <c r="B356" s="304">
        <f t="shared" ca="1" si="152"/>
        <v>3.5199999999999689</v>
      </c>
      <c r="D356" s="306">
        <f t="shared" ca="1" si="153"/>
        <v>-9.7746598333735779</v>
      </c>
      <c r="E356" s="307">
        <f t="shared" ca="1" si="154"/>
        <v>-57.290350430319585</v>
      </c>
      <c r="F356" s="304">
        <f t="shared" ca="1" si="155"/>
        <v>58.118226291646117</v>
      </c>
      <c r="G356" s="306">
        <f t="shared" ca="1" si="156"/>
        <v>58.101439492021044</v>
      </c>
      <c r="H356" s="307">
        <f t="shared" ca="1" si="157"/>
        <v>282.12928740925094</v>
      </c>
      <c r="I356" s="304">
        <f t="shared" ca="1" si="158"/>
        <v>288.04984305688606</v>
      </c>
      <c r="J356" s="306">
        <f t="shared" ca="1" si="159"/>
        <v>162.85938886232535</v>
      </c>
      <c r="K356" s="307">
        <f t="shared" ca="1" si="160"/>
        <v>834.9982043365037</v>
      </c>
      <c r="L356" s="304">
        <f t="shared" ca="1" si="145"/>
        <v>850.73214455890627</v>
      </c>
      <c r="M356" s="306">
        <f t="shared" ca="1" si="161"/>
        <v>1.3676967115910876</v>
      </c>
      <c r="N356" s="304">
        <f t="shared" ca="1" si="162"/>
        <v>78.363249228090694</v>
      </c>
      <c r="P356" s="310">
        <f t="shared" ca="1" si="163"/>
        <v>10</v>
      </c>
      <c r="Q356" s="304">
        <f t="shared" ca="1" si="164"/>
        <v>41.875000000017323</v>
      </c>
      <c r="R356" s="306">
        <f t="shared" ca="1" si="165"/>
        <v>2.1015111471707173E-2</v>
      </c>
      <c r="S356" s="307">
        <f t="shared" ca="1" si="166"/>
        <v>5.0836864936414026</v>
      </c>
      <c r="T356" s="304">
        <f t="shared" ca="1" si="146"/>
        <v>49.870964502622165</v>
      </c>
      <c r="U356" s="311">
        <f t="shared" ca="1" si="147"/>
        <v>0</v>
      </c>
      <c r="V356" s="306">
        <f t="shared" ca="1" si="148"/>
        <v>1.1268120577424077</v>
      </c>
      <c r="W356" s="304">
        <f t="shared" ca="1" si="149"/>
        <v>287.07158684979316</v>
      </c>
      <c r="Y356" s="314" t="str">
        <f t="shared" ca="1" si="167"/>
        <v/>
      </c>
      <c r="Z356" s="315" t="str">
        <f t="shared" ca="1" si="168"/>
        <v/>
      </c>
      <c r="AA356" s="316" t="str">
        <f t="shared" ca="1" si="169"/>
        <v/>
      </c>
      <c r="AC356" s="310" t="e">
        <f t="shared" ca="1" si="170"/>
        <v>#N/A</v>
      </c>
      <c r="AD356" s="323" t="e">
        <f t="shared" ca="1" si="171"/>
        <v>#N/A</v>
      </c>
      <c r="AE356" s="324">
        <f t="shared" ca="1" si="150"/>
        <v>834.9982043365037</v>
      </c>
      <c r="AG356" s="306">
        <f t="shared" ca="1" si="172"/>
        <v>-58.084554183451516</v>
      </c>
      <c r="AH356" s="304">
        <f t="shared" ca="1" si="173"/>
        <v>-48.476052354168814</v>
      </c>
    </row>
    <row r="357" spans="1:34" x14ac:dyDescent="0.2">
      <c r="A357" s="347">
        <f t="shared" ca="1" si="151"/>
        <v>0.01</v>
      </c>
      <c r="B357" s="304">
        <f t="shared" ca="1" si="152"/>
        <v>3.5299999999999687</v>
      </c>
      <c r="D357" s="306">
        <f t="shared" ca="1" si="153"/>
        <v>-9.9505894625393729</v>
      </c>
      <c r="E357" s="307">
        <f t="shared" ca="1" si="154"/>
        <v>-58.128126692089324</v>
      </c>
      <c r="F357" s="304">
        <f t="shared" ca="1" si="155"/>
        <v>58.973666524844688</v>
      </c>
      <c r="G357" s="306">
        <f t="shared" ca="1" si="156"/>
        <v>58.001933597395649</v>
      </c>
      <c r="H357" s="307">
        <f t="shared" ca="1" si="157"/>
        <v>281.54800614233005</v>
      </c>
      <c r="I357" s="304">
        <f t="shared" ca="1" si="158"/>
        <v>287.46043912816634</v>
      </c>
      <c r="J357" s="306">
        <f t="shared" ca="1" si="159"/>
        <v>163.43990572777244</v>
      </c>
      <c r="K357" s="307">
        <f t="shared" ca="1" si="160"/>
        <v>837.81659080426164</v>
      </c>
      <c r="L357" s="304">
        <f t="shared" ca="1" si="145"/>
        <v>853.60953755870059</v>
      </c>
      <c r="M357" s="306">
        <f t="shared" ca="1" si="161"/>
        <v>1.3676278764554535</v>
      </c>
      <c r="N357" s="304">
        <f t="shared" ca="1" si="162"/>
        <v>78.359305265336658</v>
      </c>
      <c r="P357" s="310">
        <f t="shared" ca="1" si="163"/>
        <v>10</v>
      </c>
      <c r="Q357" s="304">
        <f t="shared" ca="1" si="164"/>
        <v>36.291666666684094</v>
      </c>
      <c r="R357" s="306">
        <f t="shared" ca="1" si="165"/>
        <v>1.8213096608814094E-2</v>
      </c>
      <c r="S357" s="307">
        <f t="shared" ca="1" si="166"/>
        <v>5.0835043626753142</v>
      </c>
      <c r="T357" s="304">
        <f t="shared" ca="1" si="146"/>
        <v>49.869177797844834</v>
      </c>
      <c r="U357" s="311">
        <f t="shared" ca="1" si="147"/>
        <v>0</v>
      </c>
      <c r="V357" s="306">
        <f t="shared" ca="1" si="148"/>
        <v>1.1264939670610081</v>
      </c>
      <c r="W357" s="304">
        <f t="shared" ca="1" si="149"/>
        <v>285.81727743896556</v>
      </c>
      <c r="Y357" s="314" t="str">
        <f t="shared" ca="1" si="167"/>
        <v/>
      </c>
      <c r="Z357" s="315" t="str">
        <f t="shared" ca="1" si="168"/>
        <v/>
      </c>
      <c r="AA357" s="316" t="str">
        <f t="shared" ca="1" si="169"/>
        <v/>
      </c>
      <c r="AC357" s="310" t="e">
        <f t="shared" ca="1" si="170"/>
        <v>#N/A</v>
      </c>
      <c r="AD357" s="323" t="e">
        <f t="shared" ca="1" si="171"/>
        <v>#N/A</v>
      </c>
      <c r="AE357" s="324">
        <f t="shared" ca="1" si="150"/>
        <v>837.81659080426164</v>
      </c>
      <c r="AG357" s="306">
        <f t="shared" ca="1" si="172"/>
        <v>-58.940460975320171</v>
      </c>
      <c r="AH357" s="304">
        <f t="shared" ca="1" si="173"/>
        <v>-49.332095006038358</v>
      </c>
    </row>
    <row r="358" spans="1:34" x14ac:dyDescent="0.2">
      <c r="A358" s="347">
        <f t="shared" ca="1" si="151"/>
        <v>0.01</v>
      </c>
      <c r="B358" s="304">
        <f t="shared" ca="1" si="152"/>
        <v>3.5399999999999685</v>
      </c>
      <c r="D358" s="306">
        <f t="shared" ca="1" si="153"/>
        <v>-10.126049310559448</v>
      </c>
      <c r="E358" s="307">
        <f t="shared" ca="1" si="154"/>
        <v>-58.962999161651055</v>
      </c>
      <c r="F358" s="304">
        <f t="shared" ca="1" si="155"/>
        <v>59.826182769559551</v>
      </c>
      <c r="G358" s="306">
        <f t="shared" ca="1" si="156"/>
        <v>57.900673104290057</v>
      </c>
      <c r="H358" s="307">
        <f t="shared" ca="1" si="157"/>
        <v>280.95837615071355</v>
      </c>
      <c r="I358" s="304">
        <f t="shared" ca="1" si="158"/>
        <v>286.86250552342267</v>
      </c>
      <c r="J358" s="306">
        <f t="shared" ca="1" si="159"/>
        <v>164.01941876128086</v>
      </c>
      <c r="K358" s="307">
        <f t="shared" ca="1" si="160"/>
        <v>840.62912271572691</v>
      </c>
      <c r="L358" s="304">
        <f t="shared" ca="1" si="145"/>
        <v>856.48099318583888</v>
      </c>
      <c r="M358" s="306">
        <f t="shared" ca="1" si="161"/>
        <v>1.3675588747845462</v>
      </c>
      <c r="N358" s="304">
        <f t="shared" ca="1" si="162"/>
        <v>78.355351760814315</v>
      </c>
      <c r="P358" s="310">
        <f t="shared" ca="1" si="163"/>
        <v>10</v>
      </c>
      <c r="Q358" s="304">
        <f t="shared" ca="1" si="164"/>
        <v>30.708333333350872</v>
      </c>
      <c r="R358" s="306">
        <f t="shared" ca="1" si="165"/>
        <v>1.5411081745921019E-2</v>
      </c>
      <c r="S358" s="307">
        <f t="shared" ca="1" si="166"/>
        <v>5.0833502518578548</v>
      </c>
      <c r="T358" s="304">
        <f t="shared" ca="1" si="146"/>
        <v>49.867665970725561</v>
      </c>
      <c r="U358" s="311">
        <f t="shared" ca="1" si="147"/>
        <v>0</v>
      </c>
      <c r="V358" s="306">
        <f t="shared" ca="1" si="148"/>
        <v>1.1261766229068064</v>
      </c>
      <c r="W358" s="304">
        <f t="shared" ca="1" si="149"/>
        <v>284.54929973438493</v>
      </c>
      <c r="Y358" s="314" t="str">
        <f t="shared" ca="1" si="167"/>
        <v/>
      </c>
      <c r="Z358" s="315" t="str">
        <f t="shared" ca="1" si="168"/>
        <v/>
      </c>
      <c r="AA358" s="316" t="str">
        <f t="shared" ca="1" si="169"/>
        <v/>
      </c>
      <c r="AC358" s="310" t="e">
        <f t="shared" ca="1" si="170"/>
        <v>#N/A</v>
      </c>
      <c r="AD358" s="323" t="e">
        <f t="shared" ca="1" si="171"/>
        <v>#N/A</v>
      </c>
      <c r="AE358" s="324">
        <f t="shared" ca="1" si="150"/>
        <v>840.62912271572691</v>
      </c>
      <c r="AG358" s="306">
        <f t="shared" ca="1" si="172"/>
        <v>-59.793428765292646</v>
      </c>
      <c r="AH358" s="304">
        <f t="shared" ca="1" si="173"/>
        <v>-50.185199025461188</v>
      </c>
    </row>
    <row r="359" spans="1:34" x14ac:dyDescent="0.2">
      <c r="A359" s="347">
        <f t="shared" ca="1" si="151"/>
        <v>0.01</v>
      </c>
      <c r="B359" s="304">
        <f t="shared" ca="1" si="152"/>
        <v>3.5499999999999683</v>
      </c>
      <c r="D359" s="306">
        <f t="shared" ca="1" si="153"/>
        <v>-10.301043390848754</v>
      </c>
      <c r="E359" s="307">
        <f t="shared" ca="1" si="154"/>
        <v>-59.794987541301438</v>
      </c>
      <c r="F359" s="304">
        <f t="shared" ca="1" si="155"/>
        <v>60.675794432413845</v>
      </c>
      <c r="G359" s="306">
        <f t="shared" ca="1" si="156"/>
        <v>57.79766267038157</v>
      </c>
      <c r="H359" s="307">
        <f t="shared" ca="1" si="157"/>
        <v>280.36042627530054</v>
      </c>
      <c r="I359" s="304">
        <f t="shared" ca="1" si="158"/>
        <v>286.25607143155486</v>
      </c>
      <c r="J359" s="306">
        <f t="shared" ca="1" si="159"/>
        <v>164.59791044015421</v>
      </c>
      <c r="K359" s="307">
        <f t="shared" ca="1" si="160"/>
        <v>843.43571672785697</v>
      </c>
      <c r="L359" s="304">
        <f t="shared" ca="1" si="145"/>
        <v>859.34642628773338</v>
      </c>
      <c r="M359" s="306">
        <f t="shared" ca="1" si="161"/>
        <v>1.3674897037730991</v>
      </c>
      <c r="N359" s="304">
        <f t="shared" ca="1" si="162"/>
        <v>78.35138855379374</v>
      </c>
      <c r="P359" s="310">
        <f t="shared" ca="1" si="163"/>
        <v>10</v>
      </c>
      <c r="Q359" s="304">
        <f t="shared" ca="1" si="164"/>
        <v>25.125000000017643</v>
      </c>
      <c r="R359" s="306">
        <f t="shared" ca="1" si="165"/>
        <v>1.2609066883027941E-2</v>
      </c>
      <c r="S359" s="307">
        <f t="shared" ca="1" si="166"/>
        <v>5.0832241611890243</v>
      </c>
      <c r="T359" s="304">
        <f t="shared" ca="1" si="146"/>
        <v>49.866429021264331</v>
      </c>
      <c r="U359" s="311">
        <f t="shared" ca="1" si="147"/>
        <v>0</v>
      </c>
      <c r="V359" s="306">
        <f t="shared" ca="1" si="148"/>
        <v>1.1258600341101708</v>
      </c>
      <c r="W359" s="304">
        <f t="shared" ca="1" si="149"/>
        <v>283.26782942416452</v>
      </c>
      <c r="Y359" s="314" t="str">
        <f t="shared" ca="1" si="167"/>
        <v/>
      </c>
      <c r="Z359" s="315" t="str">
        <f t="shared" ca="1" si="168"/>
        <v/>
      </c>
      <c r="AA359" s="316" t="str">
        <f t="shared" ca="1" si="169"/>
        <v/>
      </c>
      <c r="AC359" s="310" t="e">
        <f t="shared" ca="1" si="170"/>
        <v>#N/A</v>
      </c>
      <c r="AD359" s="323" t="e">
        <f t="shared" ca="1" si="171"/>
        <v>#N/A</v>
      </c>
      <c r="AE359" s="324">
        <f t="shared" ca="1" si="150"/>
        <v>843.43571672785697</v>
      </c>
      <c r="AG359" s="306">
        <f t="shared" ca="1" si="172"/>
        <v>-60.643477668232279</v>
      </c>
      <c r="AH359" s="304">
        <f t="shared" ca="1" si="173"/>
        <v>-51.03538453312769</v>
      </c>
    </row>
    <row r="360" spans="1:34" x14ac:dyDescent="0.2">
      <c r="A360" s="347">
        <f t="shared" ca="1" si="151"/>
        <v>0.01</v>
      </c>
      <c r="B360" s="304">
        <f t="shared" ca="1" si="152"/>
        <v>3.5599999999999681</v>
      </c>
      <c r="D360" s="306">
        <f t="shared" ca="1" si="153"/>
        <v>-10.47557576339608</v>
      </c>
      <c r="E360" s="307">
        <f t="shared" ca="1" si="154"/>
        <v>-60.624111692616346</v>
      </c>
      <c r="F360" s="304">
        <f t="shared" ca="1" si="155"/>
        <v>61.522521129204982</v>
      </c>
      <c r="G360" s="306">
        <f t="shared" ca="1" si="156"/>
        <v>57.69290691274761</v>
      </c>
      <c r="H360" s="307">
        <f t="shared" ca="1" si="157"/>
        <v>279.75418515837436</v>
      </c>
      <c r="I360" s="304">
        <f t="shared" ca="1" si="158"/>
        <v>285.64116583866019</v>
      </c>
      <c r="J360" s="306">
        <f t="shared" ca="1" si="159"/>
        <v>165.17536328806986</v>
      </c>
      <c r="K360" s="307">
        <f t="shared" ca="1" si="160"/>
        <v>846.23628978502529</v>
      </c>
      <c r="L360" s="304">
        <f t="shared" ca="1" si="145"/>
        <v>862.20575200265932</v>
      </c>
      <c r="M360" s="306">
        <f t="shared" ca="1" si="161"/>
        <v>1.3674203605889557</v>
      </c>
      <c r="N360" s="304">
        <f t="shared" ca="1" si="162"/>
        <v>78.347415482004322</v>
      </c>
      <c r="P360" s="310">
        <f t="shared" ca="1" si="163"/>
        <v>10</v>
      </c>
      <c r="Q360" s="304">
        <f t="shared" ca="1" si="164"/>
        <v>19.541666666684407</v>
      </c>
      <c r="R360" s="306">
        <f t="shared" ca="1" si="165"/>
        <v>9.8070520201348592E-3</v>
      </c>
      <c r="S360" s="307">
        <f t="shared" ca="1" si="166"/>
        <v>5.0831260906688227</v>
      </c>
      <c r="T360" s="304">
        <f t="shared" ca="1" si="146"/>
        <v>49.865466949461151</v>
      </c>
      <c r="U360" s="311">
        <f t="shared" ca="1" si="147"/>
        <v>0</v>
      </c>
      <c r="V360" s="306">
        <f t="shared" ca="1" si="148"/>
        <v>1.1255442094605228</v>
      </c>
      <c r="W360" s="304">
        <f t="shared" ca="1" si="149"/>
        <v>281.97304251870491</v>
      </c>
      <c r="Y360" s="314" t="str">
        <f t="shared" ca="1" si="167"/>
        <v/>
      </c>
      <c r="Z360" s="315" t="str">
        <f t="shared" ca="1" si="168"/>
        <v/>
      </c>
      <c r="AA360" s="316" t="str">
        <f t="shared" ca="1" si="169"/>
        <v/>
      </c>
      <c r="AC360" s="310" t="e">
        <f t="shared" ca="1" si="170"/>
        <v>#N/A</v>
      </c>
      <c r="AD360" s="323" t="e">
        <f t="shared" ca="1" si="171"/>
        <v>#N/A</v>
      </c>
      <c r="AE360" s="324">
        <f t="shared" ca="1" si="150"/>
        <v>846.23628978502529</v>
      </c>
      <c r="AG360" s="306">
        <f t="shared" ca="1" si="172"/>
        <v>-61.490627964419872</v>
      </c>
      <c r="AH360" s="304">
        <f t="shared" ca="1" si="173"/>
        <v>-51.882671815205704</v>
      </c>
    </row>
    <row r="361" spans="1:34" x14ac:dyDescent="0.2">
      <c r="A361" s="347">
        <f t="shared" ca="1" si="151"/>
        <v>0.01</v>
      </c>
      <c r="B361" s="304">
        <f t="shared" ca="1" si="152"/>
        <v>3.5699999999999679</v>
      </c>
      <c r="D361" s="306">
        <f t="shared" ca="1" si="153"/>
        <v>-10.649650534024333</v>
      </c>
      <c r="E361" s="307">
        <f t="shared" ca="1" si="154"/>
        <v>-61.450391632080034</v>
      </c>
      <c r="F361" s="304">
        <f t="shared" ca="1" si="155"/>
        <v>62.36638267715113</v>
      </c>
      <c r="G361" s="306">
        <f t="shared" ca="1" si="156"/>
        <v>57.586410407407364</v>
      </c>
      <c r="H361" s="307">
        <f t="shared" ca="1" si="157"/>
        <v>279.13968124205354</v>
      </c>
      <c r="I361" s="304">
        <f t="shared" ca="1" si="158"/>
        <v>285.01781752642347</v>
      </c>
      <c r="J361" s="306">
        <f t="shared" ca="1" si="159"/>
        <v>165.75175987467063</v>
      </c>
      <c r="K361" s="307">
        <f t="shared" ca="1" si="160"/>
        <v>849.0307591170274</v>
      </c>
      <c r="L361" s="304">
        <f t="shared" ca="1" si="145"/>
        <v>865.05888575771894</v>
      </c>
      <c r="M361" s="306">
        <f t="shared" ca="1" si="161"/>
        <v>1.3673508423723444</v>
      </c>
      <c r="N361" s="304">
        <f t="shared" ca="1" si="162"/>
        <v>78.343432381593232</v>
      </c>
      <c r="P361" s="310">
        <f t="shared" ca="1" si="163"/>
        <v>10</v>
      </c>
      <c r="Q361" s="304">
        <f t="shared" ca="1" si="164"/>
        <v>13.958333333351177</v>
      </c>
      <c r="R361" s="306">
        <f t="shared" ca="1" si="165"/>
        <v>7.0050371572417808E-3</v>
      </c>
      <c r="S361" s="307">
        <f t="shared" ca="1" si="166"/>
        <v>5.08305604029725</v>
      </c>
      <c r="T361" s="304">
        <f t="shared" ca="1" si="146"/>
        <v>49.864779755316022</v>
      </c>
      <c r="U361" s="311">
        <f t="shared" ca="1" si="147"/>
        <v>0</v>
      </c>
      <c r="V361" s="306">
        <f t="shared" ca="1" si="148"/>
        <v>1.1252291577066669</v>
      </c>
      <c r="W361" s="304">
        <f t="shared" ca="1" si="149"/>
        <v>280.66511533420993</v>
      </c>
      <c r="Y361" s="314" t="str">
        <f t="shared" ca="1" si="167"/>
        <v/>
      </c>
      <c r="Z361" s="315" t="str">
        <f t="shared" ca="1" si="168"/>
        <v/>
      </c>
      <c r="AA361" s="316" t="str">
        <f t="shared" ca="1" si="169"/>
        <v/>
      </c>
      <c r="AC361" s="310" t="e">
        <f t="shared" ca="1" si="170"/>
        <v>#N/A</v>
      </c>
      <c r="AD361" s="323" t="e">
        <f t="shared" ca="1" si="171"/>
        <v>#N/A</v>
      </c>
      <c r="AE361" s="324">
        <f t="shared" ca="1" si="150"/>
        <v>849.0307591170274</v>
      </c>
      <c r="AG361" s="306">
        <f t="shared" ca="1" si="172"/>
        <v>-62.334900095126329</v>
      </c>
      <c r="AH361" s="304">
        <f t="shared" ca="1" si="173"/>
        <v>-52.72708131891472</v>
      </c>
    </row>
    <row r="362" spans="1:34" x14ac:dyDescent="0.2">
      <c r="A362" s="347">
        <f t="shared" ca="1" si="151"/>
        <v>0.01</v>
      </c>
      <c r="B362" s="304">
        <f t="shared" ca="1" si="152"/>
        <v>3.5799999999999677</v>
      </c>
      <c r="D362" s="306">
        <f t="shared" ca="1" si="153"/>
        <v>-10.823271853668054</v>
      </c>
      <c r="E362" s="307">
        <f t="shared" ca="1" si="154"/>
        <v>-62.273847526783371</v>
      </c>
      <c r="F362" s="304">
        <f t="shared" ca="1" si="155"/>
        <v>63.207399087507675</v>
      </c>
      <c r="G362" s="306">
        <f t="shared" ca="1" si="156"/>
        <v>57.47817768887068</v>
      </c>
      <c r="H362" s="307">
        <f t="shared" ca="1" si="157"/>
        <v>278.51694276678569</v>
      </c>
      <c r="I362" s="304">
        <f t="shared" ca="1" si="158"/>
        <v>284.38605507055081</v>
      </c>
      <c r="J362" s="306">
        <f t="shared" ca="1" si="159"/>
        <v>166.32708281515201</v>
      </c>
      <c r="K362" s="307">
        <f t="shared" ca="1" si="160"/>
        <v>851.81904223707159</v>
      </c>
      <c r="L362" s="304">
        <f t="shared" ca="1" si="145"/>
        <v>867.90574326679075</v>
      </c>
      <c r="M362" s="306">
        <f t="shared" ca="1" si="161"/>
        <v>1.3672811462351395</v>
      </c>
      <c r="N362" s="304">
        <f t="shared" ca="1" si="162"/>
        <v>78.339439087083022</v>
      </c>
      <c r="P362" s="310">
        <f t="shared" ca="1" si="163"/>
        <v>10</v>
      </c>
      <c r="Q362" s="304">
        <f t="shared" ca="1" si="164"/>
        <v>8.3750000000179483</v>
      </c>
      <c r="R362" s="306">
        <f t="shared" ca="1" si="165"/>
        <v>4.2030222943487032E-3</v>
      </c>
      <c r="S362" s="307">
        <f t="shared" ca="1" si="166"/>
        <v>5.0830140100743062</v>
      </c>
      <c r="T362" s="304">
        <f t="shared" ca="1" si="146"/>
        <v>49.86436743882895</v>
      </c>
      <c r="U362" s="311">
        <f t="shared" ca="1" si="147"/>
        <v>0</v>
      </c>
      <c r="V362" s="306">
        <f t="shared" ca="1" si="148"/>
        <v>1.1249148875571229</v>
      </c>
      <c r="W362" s="304">
        <f t="shared" ca="1" si="149"/>
        <v>279.34422447662973</v>
      </c>
      <c r="Y362" s="314" t="str">
        <f t="shared" ca="1" si="167"/>
        <v/>
      </c>
      <c r="Z362" s="315" t="str">
        <f t="shared" ca="1" si="168"/>
        <v/>
      </c>
      <c r="AA362" s="316" t="str">
        <f t="shared" ca="1" si="169"/>
        <v/>
      </c>
      <c r="AC362" s="310" t="e">
        <f t="shared" ca="1" si="170"/>
        <v>#N/A</v>
      </c>
      <c r="AD362" s="323" t="e">
        <f t="shared" ca="1" si="171"/>
        <v>#N/A</v>
      </c>
      <c r="AE362" s="324">
        <f t="shared" ca="1" si="150"/>
        <v>851.81904223707159</v>
      </c>
      <c r="AG362" s="306">
        <f t="shared" ca="1" si="172"/>
        <v>-63.176314658256366</v>
      </c>
      <c r="AH362" s="304">
        <f t="shared" ca="1" si="173"/>
        <v>-53.568633648171172</v>
      </c>
    </row>
    <row r="363" spans="1:34" x14ac:dyDescent="0.2">
      <c r="A363" s="347">
        <f t="shared" ca="1" si="151"/>
        <v>0.01</v>
      </c>
      <c r="B363" s="304">
        <f t="shared" ca="1" si="152"/>
        <v>3.5899999999999674</v>
      </c>
      <c r="D363" s="306">
        <f t="shared" ca="1" si="153"/>
        <v>-10.996443917668195</v>
      </c>
      <c r="E363" s="307">
        <f t="shared" ca="1" si="154"/>
        <v>-63.094499690190823</v>
      </c>
      <c r="F363" s="304">
        <f t="shared" ca="1" si="155"/>
        <v>64.045590558522548</v>
      </c>
      <c r="G363" s="306">
        <f t="shared" ca="1" si="156"/>
        <v>57.368213249694001</v>
      </c>
      <c r="H363" s="307">
        <f t="shared" ca="1" si="157"/>
        <v>277.88599776988377</v>
      </c>
      <c r="I363" s="304">
        <f t="shared" ca="1" si="158"/>
        <v>283.74590683924623</v>
      </c>
      <c r="J363" s="306">
        <f t="shared" ca="1" si="159"/>
        <v>166.90131476984484</v>
      </c>
      <c r="K363" s="307">
        <f t="shared" ca="1" si="160"/>
        <v>854.60105693975493</v>
      </c>
      <c r="L363" s="304">
        <f t="shared" ca="1" si="145"/>
        <v>870.74624052846139</v>
      </c>
      <c r="M363" s="306">
        <f t="shared" ca="1" si="161"/>
        <v>1.3672112692601068</v>
      </c>
      <c r="N363" s="304">
        <f t="shared" ca="1" si="162"/>
        <v>78.335435431328506</v>
      </c>
      <c r="P363" s="310">
        <f t="shared" ca="1" si="163"/>
        <v>10</v>
      </c>
      <c r="Q363" s="304">
        <f t="shared" ca="1" si="164"/>
        <v>2.7916666666847192</v>
      </c>
      <c r="R363" s="306">
        <f t="shared" ca="1" si="165"/>
        <v>1.4010074314556248E-3</v>
      </c>
      <c r="S363" s="307">
        <f t="shared" ca="1" si="166"/>
        <v>5.0829999999999913</v>
      </c>
      <c r="T363" s="304">
        <f t="shared" ca="1" si="146"/>
        <v>49.864229999999914</v>
      </c>
      <c r="U363" s="311">
        <f t="shared" ca="1" si="147"/>
        <v>0</v>
      </c>
      <c r="V363" s="306">
        <f t="shared" ca="1" si="148"/>
        <v>1.1246014076804574</v>
      </c>
      <c r="W363" s="304">
        <f t="shared" ca="1" si="149"/>
        <v>278.01054682602899</v>
      </c>
      <c r="Y363" s="314" t="str">
        <f t="shared" ca="1" si="167"/>
        <v/>
      </c>
      <c r="Z363" s="315" t="str">
        <f t="shared" ca="1" si="168"/>
        <v/>
      </c>
      <c r="AA363" s="316" t="str">
        <f t="shared" ca="1" si="169"/>
        <v/>
      </c>
      <c r="AC363" s="310" t="e">
        <f t="shared" ca="1" si="170"/>
        <v>#N/A</v>
      </c>
      <c r="AD363" s="323" t="e">
        <f t="shared" ca="1" si="171"/>
        <v>#N/A</v>
      </c>
      <c r="AE363" s="324">
        <f t="shared" ca="1" si="150"/>
        <v>854.60105693975493</v>
      </c>
      <c r="AG363" s="306">
        <f t="shared" ca="1" si="172"/>
        <v>-64.014892404063147</v>
      </c>
      <c r="AH363" s="304">
        <f t="shared" ca="1" si="173"/>
        <v>-54.407349559304642</v>
      </c>
    </row>
    <row r="364" spans="1:34" x14ac:dyDescent="0.2">
      <c r="A364" s="347">
        <f t="shared" ca="1" si="151"/>
        <v>0.01</v>
      </c>
      <c r="B364" s="304">
        <f t="shared" ca="1" si="152"/>
        <v>3.5999999999999672</v>
      </c>
      <c r="D364" s="306">
        <f t="shared" ca="1" si="153"/>
        <v>-11.058160288589434</v>
      </c>
      <c r="E364" s="307">
        <f t="shared" ca="1" si="154"/>
        <v>-63.374643750001624</v>
      </c>
      <c r="F364" s="304">
        <f t="shared" ca="1" si="155"/>
        <v>64.332172195626626</v>
      </c>
      <c r="G364" s="306">
        <f t="shared" ca="1" si="156"/>
        <v>57.257631646808107</v>
      </c>
      <c r="H364" s="307">
        <f t="shared" ca="1" si="157"/>
        <v>277.25225133238376</v>
      </c>
      <c r="I364" s="304">
        <f t="shared" ca="1" si="158"/>
        <v>283.1028916324891</v>
      </c>
      <c r="J364" s="306">
        <f t="shared" ca="1" si="159"/>
        <v>167.47444399432734</v>
      </c>
      <c r="K364" s="307">
        <f t="shared" ca="1" si="160"/>
        <v>857.37674818526625</v>
      </c>
      <c r="L364" s="304">
        <f t="shared" ca="1" si="145"/>
        <v>873.58032127558283</v>
      </c>
      <c r="M364" s="306">
        <f t="shared" ca="1" si="161"/>
        <v>1.3671412098589277</v>
      </c>
      <c r="N364" s="304">
        <f t="shared" ca="1" si="162"/>
        <v>78.331421323325728</v>
      </c>
      <c r="P364" s="310">
        <f t="shared" ca="1" si="163"/>
        <v>23</v>
      </c>
      <c r="Q364" s="304">
        <f t="shared" ca="1" si="164"/>
        <v>0</v>
      </c>
      <c r="R364" s="306">
        <f t="shared" ca="1" si="165"/>
        <v>0</v>
      </c>
      <c r="S364" s="307">
        <f t="shared" ca="1" si="166"/>
        <v>5.0829999999999913</v>
      </c>
      <c r="T364" s="304">
        <f t="shared" ca="1" si="146"/>
        <v>49.864229999999914</v>
      </c>
      <c r="U364" s="311">
        <f t="shared" ca="1" si="147"/>
        <v>0</v>
      </c>
      <c r="V364" s="306">
        <f t="shared" ca="1" si="148"/>
        <v>1.1242887236772636</v>
      </c>
      <c r="W364" s="304">
        <f t="shared" ca="1" si="149"/>
        <v>276.67499062167661</v>
      </c>
      <c r="Y364" s="314" t="str">
        <f t="shared" ca="1" si="167"/>
        <v>Fin de propulsion</v>
      </c>
      <c r="Z364" s="315" t="str">
        <f t="shared" ca="1" si="168"/>
        <v/>
      </c>
      <c r="AA364" s="316" t="str">
        <f t="shared" ca="1" si="169"/>
        <v/>
      </c>
      <c r="AC364" s="310" t="e">
        <f t="shared" ca="1" si="170"/>
        <v>#N/A</v>
      </c>
      <c r="AD364" s="323" t="e">
        <f t="shared" ca="1" si="171"/>
        <v>#N/A</v>
      </c>
      <c r="AE364" s="324">
        <f t="shared" ca="1" si="150"/>
        <v>857.37674818526625</v>
      </c>
      <c r="AG364" s="306">
        <f t="shared" ca="1" si="172"/>
        <v>-64.301590153693198</v>
      </c>
      <c r="AH364" s="304">
        <f t="shared" ca="1" si="173"/>
        <v>-54.694185879604461</v>
      </c>
    </row>
    <row r="365" spans="1:34" x14ac:dyDescent="0.2">
      <c r="A365" s="347">
        <f t="shared" ca="1" si="151"/>
        <v>0.01</v>
      </c>
      <c r="B365" s="304">
        <f t="shared" ca="1" si="152"/>
        <v>3.609999999999967</v>
      </c>
      <c r="D365" s="306">
        <f t="shared" ca="1" si="153"/>
        <v>-11.008771795557493</v>
      </c>
      <c r="E365" s="307">
        <f t="shared" ca="1" si="154"/>
        <v>-63.11654930944762</v>
      </c>
      <c r="F365" s="304">
        <f t="shared" ca="1" si="155"/>
        <v>64.069429942669188</v>
      </c>
      <c r="G365" s="306">
        <f t="shared" ca="1" si="156"/>
        <v>57.147543928852535</v>
      </c>
      <c r="H365" s="307">
        <f t="shared" ca="1" si="157"/>
        <v>276.62108583928926</v>
      </c>
      <c r="I365" s="304">
        <f t="shared" ca="1" si="158"/>
        <v>282.46250531355054</v>
      </c>
      <c r="J365" s="306">
        <f t="shared" ca="1" si="159"/>
        <v>168.04646987220565</v>
      </c>
      <c r="K365" s="307">
        <f t="shared" ca="1" si="160"/>
        <v>860.14611487112461</v>
      </c>
      <c r="L365" s="304">
        <f t="shared" ca="1" si="145"/>
        <v>876.40798431118833</v>
      </c>
      <c r="M365" s="306">
        <f t="shared" ca="1" si="161"/>
        <v>1.3670709677930679</v>
      </c>
      <c r="N365" s="304">
        <f t="shared" ca="1" si="162"/>
        <v>78.327396749407683</v>
      </c>
      <c r="P365" s="310">
        <f t="shared" ca="1" si="163"/>
        <v>23</v>
      </c>
      <c r="Q365" s="304">
        <f t="shared" ca="1" si="164"/>
        <v>0</v>
      </c>
      <c r="R365" s="306">
        <f t="shared" ca="1" si="165"/>
        <v>0</v>
      </c>
      <c r="S365" s="307">
        <f t="shared" ca="1" si="166"/>
        <v>5.0829999999999913</v>
      </c>
      <c r="T365" s="304">
        <f t="shared" ca="1" si="146"/>
        <v>49.864229999999914</v>
      </c>
      <c r="U365" s="311">
        <f t="shared" ca="1" si="147"/>
        <v>0</v>
      </c>
      <c r="V365" s="306">
        <f t="shared" ca="1" si="148"/>
        <v>1.1239768350696295</v>
      </c>
      <c r="W365" s="304">
        <f t="shared" ca="1" si="149"/>
        <v>275.34830834332303</v>
      </c>
      <c r="Y365" s="314" t="str">
        <f t="shared" ca="1" si="167"/>
        <v/>
      </c>
      <c r="Z365" s="315" t="str">
        <f t="shared" ca="1" si="168"/>
        <v/>
      </c>
      <c r="AA365" s="316" t="str">
        <f t="shared" ca="1" si="169"/>
        <v/>
      </c>
      <c r="AC365" s="310" t="e">
        <f t="shared" ca="1" si="170"/>
        <v>#N/A</v>
      </c>
      <c r="AD365" s="323" t="e">
        <f t="shared" ca="1" si="171"/>
        <v>#N/A</v>
      </c>
      <c r="AE365" s="324">
        <f t="shared" ca="1" si="150"/>
        <v>860.14611487112461</v>
      </c>
      <c r="AG365" s="306">
        <f t="shared" ca="1" si="172"/>
        <v>-64.038701576614358</v>
      </c>
      <c r="AH365" s="304">
        <f t="shared" ca="1" si="173"/>
        <v>-54.431436282053333</v>
      </c>
    </row>
    <row r="366" spans="1:34" x14ac:dyDescent="0.2">
      <c r="A366" s="347">
        <f t="shared" ca="1" si="151"/>
        <v>0.01</v>
      </c>
      <c r="B366" s="304">
        <f t="shared" ca="1" si="152"/>
        <v>3.6199999999999668</v>
      </c>
      <c r="D366" s="306">
        <f t="shared" ca="1" si="153"/>
        <v>-10.959710092825127</v>
      </c>
      <c r="E366" s="307">
        <f t="shared" ca="1" si="154"/>
        <v>-62.86016975244798</v>
      </c>
      <c r="F366" s="304">
        <f t="shared" ca="1" si="155"/>
        <v>63.80843350706354</v>
      </c>
      <c r="G366" s="306">
        <f t="shared" ca="1" si="156"/>
        <v>57.037946827924287</v>
      </c>
      <c r="H366" s="307">
        <f t="shared" ca="1" si="157"/>
        <v>275.99248414176481</v>
      </c>
      <c r="I366" s="304">
        <f t="shared" ca="1" si="158"/>
        <v>281.82473042848352</v>
      </c>
      <c r="J366" s="306">
        <f t="shared" ca="1" si="159"/>
        <v>168.61739732598954</v>
      </c>
      <c r="K366" s="307">
        <f t="shared" ca="1" si="160"/>
        <v>862.90918272102988</v>
      </c>
      <c r="L366" s="304">
        <f t="shared" ca="1" si="145"/>
        <v>879.22925582880055</v>
      </c>
      <c r="M366" s="306">
        <f t="shared" ca="1" si="161"/>
        <v>1.3670005428230387</v>
      </c>
      <c r="N366" s="304">
        <f t="shared" ca="1" si="162"/>
        <v>78.323361695852682</v>
      </c>
      <c r="P366" s="310">
        <f t="shared" ca="1" si="163"/>
        <v>23</v>
      </c>
      <c r="Q366" s="304">
        <f t="shared" ca="1" si="164"/>
        <v>0</v>
      </c>
      <c r="R366" s="306">
        <f t="shared" ca="1" si="165"/>
        <v>0</v>
      </c>
      <c r="S366" s="307">
        <f t="shared" ca="1" si="166"/>
        <v>5.0829999999999913</v>
      </c>
      <c r="T366" s="304">
        <f t="shared" ca="1" si="146"/>
        <v>49.864229999999914</v>
      </c>
      <c r="U366" s="311">
        <f t="shared" ca="1" si="147"/>
        <v>0</v>
      </c>
      <c r="V366" s="306">
        <f t="shared" ca="1" si="148"/>
        <v>1.1236657383612891</v>
      </c>
      <c r="W366" s="304">
        <f t="shared" ca="1" si="149"/>
        <v>274.03042104967113</v>
      </c>
      <c r="Y366" s="314" t="str">
        <f t="shared" ca="1" si="167"/>
        <v/>
      </c>
      <c r="Z366" s="315" t="str">
        <f t="shared" ca="1" si="168"/>
        <v/>
      </c>
      <c r="AA366" s="316" t="str">
        <f t="shared" ca="1" si="169"/>
        <v/>
      </c>
      <c r="AC366" s="310" t="e">
        <f t="shared" ca="1" si="170"/>
        <v>#N/A</v>
      </c>
      <c r="AD366" s="323" t="e">
        <f t="shared" ca="1" si="171"/>
        <v>#N/A</v>
      </c>
      <c r="AE366" s="324">
        <f t="shared" ca="1" si="150"/>
        <v>862.90918272102988</v>
      </c>
      <c r="AG366" s="306">
        <f t="shared" ca="1" si="172"/>
        <v>-63.777558394675893</v>
      </c>
      <c r="AH366" s="304">
        <f t="shared" ca="1" si="173"/>
        <v>-54.170432489341628</v>
      </c>
    </row>
    <row r="367" spans="1:34" x14ac:dyDescent="0.2">
      <c r="A367" s="347">
        <f t="shared" ca="1" si="151"/>
        <v>0.01</v>
      </c>
      <c r="B367" s="304">
        <f t="shared" ca="1" si="152"/>
        <v>3.6299999999999666</v>
      </c>
      <c r="D367" s="306">
        <f t="shared" ca="1" si="153"/>
        <v>-10.910972270408568</v>
      </c>
      <c r="E367" s="307">
        <f t="shared" ca="1" si="154"/>
        <v>-62.605489823586979</v>
      </c>
      <c r="F367" s="304">
        <f t="shared" ca="1" si="155"/>
        <v>63.549167358328759</v>
      </c>
      <c r="G367" s="306">
        <f t="shared" ca="1" si="156"/>
        <v>56.928837105220204</v>
      </c>
      <c r="H367" s="307">
        <f t="shared" ca="1" si="157"/>
        <v>275.36642924352896</v>
      </c>
      <c r="I367" s="304">
        <f t="shared" ca="1" si="158"/>
        <v>281.1895496786538</v>
      </c>
      <c r="J367" s="306">
        <f t="shared" ca="1" si="159"/>
        <v>169.18723124565525</v>
      </c>
      <c r="K367" s="307">
        <f t="shared" ca="1" si="160"/>
        <v>865.66597728795637</v>
      </c>
      <c r="L367" s="304">
        <f t="shared" ca="1" si="145"/>
        <v>882.04416184819422</v>
      </c>
      <c r="M367" s="306">
        <f t="shared" ca="1" si="161"/>
        <v>1.3669299347083952</v>
      </c>
      <c r="N367" s="304">
        <f t="shared" ca="1" si="162"/>
        <v>78.319316148884226</v>
      </c>
      <c r="P367" s="310">
        <f t="shared" ca="1" si="163"/>
        <v>23</v>
      </c>
      <c r="Q367" s="304">
        <f t="shared" ca="1" si="164"/>
        <v>0</v>
      </c>
      <c r="R367" s="306">
        <f t="shared" ca="1" si="165"/>
        <v>0</v>
      </c>
      <c r="S367" s="307">
        <f t="shared" ca="1" si="166"/>
        <v>5.0829999999999913</v>
      </c>
      <c r="T367" s="304">
        <f t="shared" ca="1" si="146"/>
        <v>49.864229999999914</v>
      </c>
      <c r="U367" s="311">
        <f t="shared" ca="1" si="147"/>
        <v>0</v>
      </c>
      <c r="V367" s="306">
        <f t="shared" ca="1" si="148"/>
        <v>1.1233554300800153</v>
      </c>
      <c r="W367" s="304">
        <f t="shared" ca="1" si="149"/>
        <v>272.72125068068345</v>
      </c>
      <c r="Y367" s="314" t="str">
        <f t="shared" ca="1" si="167"/>
        <v/>
      </c>
      <c r="Z367" s="315" t="str">
        <f t="shared" ca="1" si="168"/>
        <v/>
      </c>
      <c r="AA367" s="316" t="str">
        <f t="shared" ca="1" si="169"/>
        <v/>
      </c>
      <c r="AC367" s="310" t="e">
        <f t="shared" ca="1" si="170"/>
        <v>#N/A</v>
      </c>
      <c r="AD367" s="323" t="e">
        <f t="shared" ca="1" si="171"/>
        <v>#N/A</v>
      </c>
      <c r="AE367" s="324">
        <f t="shared" ca="1" si="150"/>
        <v>865.66597728795637</v>
      </c>
      <c r="AG367" s="306">
        <f t="shared" ca="1" si="172"/>
        <v>-63.518145076579287</v>
      </c>
      <c r="AH367" s="304">
        <f t="shared" ca="1" si="173"/>
        <v>-53.91115897101546</v>
      </c>
    </row>
    <row r="368" spans="1:34" x14ac:dyDescent="0.2">
      <c r="A368" s="347">
        <f t="shared" ca="1" si="151"/>
        <v>0.01</v>
      </c>
      <c r="B368" s="304">
        <f t="shared" ca="1" si="152"/>
        <v>3.6399999999999664</v>
      </c>
      <c r="D368" s="306">
        <f t="shared" ca="1" si="153"/>
        <v>-10.862555450807685</v>
      </c>
      <c r="E368" s="307">
        <f t="shared" ca="1" si="154"/>
        <v>-62.352494437752398</v>
      </c>
      <c r="F368" s="304">
        <f t="shared" ca="1" si="155"/>
        <v>63.291616139357792</v>
      </c>
      <c r="G368" s="306">
        <f t="shared" ca="1" si="156"/>
        <v>56.820211550712123</v>
      </c>
      <c r="H368" s="307">
        <f t="shared" ca="1" si="157"/>
        <v>274.74290429915141</v>
      </c>
      <c r="I368" s="304">
        <f t="shared" ca="1" si="158"/>
        <v>280.55694591900652</v>
      </c>
      <c r="J368" s="306">
        <f t="shared" ca="1" si="159"/>
        <v>169.75597648893492</v>
      </c>
      <c r="K368" s="307">
        <f t="shared" ca="1" si="160"/>
        <v>868.41652395566973</v>
      </c>
      <c r="L368" s="304">
        <f t="shared" ca="1" si="145"/>
        <v>884.852728216939</v>
      </c>
      <c r="M368" s="306">
        <f t="shared" ca="1" si="161"/>
        <v>1.3668591432077335</v>
      </c>
      <c r="N368" s="304">
        <f t="shared" ca="1" si="162"/>
        <v>78.315260094670919</v>
      </c>
      <c r="P368" s="310">
        <f t="shared" ca="1" si="163"/>
        <v>23</v>
      </c>
      <c r="Q368" s="304">
        <f t="shared" ca="1" si="164"/>
        <v>0</v>
      </c>
      <c r="R368" s="306">
        <f t="shared" ca="1" si="165"/>
        <v>0</v>
      </c>
      <c r="S368" s="307">
        <f t="shared" ca="1" si="166"/>
        <v>5.0829999999999913</v>
      </c>
      <c r="T368" s="304">
        <f t="shared" ca="1" si="146"/>
        <v>49.864229999999914</v>
      </c>
      <c r="U368" s="311">
        <f t="shared" ca="1" si="147"/>
        <v>0</v>
      </c>
      <c r="V368" s="306">
        <f t="shared" ca="1" si="148"/>
        <v>1.1230459067774015</v>
      </c>
      <c r="W368" s="304">
        <f t="shared" ca="1" si="149"/>
        <v>271.4207200457613</v>
      </c>
      <c r="Y368" s="314" t="str">
        <f t="shared" ca="1" si="167"/>
        <v/>
      </c>
      <c r="Z368" s="315" t="str">
        <f t="shared" ca="1" si="168"/>
        <v/>
      </c>
      <c r="AA368" s="316" t="str">
        <f t="shared" ca="1" si="169"/>
        <v/>
      </c>
      <c r="AC368" s="310" t="e">
        <f t="shared" ca="1" si="170"/>
        <v>#N/A</v>
      </c>
      <c r="AD368" s="323" t="e">
        <f t="shared" ca="1" si="171"/>
        <v>#N/A</v>
      </c>
      <c r="AE368" s="324">
        <f t="shared" ca="1" si="150"/>
        <v>868.41652395566973</v>
      </c>
      <c r="AG368" s="306">
        <f t="shared" ca="1" si="172"/>
        <v>-63.260446264396499</v>
      </c>
      <c r="AH368" s="304">
        <f t="shared" ca="1" si="173"/>
        <v>-53.653600369994869</v>
      </c>
    </row>
    <row r="369" spans="1:34" x14ac:dyDescent="0.2">
      <c r="A369" s="347">
        <f t="shared" ca="1" si="151"/>
        <v>0.01</v>
      </c>
      <c r="B369" s="304">
        <f t="shared" ca="1" si="152"/>
        <v>3.6499999999999662</v>
      </c>
      <c r="D369" s="306">
        <f t="shared" ca="1" si="153"/>
        <v>-10.814456788570277</v>
      </c>
      <c r="E369" s="307">
        <f t="shared" ca="1" si="154"/>
        <v>-62.101168677851128</v>
      </c>
      <c r="F369" s="304">
        <f t="shared" ca="1" si="155"/>
        <v>63.035764664091857</v>
      </c>
      <c r="G369" s="306">
        <f t="shared" ca="1" si="156"/>
        <v>56.712066982826421</v>
      </c>
      <c r="H369" s="307">
        <f t="shared" ca="1" si="157"/>
        <v>274.1218926123729</v>
      </c>
      <c r="I369" s="304">
        <f t="shared" ca="1" si="158"/>
        <v>279.92690215635565</v>
      </c>
      <c r="J369" s="306">
        <f t="shared" ca="1" si="159"/>
        <v>170.32363788160262</v>
      </c>
      <c r="K369" s="307">
        <f t="shared" ca="1" si="160"/>
        <v>871.16084794022731</v>
      </c>
      <c r="L369" s="304">
        <f t="shared" ca="1" si="145"/>
        <v>887.65498061192625</v>
      </c>
      <c r="M369" s="306">
        <f t="shared" ca="1" si="161"/>
        <v>1.3667881680786897</v>
      </c>
      <c r="N369" s="304">
        <f t="shared" ca="1" si="162"/>
        <v>78.311193519326309</v>
      </c>
      <c r="P369" s="310">
        <f t="shared" ca="1" si="163"/>
        <v>23</v>
      </c>
      <c r="Q369" s="304">
        <f t="shared" ca="1" si="164"/>
        <v>0</v>
      </c>
      <c r="R369" s="306">
        <f t="shared" ca="1" si="165"/>
        <v>0</v>
      </c>
      <c r="S369" s="307">
        <f t="shared" ca="1" si="166"/>
        <v>5.0829999999999913</v>
      </c>
      <c r="T369" s="304">
        <f t="shared" ca="1" si="146"/>
        <v>49.864229999999914</v>
      </c>
      <c r="U369" s="311">
        <f t="shared" ca="1" si="147"/>
        <v>0</v>
      </c>
      <c r="V369" s="306">
        <f t="shared" ca="1" si="148"/>
        <v>1.1227371650286431</v>
      </c>
      <c r="W369" s="304">
        <f t="shared" ca="1" si="149"/>
        <v>270.128752812107</v>
      </c>
      <c r="Y369" s="314" t="str">
        <f t="shared" ca="1" si="167"/>
        <v/>
      </c>
      <c r="Z369" s="315" t="str">
        <f t="shared" ca="1" si="168"/>
        <v/>
      </c>
      <c r="AA369" s="316" t="str">
        <f t="shared" ca="1" si="169"/>
        <v/>
      </c>
      <c r="AC369" s="310" t="e">
        <f t="shared" ca="1" si="170"/>
        <v>#N/A</v>
      </c>
      <c r="AD369" s="323" t="e">
        <f t="shared" ca="1" si="171"/>
        <v>#N/A</v>
      </c>
      <c r="AE369" s="324">
        <f t="shared" ca="1" si="150"/>
        <v>871.16084794022731</v>
      </c>
      <c r="AG369" s="306">
        <f t="shared" ca="1" si="172"/>
        <v>-63.004446771244289</v>
      </c>
      <c r="AH369" s="304">
        <f t="shared" ca="1" si="173"/>
        <v>-53.39774150024823</v>
      </c>
    </row>
    <row r="370" spans="1:34" x14ac:dyDescent="0.2">
      <c r="A370" s="347">
        <f t="shared" ca="1" si="151"/>
        <v>0.01</v>
      </c>
      <c r="B370" s="304">
        <f t="shared" ca="1" si="152"/>
        <v>3.6599999999999659</v>
      </c>
      <c r="D370" s="306">
        <f t="shared" ca="1" si="153"/>
        <v>-10.76667346986306</v>
      </c>
      <c r="E370" s="307">
        <f t="shared" ca="1" si="154"/>
        <v>-61.851497792560181</v>
      </c>
      <c r="F370" s="304">
        <f t="shared" ca="1" si="155"/>
        <v>62.78159791523094</v>
      </c>
      <c r="G370" s="306">
        <f t="shared" ca="1" si="156"/>
        <v>56.604400248127789</v>
      </c>
      <c r="H370" s="307">
        <f t="shared" ca="1" si="157"/>
        <v>273.5033776344473</v>
      </c>
      <c r="I370" s="304">
        <f t="shared" ca="1" si="158"/>
        <v>279.29940154769639</v>
      </c>
      <c r="J370" s="306">
        <f t="shared" ca="1" si="159"/>
        <v>170.89022021775739</v>
      </c>
      <c r="K370" s="307">
        <f t="shared" ca="1" si="160"/>
        <v>873.8989742914614</v>
      </c>
      <c r="L370" s="304">
        <f t="shared" ca="1" si="145"/>
        <v>890.45094454087803</v>
      </c>
      <c r="M370" s="306">
        <f t="shared" ca="1" si="161"/>
        <v>1.3667170090779375</v>
      </c>
      <c r="N370" s="304">
        <f t="shared" ca="1" si="162"/>
        <v>78.30711640890884</v>
      </c>
      <c r="P370" s="310">
        <f t="shared" ca="1" si="163"/>
        <v>23</v>
      </c>
      <c r="Q370" s="304">
        <f t="shared" ca="1" si="164"/>
        <v>0</v>
      </c>
      <c r="R370" s="306">
        <f t="shared" ca="1" si="165"/>
        <v>0</v>
      </c>
      <c r="S370" s="307">
        <f t="shared" ca="1" si="166"/>
        <v>5.0829999999999913</v>
      </c>
      <c r="T370" s="304">
        <f t="shared" ca="1" si="146"/>
        <v>49.864229999999914</v>
      </c>
      <c r="U370" s="311">
        <f t="shared" ca="1" si="147"/>
        <v>0</v>
      </c>
      <c r="V370" s="306">
        <f t="shared" ca="1" si="148"/>
        <v>1.1224292014323236</v>
      </c>
      <c r="W370" s="304">
        <f t="shared" ca="1" si="149"/>
        <v>268.84527349326959</v>
      </c>
      <c r="Y370" s="314" t="str">
        <f t="shared" ca="1" si="167"/>
        <v/>
      </c>
      <c r="Z370" s="315" t="str">
        <f t="shared" ca="1" si="168"/>
        <v/>
      </c>
      <c r="AA370" s="316" t="str">
        <f t="shared" ca="1" si="169"/>
        <v/>
      </c>
      <c r="AC370" s="310" t="e">
        <f t="shared" ca="1" si="170"/>
        <v>#N/A</v>
      </c>
      <c r="AD370" s="323" t="e">
        <f t="shared" ca="1" si="171"/>
        <v>#N/A</v>
      </c>
      <c r="AE370" s="324">
        <f t="shared" ca="1" si="150"/>
        <v>873.8989742914614</v>
      </c>
      <c r="AG370" s="306">
        <f t="shared" ca="1" si="172"/>
        <v>-62.750131578994718</v>
      </c>
      <c r="AH370" s="304">
        <f t="shared" ca="1" si="173"/>
        <v>-53.143567344502749</v>
      </c>
    </row>
    <row r="371" spans="1:34" x14ac:dyDescent="0.2">
      <c r="A371" s="347">
        <f t="shared" ca="1" si="151"/>
        <v>0.01</v>
      </c>
      <c r="B371" s="304">
        <f t="shared" ca="1" si="152"/>
        <v>3.6699999999999657</v>
      </c>
      <c r="D371" s="306">
        <f t="shared" ca="1" si="153"/>
        <v>-10.71920271204946</v>
      </c>
      <c r="E371" s="307">
        <f t="shared" ca="1" si="154"/>
        <v>-61.603467194113151</v>
      </c>
      <c r="F371" s="304">
        <f t="shared" ca="1" si="155"/>
        <v>62.529101041980311</v>
      </c>
      <c r="G371" s="306">
        <f t="shared" ca="1" si="156"/>
        <v>56.497208221007291</v>
      </c>
      <c r="H371" s="307">
        <f t="shared" ca="1" si="157"/>
        <v>272.88734296250618</v>
      </c>
      <c r="I371" s="304">
        <f t="shared" ca="1" si="158"/>
        <v>278.67442739854033</v>
      </c>
      <c r="J371" s="306">
        <f t="shared" ca="1" si="159"/>
        <v>171.45572826010306</v>
      </c>
      <c r="K371" s="307">
        <f t="shared" ca="1" si="160"/>
        <v>876.63092789444613</v>
      </c>
      <c r="L371" s="304">
        <f t="shared" ca="1" si="145"/>
        <v>893.24064534384013</v>
      </c>
      <c r="M371" s="306">
        <f t="shared" ca="1" si="161"/>
        <v>1.3666456659611852</v>
      </c>
      <c r="N371" s="304">
        <f t="shared" ca="1" si="162"/>
        <v>78.303028749421628</v>
      </c>
      <c r="P371" s="310">
        <f t="shared" ca="1" si="163"/>
        <v>23</v>
      </c>
      <c r="Q371" s="304">
        <f t="shared" ca="1" si="164"/>
        <v>0</v>
      </c>
      <c r="R371" s="306">
        <f t="shared" ca="1" si="165"/>
        <v>0</v>
      </c>
      <c r="S371" s="307">
        <f t="shared" ca="1" si="166"/>
        <v>5.0829999999999913</v>
      </c>
      <c r="T371" s="304">
        <f t="shared" ca="1" si="146"/>
        <v>49.864229999999914</v>
      </c>
      <c r="U371" s="311">
        <f t="shared" ca="1" si="147"/>
        <v>0</v>
      </c>
      <c r="V371" s="306">
        <f t="shared" ca="1" si="148"/>
        <v>1.1221220126102021</v>
      </c>
      <c r="W371" s="304">
        <f t="shared" ca="1" si="149"/>
        <v>267.57020743786796</v>
      </c>
      <c r="Y371" s="314" t="str">
        <f t="shared" ca="1" si="167"/>
        <v/>
      </c>
      <c r="Z371" s="315" t="str">
        <f t="shared" ca="1" si="168"/>
        <v/>
      </c>
      <c r="AA371" s="316" t="str">
        <f t="shared" ca="1" si="169"/>
        <v/>
      </c>
      <c r="AC371" s="310" t="e">
        <f t="shared" ca="1" si="170"/>
        <v>#N/A</v>
      </c>
      <c r="AD371" s="323" t="e">
        <f t="shared" ca="1" si="171"/>
        <v>#N/A</v>
      </c>
      <c r="AE371" s="324">
        <f t="shared" ca="1" si="150"/>
        <v>876.63092789444613</v>
      </c>
      <c r="AG371" s="306">
        <f t="shared" ca="1" si="172"/>
        <v>-62.497485836021653</v>
      </c>
      <c r="AH371" s="304">
        <f t="shared" ca="1" si="173"/>
        <v>-52.891063051990962</v>
      </c>
    </row>
    <row r="372" spans="1:34" x14ac:dyDescent="0.2">
      <c r="A372" s="347">
        <f t="shared" ca="1" si="151"/>
        <v>0.01</v>
      </c>
      <c r="B372" s="304">
        <f t="shared" ca="1" si="152"/>
        <v>3.6799999999999655</v>
      </c>
      <c r="D372" s="306">
        <f t="shared" ca="1" si="153"/>
        <v>-10.67204176327397</v>
      </c>
      <c r="E372" s="307">
        <f t="shared" ca="1" si="154"/>
        <v>-61.35706245612095</v>
      </c>
      <c r="F372" s="304">
        <f t="shared" ca="1" si="155"/>
        <v>62.278259357832013</v>
      </c>
      <c r="G372" s="306">
        <f t="shared" ca="1" si="156"/>
        <v>56.390487803374555</v>
      </c>
      <c r="H372" s="307">
        <f t="shared" ca="1" si="157"/>
        <v>272.27377233794499</v>
      </c>
      <c r="I372" s="304">
        <f t="shared" ca="1" si="158"/>
        <v>278.05196316127251</v>
      </c>
      <c r="J372" s="306">
        <f t="shared" ca="1" si="159"/>
        <v>172.02016674022497</v>
      </c>
      <c r="K372" s="307">
        <f t="shared" ca="1" si="160"/>
        <v>879.35673347094837</v>
      </c>
      <c r="L372" s="304">
        <f t="shared" ca="1" si="145"/>
        <v>896.02410819465763</v>
      </c>
      <c r="M372" s="306">
        <f t="shared" ca="1" si="161"/>
        <v>1.3665741384831751</v>
      </c>
      <c r="N372" s="304">
        <f t="shared" ca="1" si="162"/>
        <v>78.298930526812427</v>
      </c>
      <c r="P372" s="310">
        <f t="shared" ca="1" si="163"/>
        <v>23</v>
      </c>
      <c r="Q372" s="304">
        <f t="shared" ca="1" si="164"/>
        <v>0</v>
      </c>
      <c r="R372" s="306">
        <f t="shared" ca="1" si="165"/>
        <v>0</v>
      </c>
      <c r="S372" s="307">
        <f t="shared" ca="1" si="166"/>
        <v>5.0829999999999913</v>
      </c>
      <c r="T372" s="304">
        <f t="shared" ca="1" si="146"/>
        <v>49.864229999999914</v>
      </c>
      <c r="U372" s="311">
        <f t="shared" ca="1" si="147"/>
        <v>0</v>
      </c>
      <c r="V372" s="306">
        <f t="shared" ca="1" si="148"/>
        <v>1.1218155952070046</v>
      </c>
      <c r="W372" s="304">
        <f t="shared" ca="1" si="149"/>
        <v>266.30348081849036</v>
      </c>
      <c r="Y372" s="314" t="str">
        <f t="shared" ca="1" si="167"/>
        <v/>
      </c>
      <c r="Z372" s="315" t="str">
        <f t="shared" ca="1" si="168"/>
        <v/>
      </c>
      <c r="AA372" s="316" t="str">
        <f t="shared" ca="1" si="169"/>
        <v/>
      </c>
      <c r="AC372" s="310" t="e">
        <f t="shared" ca="1" si="170"/>
        <v>#N/A</v>
      </c>
      <c r="AD372" s="323" t="e">
        <f t="shared" ca="1" si="171"/>
        <v>#N/A</v>
      </c>
      <c r="AE372" s="324">
        <f t="shared" ca="1" si="150"/>
        <v>879.35673347094837</v>
      </c>
      <c r="AG372" s="306">
        <f t="shared" ca="1" si="172"/>
        <v>-62.246494854982245</v>
      </c>
      <c r="AH372" s="304">
        <f t="shared" ca="1" si="173"/>
        <v>-52.640213936232229</v>
      </c>
    </row>
    <row r="373" spans="1:34" x14ac:dyDescent="0.2">
      <c r="A373" s="347">
        <f t="shared" ca="1" si="151"/>
        <v>0.01</v>
      </c>
      <c r="B373" s="304">
        <f t="shared" ca="1" si="152"/>
        <v>3.6899999999999653</v>
      </c>
      <c r="D373" s="306">
        <f t="shared" ca="1" si="153"/>
        <v>-10.625187902052915</v>
      </c>
      <c r="E373" s="307">
        <f t="shared" ca="1" si="154"/>
        <v>-61.112269311426658</v>
      </c>
      <c r="F373" s="304">
        <f t="shared" ca="1" si="155"/>
        <v>62.029058338380992</v>
      </c>
      <c r="G373" s="306">
        <f t="shared" ca="1" si="156"/>
        <v>56.284235924354029</v>
      </c>
      <c r="H373" s="307">
        <f t="shared" ca="1" si="157"/>
        <v>271.66264964483071</v>
      </c>
      <c r="I373" s="304">
        <f t="shared" ca="1" si="158"/>
        <v>277.43199243353024</v>
      </c>
      <c r="J373" s="306">
        <f t="shared" ca="1" si="159"/>
        <v>172.58354035886362</v>
      </c>
      <c r="K373" s="307">
        <f t="shared" ca="1" si="160"/>
        <v>882.0764155808622</v>
      </c>
      <c r="L373" s="304">
        <f t="shared" ca="1" si="145"/>
        <v>898.80135810243496</v>
      </c>
      <c r="M373" s="306">
        <f t="shared" ca="1" si="161"/>
        <v>1.3665024263976806</v>
      </c>
      <c r="N373" s="304">
        <f t="shared" ca="1" si="162"/>
        <v>78.29482172697351</v>
      </c>
      <c r="P373" s="310">
        <f t="shared" ca="1" si="163"/>
        <v>23</v>
      </c>
      <c r="Q373" s="304">
        <f t="shared" ca="1" si="164"/>
        <v>0</v>
      </c>
      <c r="R373" s="306">
        <f t="shared" ca="1" si="165"/>
        <v>0</v>
      </c>
      <c r="S373" s="307">
        <f t="shared" ca="1" si="166"/>
        <v>5.0829999999999913</v>
      </c>
      <c r="T373" s="304">
        <f t="shared" ca="1" si="146"/>
        <v>49.864229999999914</v>
      </c>
      <c r="U373" s="311">
        <f t="shared" ca="1" si="147"/>
        <v>0</v>
      </c>
      <c r="V373" s="306">
        <f t="shared" ca="1" si="148"/>
        <v>1.121509945890216</v>
      </c>
      <c r="W373" s="304">
        <f t="shared" ca="1" si="149"/>
        <v>265.04502062076455</v>
      </c>
      <c r="Y373" s="314" t="str">
        <f t="shared" ca="1" si="167"/>
        <v/>
      </c>
      <c r="Z373" s="315" t="str">
        <f t="shared" ca="1" si="168"/>
        <v/>
      </c>
      <c r="AA373" s="316" t="str">
        <f t="shared" ca="1" si="169"/>
        <v/>
      </c>
      <c r="AC373" s="310" t="e">
        <f t="shared" ca="1" si="170"/>
        <v>#N/A</v>
      </c>
      <c r="AD373" s="323" t="e">
        <f t="shared" ca="1" si="171"/>
        <v>#N/A</v>
      </c>
      <c r="AE373" s="324">
        <f t="shared" ca="1" si="150"/>
        <v>882.0764155808622</v>
      </c>
      <c r="AG373" s="306">
        <f t="shared" ca="1" si="172"/>
        <v>-61.997144110633045</v>
      </c>
      <c r="AH373" s="304">
        <f t="shared" ca="1" si="173"/>
        <v>-52.391005472848875</v>
      </c>
    </row>
    <row r="374" spans="1:34" x14ac:dyDescent="0.2">
      <c r="A374" s="347">
        <f t="shared" ca="1" si="151"/>
        <v>0.01</v>
      </c>
      <c r="B374" s="304">
        <f t="shared" ca="1" si="152"/>
        <v>3.6999999999999651</v>
      </c>
      <c r="D374" s="306">
        <f t="shared" ca="1" si="153"/>
        <v>-10.578638436871596</v>
      </c>
      <c r="E374" s="307">
        <f t="shared" ca="1" si="154"/>
        <v>-60.869073649993275</v>
      </c>
      <c r="F374" s="304">
        <f t="shared" ca="1" si="155"/>
        <v>61.781483619174786</v>
      </c>
      <c r="G374" s="306">
        <f t="shared" ca="1" si="156"/>
        <v>56.178449539985316</v>
      </c>
      <c r="H374" s="307">
        <f t="shared" ca="1" si="157"/>
        <v>271.0539589083308</v>
      </c>
      <c r="I374" s="304">
        <f t="shared" ca="1" si="158"/>
        <v>276.81449895660404</v>
      </c>
      <c r="J374" s="306">
        <f t="shared" ca="1" si="159"/>
        <v>173.14585378618531</v>
      </c>
      <c r="K374" s="307">
        <f t="shared" ca="1" si="160"/>
        <v>884.78999862362798</v>
      </c>
      <c r="L374" s="304">
        <f t="shared" ca="1" si="145"/>
        <v>901.57241991297997</v>
      </c>
      <c r="M374" s="306">
        <f t="shared" ca="1" si="161"/>
        <v>1.3664305294575034</v>
      </c>
      <c r="N374" s="304">
        <f t="shared" ca="1" si="162"/>
        <v>78.290702335741457</v>
      </c>
      <c r="P374" s="310">
        <f t="shared" ca="1" si="163"/>
        <v>23</v>
      </c>
      <c r="Q374" s="304">
        <f t="shared" ca="1" si="164"/>
        <v>0</v>
      </c>
      <c r="R374" s="306">
        <f t="shared" ca="1" si="165"/>
        <v>0</v>
      </c>
      <c r="S374" s="307">
        <f t="shared" ca="1" si="166"/>
        <v>5.0829999999999913</v>
      </c>
      <c r="T374" s="304">
        <f t="shared" ca="1" si="146"/>
        <v>49.864229999999914</v>
      </c>
      <c r="U374" s="311">
        <f t="shared" ca="1" si="147"/>
        <v>0</v>
      </c>
      <c r="V374" s="306">
        <f t="shared" ca="1" si="148"/>
        <v>1.1212050613498747</v>
      </c>
      <c r="W374" s="304">
        <f t="shared" ca="1" si="149"/>
        <v>263.79475463259917</v>
      </c>
      <c r="Y374" s="314" t="str">
        <f t="shared" ca="1" si="167"/>
        <v/>
      </c>
      <c r="Z374" s="315" t="str">
        <f t="shared" ca="1" si="168"/>
        <v/>
      </c>
      <c r="AA374" s="316" t="str">
        <f t="shared" ca="1" si="169"/>
        <v/>
      </c>
      <c r="AC374" s="310" t="e">
        <f t="shared" ca="1" si="170"/>
        <v>#N/A</v>
      </c>
      <c r="AD374" s="323" t="e">
        <f t="shared" ca="1" si="171"/>
        <v>#N/A</v>
      </c>
      <c r="AE374" s="324">
        <f t="shared" ca="1" si="150"/>
        <v>884.78999862362798</v>
      </c>
      <c r="AG374" s="306">
        <f t="shared" ca="1" si="172"/>
        <v>-61.749419237679696</v>
      </c>
      <c r="AH374" s="304">
        <f t="shared" ca="1" si="173"/>
        <v>-52.143423297415893</v>
      </c>
    </row>
    <row r="375" spans="1:34" x14ac:dyDescent="0.2">
      <c r="A375" s="347">
        <f t="shared" ca="1" si="151"/>
        <v>0.01</v>
      </c>
      <c r="B375" s="304">
        <f t="shared" ca="1" si="152"/>
        <v>3.7099999999999649</v>
      </c>
      <c r="D375" s="306">
        <f t="shared" ca="1" si="153"/>
        <v>-10.532390705787764</v>
      </c>
      <c r="E375" s="307">
        <f t="shared" ca="1" si="154"/>
        <v>-60.627461516824688</v>
      </c>
      <c r="F375" s="304">
        <f t="shared" ca="1" si="155"/>
        <v>61.535520993597046</v>
      </c>
      <c r="G375" s="306">
        <f t="shared" ca="1" si="156"/>
        <v>56.073125632927436</v>
      </c>
      <c r="H375" s="307">
        <f t="shared" ca="1" si="157"/>
        <v>270.44768429316252</v>
      </c>
      <c r="I375" s="304">
        <f t="shared" ca="1" si="158"/>
        <v>276.19946661385893</v>
      </c>
      <c r="J375" s="306">
        <f t="shared" ca="1" si="159"/>
        <v>173.70711166204987</v>
      </c>
      <c r="K375" s="307">
        <f t="shared" ca="1" si="160"/>
        <v>887.49750683963543</v>
      </c>
      <c r="L375" s="304">
        <f t="shared" ca="1" si="145"/>
        <v>904.33731831023124</v>
      </c>
      <c r="M375" s="306">
        <f t="shared" ca="1" si="161"/>
        <v>1.366358447414473</v>
      </c>
      <c r="N375" s="304">
        <f t="shared" ca="1" si="162"/>
        <v>78.28657233889713</v>
      </c>
      <c r="P375" s="310">
        <f t="shared" ca="1" si="163"/>
        <v>23</v>
      </c>
      <c r="Q375" s="304">
        <f t="shared" ca="1" si="164"/>
        <v>0</v>
      </c>
      <c r="R375" s="306">
        <f t="shared" ca="1" si="165"/>
        <v>0</v>
      </c>
      <c r="S375" s="307">
        <f t="shared" ca="1" si="166"/>
        <v>5.0829999999999913</v>
      </c>
      <c r="T375" s="304">
        <f t="shared" ca="1" si="146"/>
        <v>49.864229999999914</v>
      </c>
      <c r="U375" s="311">
        <f t="shared" ca="1" si="147"/>
        <v>0</v>
      </c>
      <c r="V375" s="306">
        <f t="shared" ca="1" si="148"/>
        <v>1.1209009382983719</v>
      </c>
      <c r="W375" s="304">
        <f t="shared" ca="1" si="149"/>
        <v>262.55261143358979</v>
      </c>
      <c r="Y375" s="314" t="str">
        <f t="shared" ca="1" si="167"/>
        <v/>
      </c>
      <c r="Z375" s="315" t="str">
        <f t="shared" ca="1" si="168"/>
        <v/>
      </c>
      <c r="AA375" s="316" t="str">
        <f t="shared" ca="1" si="169"/>
        <v/>
      </c>
      <c r="AC375" s="310" t="e">
        <f t="shared" ca="1" si="170"/>
        <v>#N/A</v>
      </c>
      <c r="AD375" s="323" t="e">
        <f t="shared" ca="1" si="171"/>
        <v>#N/A</v>
      </c>
      <c r="AE375" s="324">
        <f t="shared" ca="1" si="150"/>
        <v>887.49750683963543</v>
      </c>
      <c r="AG375" s="306">
        <f t="shared" ca="1" si="172"/>
        <v>-61.50330602866039</v>
      </c>
      <c r="AH375" s="304">
        <f t="shared" ca="1" si="173"/>
        <v>-51.897453203344405</v>
      </c>
    </row>
    <row r="376" spans="1:34" x14ac:dyDescent="0.2">
      <c r="A376" s="347">
        <f t="shared" ca="1" si="151"/>
        <v>0.01</v>
      </c>
      <c r="B376" s="304">
        <f t="shared" ca="1" si="152"/>
        <v>3.7199999999999647</v>
      </c>
      <c r="D376" s="306">
        <f t="shared" ca="1" si="153"/>
        <v>-10.486442076041014</v>
      </c>
      <c r="E376" s="307">
        <f t="shared" ca="1" si="154"/>
        <v>-60.387419109918326</v>
      </c>
      <c r="F376" s="304">
        <f t="shared" ca="1" si="155"/>
        <v>61.291156410783216</v>
      </c>
      <c r="G376" s="306">
        <f t="shared" ca="1" si="156"/>
        <v>55.968261212167029</v>
      </c>
      <c r="H376" s="307">
        <f t="shared" ca="1" si="157"/>
        <v>269.84381010206334</v>
      </c>
      <c r="I376" s="304">
        <f t="shared" ca="1" si="158"/>
        <v>275.58687942917709</v>
      </c>
      <c r="J376" s="306">
        <f t="shared" ca="1" si="159"/>
        <v>174.26731859627535</v>
      </c>
      <c r="K376" s="307">
        <f t="shared" ca="1" si="160"/>
        <v>890.19896431161158</v>
      </c>
      <c r="L376" s="304">
        <f t="shared" ca="1" si="145"/>
        <v>907.09607781767068</v>
      </c>
      <c r="M376" s="306">
        <f t="shared" ca="1" si="161"/>
        <v>1.366286180019443</v>
      </c>
      <c r="N376" s="304">
        <f t="shared" ca="1" si="162"/>
        <v>78.282431722165512</v>
      </c>
      <c r="P376" s="310">
        <f t="shared" ca="1" si="163"/>
        <v>23</v>
      </c>
      <c r="Q376" s="304">
        <f t="shared" ca="1" si="164"/>
        <v>0</v>
      </c>
      <c r="R376" s="306">
        <f t="shared" ca="1" si="165"/>
        <v>0</v>
      </c>
      <c r="S376" s="307">
        <f t="shared" ca="1" si="166"/>
        <v>5.0829999999999913</v>
      </c>
      <c r="T376" s="304">
        <f t="shared" ca="1" si="146"/>
        <v>49.864229999999914</v>
      </c>
      <c r="U376" s="311">
        <f t="shared" ca="1" si="147"/>
        <v>0</v>
      </c>
      <c r="V376" s="306">
        <f t="shared" ca="1" si="148"/>
        <v>1.120597573470248</v>
      </c>
      <c r="W376" s="304">
        <f t="shared" ca="1" si="149"/>
        <v>261.3185203845884</v>
      </c>
      <c r="Y376" s="314" t="str">
        <f t="shared" ca="1" si="167"/>
        <v/>
      </c>
      <c r="Z376" s="315" t="str">
        <f t="shared" ca="1" si="168"/>
        <v/>
      </c>
      <c r="AA376" s="316" t="str">
        <f t="shared" ca="1" si="169"/>
        <v/>
      </c>
      <c r="AC376" s="310" t="e">
        <f t="shared" ca="1" si="170"/>
        <v>#N/A</v>
      </c>
      <c r="AD376" s="323" t="e">
        <f t="shared" ca="1" si="171"/>
        <v>#N/A</v>
      </c>
      <c r="AE376" s="324">
        <f t="shared" ca="1" si="150"/>
        <v>890.19896431161158</v>
      </c>
      <c r="AG376" s="306">
        <f t="shared" ca="1" si="172"/>
        <v>-61.25879043186162</v>
      </c>
      <c r="AH376" s="304">
        <f t="shared" ca="1" si="173"/>
        <v>-51.653081139797408</v>
      </c>
    </row>
    <row r="377" spans="1:34" x14ac:dyDescent="0.2">
      <c r="A377" s="347">
        <f t="shared" ca="1" si="151"/>
        <v>0.01</v>
      </c>
      <c r="B377" s="304">
        <f t="shared" ca="1" si="152"/>
        <v>3.7299999999999645</v>
      </c>
      <c r="D377" s="306">
        <f t="shared" ca="1" si="153"/>
        <v>-10.44078994366839</v>
      </c>
      <c r="E377" s="307">
        <f t="shared" ca="1" si="154"/>
        <v>-60.148932778249495</v>
      </c>
      <c r="F377" s="304">
        <f t="shared" ca="1" si="155"/>
        <v>61.048375973568561</v>
      </c>
      <c r="G377" s="306">
        <f t="shared" ca="1" si="156"/>
        <v>55.863853312730342</v>
      </c>
      <c r="H377" s="307">
        <f t="shared" ca="1" si="157"/>
        <v>269.24232077428087</v>
      </c>
      <c r="I377" s="304">
        <f t="shared" ca="1" si="158"/>
        <v>274.97672156542092</v>
      </c>
      <c r="J377" s="306">
        <f t="shared" ca="1" si="159"/>
        <v>174.82647916889982</v>
      </c>
      <c r="K377" s="307">
        <f t="shared" ca="1" si="160"/>
        <v>892.89439496599334</v>
      </c>
      <c r="L377" s="304">
        <f t="shared" ca="1" si="145"/>
        <v>909.84872279971967</v>
      </c>
      <c r="M377" s="306">
        <f t="shared" ca="1" si="161"/>
        <v>1.36621372702229</v>
      </c>
      <c r="N377" s="304">
        <f t="shared" ca="1" si="162"/>
        <v>78.278280471215567</v>
      </c>
      <c r="P377" s="310">
        <f t="shared" ca="1" si="163"/>
        <v>23</v>
      </c>
      <c r="Q377" s="304">
        <f t="shared" ca="1" si="164"/>
        <v>0</v>
      </c>
      <c r="R377" s="306">
        <f t="shared" ca="1" si="165"/>
        <v>0</v>
      </c>
      <c r="S377" s="307">
        <f t="shared" ca="1" si="166"/>
        <v>5.0829999999999913</v>
      </c>
      <c r="T377" s="304">
        <f t="shared" ca="1" si="146"/>
        <v>49.864229999999914</v>
      </c>
      <c r="U377" s="311">
        <f t="shared" ca="1" si="147"/>
        <v>0</v>
      </c>
      <c r="V377" s="306">
        <f t="shared" ca="1" si="148"/>
        <v>1.1202949636219972</v>
      </c>
      <c r="W377" s="304">
        <f t="shared" ca="1" si="149"/>
        <v>260.0924116174341</v>
      </c>
      <c r="Y377" s="314" t="str">
        <f t="shared" ca="1" si="167"/>
        <v/>
      </c>
      <c r="Z377" s="315" t="str">
        <f t="shared" ca="1" si="168"/>
        <v/>
      </c>
      <c r="AA377" s="316" t="str">
        <f t="shared" ca="1" si="169"/>
        <v/>
      </c>
      <c r="AC377" s="310" t="e">
        <f t="shared" ca="1" si="170"/>
        <v>#N/A</v>
      </c>
      <c r="AD377" s="323" t="e">
        <f t="shared" ca="1" si="171"/>
        <v>#N/A</v>
      </c>
      <c r="AE377" s="324">
        <f t="shared" ca="1" si="150"/>
        <v>892.89439496599334</v>
      </c>
      <c r="AG377" s="306">
        <f t="shared" ca="1" si="172"/>
        <v>-61.015858549266127</v>
      </c>
      <c r="AH377" s="304">
        <f t="shared" ca="1" si="173"/>
        <v>-51.410293209637778</v>
      </c>
    </row>
    <row r="378" spans="1:34" x14ac:dyDescent="0.2">
      <c r="A378" s="347">
        <f t="shared" ca="1" si="151"/>
        <v>0.01</v>
      </c>
      <c r="B378" s="304">
        <f t="shared" ca="1" si="152"/>
        <v>3.7399999999999642</v>
      </c>
      <c r="D378" s="306">
        <f t="shared" ca="1" si="153"/>
        <v>-10.395431733125813</v>
      </c>
      <c r="E378" s="307">
        <f t="shared" ca="1" si="154"/>
        <v>-59.91198901978683</v>
      </c>
      <c r="F378" s="304">
        <f t="shared" ca="1" si="155"/>
        <v>60.807165936467854</v>
      </c>
      <c r="G378" s="306">
        <f t="shared" ca="1" si="156"/>
        <v>55.759898995399084</v>
      </c>
      <c r="H378" s="307">
        <f t="shared" ca="1" si="157"/>
        <v>268.643200884083</v>
      </c>
      <c r="I378" s="304">
        <f t="shared" ca="1" si="158"/>
        <v>274.36897732291612</v>
      </c>
      <c r="J378" s="306">
        <f t="shared" ca="1" si="159"/>
        <v>175.38459793044046</v>
      </c>
      <c r="K378" s="307">
        <f t="shared" ca="1" si="160"/>
        <v>895.58382257428514</v>
      </c>
      <c r="L378" s="304">
        <f t="shared" ca="1" si="145"/>
        <v>912.59527746312108</v>
      </c>
      <c r="M378" s="306">
        <f t="shared" ca="1" si="161"/>
        <v>1.3661410881719107</v>
      </c>
      <c r="N378" s="304">
        <f t="shared" ca="1" si="162"/>
        <v>78.274118571660154</v>
      </c>
      <c r="P378" s="310">
        <f t="shared" ca="1" si="163"/>
        <v>23</v>
      </c>
      <c r="Q378" s="304">
        <f t="shared" ca="1" si="164"/>
        <v>0</v>
      </c>
      <c r="R378" s="306">
        <f t="shared" ca="1" si="165"/>
        <v>0</v>
      </c>
      <c r="S378" s="307">
        <f t="shared" ca="1" si="166"/>
        <v>5.0829999999999913</v>
      </c>
      <c r="T378" s="304">
        <f t="shared" ca="1" si="146"/>
        <v>49.864229999999914</v>
      </c>
      <c r="U378" s="311">
        <f t="shared" ca="1" si="147"/>
        <v>0</v>
      </c>
      <c r="V378" s="306">
        <f t="shared" ca="1" si="148"/>
        <v>1.1199931055318713</v>
      </c>
      <c r="W378" s="304">
        <f t="shared" ca="1" si="149"/>
        <v>258.87421602484045</v>
      </c>
      <c r="Y378" s="314" t="str">
        <f t="shared" ca="1" si="167"/>
        <v/>
      </c>
      <c r="Z378" s="315" t="str">
        <f t="shared" ca="1" si="168"/>
        <v/>
      </c>
      <c r="AA378" s="316" t="str">
        <f t="shared" ca="1" si="169"/>
        <v/>
      </c>
      <c r="AC378" s="310" t="e">
        <f t="shared" ca="1" si="170"/>
        <v>#N/A</v>
      </c>
      <c r="AD378" s="323" t="e">
        <f t="shared" ca="1" si="171"/>
        <v>#N/A</v>
      </c>
      <c r="AE378" s="324">
        <f t="shared" ca="1" si="150"/>
        <v>895.58382257428514</v>
      </c>
      <c r="AG378" s="306">
        <f t="shared" ca="1" si="172"/>
        <v>-60.774496634532603</v>
      </c>
      <c r="AH378" s="304">
        <f t="shared" ca="1" si="173"/>
        <v>-51.169075667407938</v>
      </c>
    </row>
    <row r="379" spans="1:34" x14ac:dyDescent="0.2">
      <c r="A379" s="347">
        <f t="shared" ca="1" si="151"/>
        <v>0.01</v>
      </c>
      <c r="B379" s="304">
        <f t="shared" ca="1" si="152"/>
        <v>3.749999999999964</v>
      </c>
      <c r="D379" s="306">
        <f t="shared" ca="1" si="153"/>
        <v>-10.350364896915325</v>
      </c>
      <c r="E379" s="307">
        <f t="shared" ca="1" si="154"/>
        <v>-59.676574479538004</v>
      </c>
      <c r="F379" s="304">
        <f t="shared" ca="1" si="155"/>
        <v>60.567512703685821</v>
      </c>
      <c r="G379" s="306">
        <f t="shared" ca="1" si="156"/>
        <v>55.656395346429932</v>
      </c>
      <c r="H379" s="307">
        <f t="shared" ca="1" si="157"/>
        <v>268.04643513928761</v>
      </c>
      <c r="I379" s="304">
        <f t="shared" ca="1" si="158"/>
        <v>273.76363113795526</v>
      </c>
      <c r="J379" s="306">
        <f t="shared" ca="1" si="159"/>
        <v>175.94167940214962</v>
      </c>
      <c r="K379" s="307">
        <f t="shared" ca="1" si="160"/>
        <v>898.26727075440203</v>
      </c>
      <c r="L379" s="304">
        <f t="shared" ca="1" si="145"/>
        <v>915.33576585830576</v>
      </c>
      <c r="M379" s="306">
        <f t="shared" ca="1" si="161"/>
        <v>1.3660682632162198</v>
      </c>
      <c r="N379" s="304">
        <f t="shared" ca="1" si="162"/>
        <v>78.269946009055829</v>
      </c>
      <c r="P379" s="310">
        <f t="shared" ca="1" si="163"/>
        <v>23</v>
      </c>
      <c r="Q379" s="304">
        <f t="shared" ca="1" si="164"/>
        <v>0</v>
      </c>
      <c r="R379" s="306">
        <f t="shared" ca="1" si="165"/>
        <v>0</v>
      </c>
      <c r="S379" s="307">
        <f t="shared" ca="1" si="166"/>
        <v>5.0829999999999913</v>
      </c>
      <c r="T379" s="304">
        <f t="shared" ca="1" si="146"/>
        <v>49.864229999999914</v>
      </c>
      <c r="U379" s="311">
        <f t="shared" ca="1" si="147"/>
        <v>0</v>
      </c>
      <c r="V379" s="306">
        <f t="shared" ca="1" si="148"/>
        <v>1.1196919959996838</v>
      </c>
      <c r="W379" s="304">
        <f t="shared" ca="1" si="149"/>
        <v>257.66386525043873</v>
      </c>
      <c r="Y379" s="314" t="str">
        <f t="shared" ca="1" si="167"/>
        <v/>
      </c>
      <c r="Z379" s="315" t="str">
        <f t="shared" ca="1" si="168"/>
        <v/>
      </c>
      <c r="AA379" s="316" t="str">
        <f t="shared" ca="1" si="169"/>
        <v/>
      </c>
      <c r="AC379" s="310" t="e">
        <f t="shared" ca="1" si="170"/>
        <v>#N/A</v>
      </c>
      <c r="AD379" s="323" t="e">
        <f t="shared" ca="1" si="171"/>
        <v>#N/A</v>
      </c>
      <c r="AE379" s="324">
        <f t="shared" ca="1" si="150"/>
        <v>898.26727075440203</v>
      </c>
      <c r="AG379" s="306">
        <f t="shared" ca="1" si="172"/>
        <v>-60.53469109100611</v>
      </c>
      <c r="AH379" s="304">
        <f t="shared" ca="1" si="173"/>
        <v>-50.929414917340331</v>
      </c>
    </row>
    <row r="380" spans="1:34" x14ac:dyDescent="0.2">
      <c r="A380" s="347">
        <f t="shared" ca="1" si="151"/>
        <v>0.01</v>
      </c>
      <c r="B380" s="304">
        <f t="shared" ca="1" si="152"/>
        <v>3.7599999999999638</v>
      </c>
      <c r="D380" s="306">
        <f t="shared" ca="1" si="153"/>
        <v>-10.305586915218088</v>
      </c>
      <c r="E380" s="307">
        <f t="shared" ca="1" si="154"/>
        <v>-59.442675947625602</v>
      </c>
      <c r="F380" s="304">
        <f t="shared" ca="1" si="155"/>
        <v>60.329402827158347</v>
      </c>
      <c r="G380" s="306">
        <f t="shared" ca="1" si="156"/>
        <v>55.553339477277753</v>
      </c>
      <c r="H380" s="307">
        <f t="shared" ca="1" si="157"/>
        <v>267.45200837981133</v>
      </c>
      <c r="I380" s="304">
        <f t="shared" ca="1" si="158"/>
        <v>273.1606675813199</v>
      </c>
      <c r="J380" s="306">
        <f t="shared" ca="1" si="159"/>
        <v>176.49772807626815</v>
      </c>
      <c r="K380" s="307">
        <f t="shared" ca="1" si="160"/>
        <v>900.94476297199753</v>
      </c>
      <c r="L380" s="304">
        <f t="shared" ca="1" si="145"/>
        <v>918.07021188074339</v>
      </c>
      <c r="M380" s="306">
        <f t="shared" ca="1" si="161"/>
        <v>1.3659952519021485</v>
      </c>
      <c r="N380" s="304">
        <f t="shared" ca="1" si="162"/>
        <v>78.265762768902846</v>
      </c>
      <c r="P380" s="310">
        <f t="shared" ca="1" si="163"/>
        <v>23</v>
      </c>
      <c r="Q380" s="304">
        <f t="shared" ca="1" si="164"/>
        <v>0</v>
      </c>
      <c r="R380" s="306">
        <f t="shared" ca="1" si="165"/>
        <v>0</v>
      </c>
      <c r="S380" s="307">
        <f t="shared" ca="1" si="166"/>
        <v>5.0829999999999913</v>
      </c>
      <c r="T380" s="304">
        <f t="shared" ca="1" si="146"/>
        <v>49.864229999999914</v>
      </c>
      <c r="U380" s="311">
        <f t="shared" ca="1" si="147"/>
        <v>0</v>
      </c>
      <c r="V380" s="306">
        <f t="shared" ca="1" si="148"/>
        <v>1.1193916318466206</v>
      </c>
      <c r="W380" s="304">
        <f t="shared" ca="1" si="149"/>
        <v>256.46129167897135</v>
      </c>
      <c r="Y380" s="314" t="str">
        <f t="shared" ca="1" si="167"/>
        <v/>
      </c>
      <c r="Z380" s="315" t="str">
        <f t="shared" ca="1" si="168"/>
        <v/>
      </c>
      <c r="AA380" s="316" t="str">
        <f t="shared" ca="1" si="169"/>
        <v/>
      </c>
      <c r="AC380" s="310" t="e">
        <f t="shared" ca="1" si="170"/>
        <v>#N/A</v>
      </c>
      <c r="AD380" s="323" t="e">
        <f t="shared" ca="1" si="171"/>
        <v>#N/A</v>
      </c>
      <c r="AE380" s="324">
        <f t="shared" ca="1" si="150"/>
        <v>900.94476297199753</v>
      </c>
      <c r="AG380" s="306">
        <f t="shared" ca="1" si="172"/>
        <v>-60.296428469759306</v>
      </c>
      <c r="AH380" s="304">
        <f t="shared" ca="1" si="173"/>
        <v>-50.691297511398616</v>
      </c>
    </row>
    <row r="381" spans="1:34" x14ac:dyDescent="0.2">
      <c r="A381" s="347">
        <f t="shared" ca="1" si="151"/>
        <v>0.01</v>
      </c>
      <c r="B381" s="304">
        <f t="shared" ca="1" si="152"/>
        <v>3.7699999999999636</v>
      </c>
      <c r="D381" s="306">
        <f t="shared" ca="1" si="153"/>
        <v>-10.261095295532849</v>
      </c>
      <c r="E381" s="307">
        <f t="shared" ca="1" si="154"/>
        <v>-59.21028035739203</v>
      </c>
      <c r="F381" s="304">
        <f t="shared" ca="1" si="155"/>
        <v>60.092823004623199</v>
      </c>
      <c r="G381" s="306">
        <f t="shared" ca="1" si="156"/>
        <v>55.450728524322422</v>
      </c>
      <c r="H381" s="307">
        <f t="shared" ca="1" si="157"/>
        <v>266.8599055762374</v>
      </c>
      <c r="I381" s="304">
        <f t="shared" ca="1" si="158"/>
        <v>272.56007135682302</v>
      </c>
      <c r="J381" s="306">
        <f t="shared" ca="1" si="159"/>
        <v>177.05274841627616</v>
      </c>
      <c r="K381" s="307">
        <f t="shared" ca="1" si="160"/>
        <v>903.61632254177778</v>
      </c>
      <c r="L381" s="304">
        <f t="shared" ca="1" si="145"/>
        <v>920.79863927228052</v>
      </c>
      <c r="M381" s="306">
        <f t="shared" ca="1" si="161"/>
        <v>1.3659220539756411</v>
      </c>
      <c r="N381" s="304">
        <f t="shared" ca="1" si="162"/>
        <v>78.261568836644869</v>
      </c>
      <c r="P381" s="310">
        <f t="shared" ca="1" si="163"/>
        <v>23</v>
      </c>
      <c r="Q381" s="304">
        <f t="shared" ca="1" si="164"/>
        <v>0</v>
      </c>
      <c r="R381" s="306">
        <f t="shared" ca="1" si="165"/>
        <v>0</v>
      </c>
      <c r="S381" s="307">
        <f t="shared" ca="1" si="166"/>
        <v>5.0829999999999913</v>
      </c>
      <c r="T381" s="304">
        <f t="shared" ca="1" si="146"/>
        <v>49.864229999999914</v>
      </c>
      <c r="U381" s="311">
        <f t="shared" ca="1" si="147"/>
        <v>0</v>
      </c>
      <c r="V381" s="306">
        <f t="shared" ca="1" si="148"/>
        <v>1.1190920099150501</v>
      </c>
      <c r="W381" s="304">
        <f t="shared" ca="1" si="149"/>
        <v>255.26642842663725</v>
      </c>
      <c r="Y381" s="314" t="str">
        <f t="shared" ca="1" si="167"/>
        <v/>
      </c>
      <c r="Z381" s="315" t="str">
        <f t="shared" ca="1" si="168"/>
        <v/>
      </c>
      <c r="AA381" s="316" t="str">
        <f t="shared" ca="1" si="169"/>
        <v/>
      </c>
      <c r="AC381" s="310" t="e">
        <f t="shared" ca="1" si="170"/>
        <v>#N/A</v>
      </c>
      <c r="AD381" s="323" t="e">
        <f t="shared" ca="1" si="171"/>
        <v>#N/A</v>
      </c>
      <c r="AE381" s="324">
        <f t="shared" ca="1" si="150"/>
        <v>903.61632254177778</v>
      </c>
      <c r="AG381" s="306">
        <f t="shared" ca="1" si="172"/>
        <v>-60.059695467663104</v>
      </c>
      <c r="AH381" s="304">
        <f t="shared" ca="1" si="173"/>
        <v>-50.454710147348372</v>
      </c>
    </row>
    <row r="382" spans="1:34" x14ac:dyDescent="0.2">
      <c r="A382" s="347">
        <f t="shared" ca="1" si="151"/>
        <v>0.01</v>
      </c>
      <c r="B382" s="304">
        <f t="shared" ca="1" si="152"/>
        <v>3.7799999999999634</v>
      </c>
      <c r="D382" s="306">
        <f t="shared" ca="1" si="153"/>
        <v>-10.216887572320161</v>
      </c>
      <c r="E382" s="307">
        <f t="shared" ca="1" si="154"/>
        <v>-58.979374783533679</v>
      </c>
      <c r="F382" s="304">
        <f t="shared" ca="1" si="155"/>
        <v>59.85776007772057</v>
      </c>
      <c r="G382" s="306">
        <f t="shared" ca="1" si="156"/>
        <v>55.34855964859922</v>
      </c>
      <c r="H382" s="307">
        <f t="shared" ca="1" si="157"/>
        <v>266.27011182840204</v>
      </c>
      <c r="I382" s="304">
        <f t="shared" ca="1" si="158"/>
        <v>271.96182729986992</v>
      </c>
      <c r="J382" s="306">
        <f t="shared" ca="1" si="159"/>
        <v>177.60674485714077</v>
      </c>
      <c r="K382" s="307">
        <f t="shared" ca="1" si="160"/>
        <v>906.28197262880099</v>
      </c>
      <c r="L382" s="304">
        <f t="shared" ca="1" si="145"/>
        <v>923.52107162246182</v>
      </c>
      <c r="M382" s="306">
        <f t="shared" ca="1" si="161"/>
        <v>1.3658486691816543</v>
      </c>
      <c r="N382" s="304">
        <f t="shared" ca="1" si="162"/>
        <v>78.257364197668977</v>
      </c>
      <c r="P382" s="310">
        <f t="shared" ca="1" si="163"/>
        <v>23</v>
      </c>
      <c r="Q382" s="304">
        <f t="shared" ca="1" si="164"/>
        <v>0</v>
      </c>
      <c r="R382" s="306">
        <f t="shared" ca="1" si="165"/>
        <v>0</v>
      </c>
      <c r="S382" s="307">
        <f t="shared" ca="1" si="166"/>
        <v>5.0829999999999913</v>
      </c>
      <c r="T382" s="304">
        <f t="shared" ca="1" si="146"/>
        <v>49.864229999999914</v>
      </c>
      <c r="U382" s="311">
        <f t="shared" ca="1" si="147"/>
        <v>0</v>
      </c>
      <c r="V382" s="306">
        <f t="shared" ca="1" si="148"/>
        <v>1.1187931270683344</v>
      </c>
      <c r="W382" s="304">
        <f t="shared" ca="1" si="149"/>
        <v>254.07920933158161</v>
      </c>
      <c r="Y382" s="314" t="str">
        <f t="shared" ca="1" si="167"/>
        <v/>
      </c>
      <c r="Z382" s="315" t="str">
        <f t="shared" ca="1" si="168"/>
        <v/>
      </c>
      <c r="AA382" s="316" t="str">
        <f t="shared" ca="1" si="169"/>
        <v/>
      </c>
      <c r="AC382" s="310" t="e">
        <f t="shared" ca="1" si="170"/>
        <v>#N/A</v>
      </c>
      <c r="AD382" s="323" t="e">
        <f t="shared" ca="1" si="171"/>
        <v>#N/A</v>
      </c>
      <c r="AE382" s="324">
        <f t="shared" ca="1" si="150"/>
        <v>906.28197262880099</v>
      </c>
      <c r="AG382" s="306">
        <f t="shared" ca="1" si="172"/>
        <v>-59.82447892548727</v>
      </c>
      <c r="AH382" s="304">
        <f t="shared" ca="1" si="173"/>
        <v>-50.219639666857702</v>
      </c>
    </row>
    <row r="383" spans="1:34" x14ac:dyDescent="0.2">
      <c r="A383" s="347">
        <f t="shared" ca="1" si="151"/>
        <v>0.01</v>
      </c>
      <c r="B383" s="304">
        <f t="shared" ca="1" si="152"/>
        <v>3.7899999999999632</v>
      </c>
      <c r="D383" s="306">
        <f t="shared" ca="1" si="153"/>
        <v>-10.172961306651697</v>
      </c>
      <c r="E383" s="307">
        <f t="shared" ca="1" si="154"/>
        <v>-58.749946440263138</v>
      </c>
      <c r="F383" s="304">
        <f t="shared" ca="1" si="155"/>
        <v>59.624201030122151</v>
      </c>
      <c r="G383" s="306">
        <f t="shared" ca="1" si="156"/>
        <v>55.246830035532703</v>
      </c>
      <c r="H383" s="307">
        <f t="shared" ca="1" si="157"/>
        <v>265.6826123639994</v>
      </c>
      <c r="I383" s="304">
        <f t="shared" ca="1" si="158"/>
        <v>271.36592037603805</v>
      </c>
      <c r="J383" s="306">
        <f t="shared" ca="1" si="159"/>
        <v>178.15972180556142</v>
      </c>
      <c r="K383" s="307">
        <f t="shared" ca="1" si="160"/>
        <v>908.94173624976304</v>
      </c>
      <c r="L383" s="304">
        <f t="shared" ca="1" si="145"/>
        <v>926.23753236983907</v>
      </c>
      <c r="M383" s="306">
        <f t="shared" ca="1" si="161"/>
        <v>1.3657750972641529</v>
      </c>
      <c r="N383" s="304">
        <f t="shared" ca="1" si="162"/>
        <v>78.253148837305474</v>
      </c>
      <c r="P383" s="310">
        <f t="shared" ca="1" si="163"/>
        <v>23</v>
      </c>
      <c r="Q383" s="304">
        <f t="shared" ca="1" si="164"/>
        <v>0</v>
      </c>
      <c r="R383" s="306">
        <f t="shared" ca="1" si="165"/>
        <v>0</v>
      </c>
      <c r="S383" s="307">
        <f t="shared" ca="1" si="166"/>
        <v>5.0829999999999913</v>
      </c>
      <c r="T383" s="304">
        <f t="shared" ca="1" si="146"/>
        <v>49.864229999999914</v>
      </c>
      <c r="U383" s="311">
        <f t="shared" ca="1" si="147"/>
        <v>0</v>
      </c>
      <c r="V383" s="306">
        <f t="shared" ca="1" si="148"/>
        <v>1.1184949801906456</v>
      </c>
      <c r="W383" s="304">
        <f t="shared" ca="1" si="149"/>
        <v>252.89956894453246</v>
      </c>
      <c r="Y383" s="314" t="str">
        <f t="shared" ca="1" si="167"/>
        <v/>
      </c>
      <c r="Z383" s="315" t="str">
        <f t="shared" ca="1" si="168"/>
        <v/>
      </c>
      <c r="AA383" s="316" t="str">
        <f t="shared" ca="1" si="169"/>
        <v/>
      </c>
      <c r="AC383" s="310" t="e">
        <f t="shared" ca="1" si="170"/>
        <v>#N/A</v>
      </c>
      <c r="AD383" s="323" t="e">
        <f t="shared" ca="1" si="171"/>
        <v>#N/A</v>
      </c>
      <c r="AE383" s="324">
        <f t="shared" ca="1" si="150"/>
        <v>908.94173624976304</v>
      </c>
      <c r="AG383" s="306">
        <f t="shared" ca="1" si="172"/>
        <v>-59.590765826029397</v>
      </c>
      <c r="AH383" s="304">
        <f t="shared" ca="1" si="173"/>
        <v>-49.986073053626214</v>
      </c>
    </row>
    <row r="384" spans="1:34" x14ac:dyDescent="0.2">
      <c r="A384" s="347">
        <f t="shared" ca="1" si="151"/>
        <v>0.01</v>
      </c>
      <c r="B384" s="304">
        <f t="shared" ca="1" si="152"/>
        <v>3.799999999999963</v>
      </c>
      <c r="D384" s="306">
        <f t="shared" ca="1" si="153"/>
        <v>-10.129314085865229</v>
      </c>
      <c r="E384" s="307">
        <f t="shared" ca="1" si="154"/>
        <v>-58.521982679499672</v>
      </c>
      <c r="F384" s="304">
        <f t="shared" ca="1" si="155"/>
        <v>59.392132985688995</v>
      </c>
      <c r="G384" s="306">
        <f t="shared" ca="1" si="156"/>
        <v>55.145536894674052</v>
      </c>
      <c r="H384" s="307">
        <f t="shared" ca="1" si="157"/>
        <v>265.09739253720443</v>
      </c>
      <c r="I384" s="304">
        <f t="shared" ca="1" si="158"/>
        <v>270.77233567967482</v>
      </c>
      <c r="J384" s="306">
        <f t="shared" ca="1" si="159"/>
        <v>178.71168364021244</v>
      </c>
      <c r="K384" s="307">
        <f t="shared" ca="1" si="160"/>
        <v>911.59563627426905</v>
      </c>
      <c r="L384" s="304">
        <f t="shared" ca="1" si="145"/>
        <v>928.94804480326502</v>
      </c>
      <c r="M384" s="306">
        <f t="shared" ca="1" si="161"/>
        <v>1.3657013379661096</v>
      </c>
      <c r="N384" s="304">
        <f t="shared" ca="1" si="162"/>
        <v>78.248922740827737</v>
      </c>
      <c r="P384" s="310">
        <f t="shared" ca="1" si="163"/>
        <v>23</v>
      </c>
      <c r="Q384" s="304">
        <f t="shared" ca="1" si="164"/>
        <v>0</v>
      </c>
      <c r="R384" s="306">
        <f t="shared" ca="1" si="165"/>
        <v>0</v>
      </c>
      <c r="S384" s="307">
        <f t="shared" ca="1" si="166"/>
        <v>5.0829999999999913</v>
      </c>
      <c r="T384" s="304">
        <f t="shared" ca="1" si="146"/>
        <v>49.864229999999914</v>
      </c>
      <c r="U384" s="311">
        <f t="shared" ca="1" si="147"/>
        <v>0</v>
      </c>
      <c r="V384" s="306">
        <f t="shared" ca="1" si="148"/>
        <v>1.1181975661867822</v>
      </c>
      <c r="W384" s="304">
        <f t="shared" ca="1" si="149"/>
        <v>251.72744251957624</v>
      </c>
      <c r="Y384" s="314" t="str">
        <f t="shared" ca="1" si="167"/>
        <v/>
      </c>
      <c r="Z384" s="315" t="str">
        <f t="shared" ca="1" si="168"/>
        <v/>
      </c>
      <c r="AA384" s="316" t="str">
        <f t="shared" ca="1" si="169"/>
        <v/>
      </c>
      <c r="AC384" s="310" t="e">
        <f t="shared" ca="1" si="170"/>
        <v>#N/A</v>
      </c>
      <c r="AD384" s="323" t="e">
        <f t="shared" ca="1" si="171"/>
        <v>#N/A</v>
      </c>
      <c r="AE384" s="324">
        <f t="shared" ca="1" si="150"/>
        <v>911.59563627426905</v>
      </c>
      <c r="AG384" s="306">
        <f t="shared" ca="1" si="172"/>
        <v>-59.358543292272856</v>
      </c>
      <c r="AH384" s="304">
        <f t="shared" ca="1" si="173"/>
        <v>-49.753997431542963</v>
      </c>
    </row>
    <row r="385" spans="1:34" x14ac:dyDescent="0.2">
      <c r="A385" s="347">
        <f t="shared" ca="1" si="151"/>
        <v>0.01</v>
      </c>
      <c r="B385" s="304">
        <f t="shared" ca="1" si="152"/>
        <v>3.8099999999999627</v>
      </c>
      <c r="D385" s="306">
        <f t="shared" ca="1" si="153"/>
        <v>-10.08594352322452</v>
      </c>
      <c r="E385" s="307">
        <f t="shared" ca="1" si="154"/>
        <v>-58.295470989086645</v>
      </c>
      <c r="F385" s="304">
        <f t="shared" ca="1" si="155"/>
        <v>59.161543206656781</v>
      </c>
      <c r="G385" s="306">
        <f t="shared" ca="1" si="156"/>
        <v>55.044677459441807</v>
      </c>
      <c r="H385" s="307">
        <f t="shared" ca="1" si="157"/>
        <v>264.51443782731354</v>
      </c>
      <c r="I385" s="304">
        <f t="shared" ca="1" si="158"/>
        <v>270.18105843251431</v>
      </c>
      <c r="J385" s="306">
        <f t="shared" ca="1" si="159"/>
        <v>179.26263471198303</v>
      </c>
      <c r="K385" s="307">
        <f t="shared" ca="1" si="160"/>
        <v>914.24369542609168</v>
      </c>
      <c r="L385" s="304">
        <f t="shared" ca="1" si="145"/>
        <v>931.65263206317309</v>
      </c>
      <c r="M385" s="306">
        <f t="shared" ca="1" si="161"/>
        <v>1.3656273910295014</v>
      </c>
      <c r="N385" s="304">
        <f t="shared" ca="1" si="162"/>
        <v>78.244685893452171</v>
      </c>
      <c r="P385" s="310">
        <f t="shared" ca="1" si="163"/>
        <v>23</v>
      </c>
      <c r="Q385" s="304">
        <f t="shared" ca="1" si="164"/>
        <v>0</v>
      </c>
      <c r="R385" s="306">
        <f t="shared" ca="1" si="165"/>
        <v>0</v>
      </c>
      <c r="S385" s="307">
        <f t="shared" ca="1" si="166"/>
        <v>5.0829999999999913</v>
      </c>
      <c r="T385" s="304">
        <f t="shared" ca="1" si="146"/>
        <v>49.864229999999914</v>
      </c>
      <c r="U385" s="311">
        <f t="shared" ca="1" si="147"/>
        <v>0</v>
      </c>
      <c r="V385" s="306">
        <f t="shared" ca="1" si="148"/>
        <v>1.1179008819819869</v>
      </c>
      <c r="W385" s="304">
        <f t="shared" ca="1" si="149"/>
        <v>250.56276600507508</v>
      </c>
      <c r="Y385" s="314" t="str">
        <f t="shared" ca="1" si="167"/>
        <v/>
      </c>
      <c r="Z385" s="315" t="str">
        <f t="shared" ca="1" si="168"/>
        <v/>
      </c>
      <c r="AA385" s="316" t="str">
        <f t="shared" ca="1" si="169"/>
        <v/>
      </c>
      <c r="AC385" s="310" t="e">
        <f t="shared" ca="1" si="170"/>
        <v>#N/A</v>
      </c>
      <c r="AD385" s="323" t="e">
        <f t="shared" ca="1" si="171"/>
        <v>#N/A</v>
      </c>
      <c r="AE385" s="324">
        <f t="shared" ca="1" si="150"/>
        <v>914.24369542609168</v>
      </c>
      <c r="AG385" s="306">
        <f t="shared" ca="1" si="172"/>
        <v>-59.127798585571952</v>
      </c>
      <c r="AH385" s="304">
        <f t="shared" ca="1" si="173"/>
        <v>-49.523400062871666</v>
      </c>
    </row>
    <row r="386" spans="1:34" x14ac:dyDescent="0.2">
      <c r="A386" s="347">
        <f t="shared" ca="1" si="151"/>
        <v>0.01</v>
      </c>
      <c r="B386" s="304">
        <f t="shared" ca="1" si="152"/>
        <v>3.8199999999999625</v>
      </c>
      <c r="D386" s="306">
        <f t="shared" ca="1" si="153"/>
        <v>-10.042847257584562</v>
      </c>
      <c r="E386" s="307">
        <f t="shared" ca="1" si="154"/>
        <v>-58.070398991036214</v>
      </c>
      <c r="F386" s="304">
        <f t="shared" ca="1" si="155"/>
        <v>58.932419091848871</v>
      </c>
      <c r="G386" s="306">
        <f t="shared" ca="1" si="156"/>
        <v>54.944248986865965</v>
      </c>
      <c r="H386" s="307">
        <f t="shared" ca="1" si="157"/>
        <v>263.93373383740317</v>
      </c>
      <c r="I386" s="304">
        <f t="shared" ca="1" si="158"/>
        <v>269.59207398231109</v>
      </c>
      <c r="J386" s="306">
        <f t="shared" ca="1" si="159"/>
        <v>179.81257934421456</v>
      </c>
      <c r="K386" s="307">
        <f t="shared" ca="1" si="160"/>
        <v>916.88593628441527</v>
      </c>
      <c r="L386" s="304">
        <f t="shared" ca="1" si="145"/>
        <v>934.35131714284444</v>
      </c>
      <c r="M386" s="306">
        <f t="shared" ca="1" si="161"/>
        <v>1.3655532561953077</v>
      </c>
      <c r="N386" s="304">
        <f t="shared" ca="1" si="162"/>
        <v>78.240438280337969</v>
      </c>
      <c r="P386" s="310">
        <f t="shared" ca="1" si="163"/>
        <v>23</v>
      </c>
      <c r="Q386" s="304">
        <f t="shared" ca="1" si="164"/>
        <v>0</v>
      </c>
      <c r="R386" s="306">
        <f t="shared" ca="1" si="165"/>
        <v>0</v>
      </c>
      <c r="S386" s="307">
        <f t="shared" ca="1" si="166"/>
        <v>5.0829999999999913</v>
      </c>
      <c r="T386" s="304">
        <f t="shared" ca="1" si="146"/>
        <v>49.864229999999914</v>
      </c>
      <c r="U386" s="311">
        <f t="shared" ca="1" si="147"/>
        <v>0</v>
      </c>
      <c r="V386" s="306">
        <f t="shared" ca="1" si="148"/>
        <v>1.1176049245217687</v>
      </c>
      <c r="W386" s="304">
        <f t="shared" ca="1" si="149"/>
        <v>249.40547603471975</v>
      </c>
      <c r="Y386" s="314" t="str">
        <f t="shared" ca="1" si="167"/>
        <v/>
      </c>
      <c r="Z386" s="315" t="str">
        <f t="shared" ca="1" si="168"/>
        <v/>
      </c>
      <c r="AA386" s="316" t="str">
        <f t="shared" ca="1" si="169"/>
        <v/>
      </c>
      <c r="AC386" s="310" t="e">
        <f t="shared" ca="1" si="170"/>
        <v>#N/A</v>
      </c>
      <c r="AD386" s="323" t="e">
        <f t="shared" ca="1" si="171"/>
        <v>#N/A</v>
      </c>
      <c r="AE386" s="324">
        <f t="shared" ca="1" si="150"/>
        <v>916.88593628441527</v>
      </c>
      <c r="AG386" s="306">
        <f t="shared" ca="1" si="172"/>
        <v>-58.898519103865048</v>
      </c>
      <c r="AH386" s="304">
        <f t="shared" ca="1" si="173"/>
        <v>-49.294268346463802</v>
      </c>
    </row>
    <row r="387" spans="1:34" x14ac:dyDescent="0.2">
      <c r="A387" s="347">
        <f t="shared" ca="1" si="151"/>
        <v>0.01</v>
      </c>
      <c r="B387" s="304">
        <f t="shared" ca="1" si="152"/>
        <v>3.8299999999999623</v>
      </c>
      <c r="D387" s="306">
        <f t="shared" ca="1" si="153"/>
        <v>-10.00002295306178</v>
      </c>
      <c r="E387" s="307">
        <f t="shared" ca="1" si="154"/>
        <v>-57.846754439800378</v>
      </c>
      <c r="F387" s="304">
        <f t="shared" ca="1" si="155"/>
        <v>58.704748174916197</v>
      </c>
      <c r="G387" s="306">
        <f t="shared" ca="1" si="156"/>
        <v>54.84424875733535</v>
      </c>
      <c r="H387" s="307">
        <f t="shared" ca="1" si="157"/>
        <v>263.35526629300517</v>
      </c>
      <c r="I387" s="304">
        <f t="shared" ca="1" si="158"/>
        <v>269.0053678014923</v>
      </c>
      <c r="J387" s="306">
        <f t="shared" ca="1" si="159"/>
        <v>180.36152183293555</v>
      </c>
      <c r="K387" s="307">
        <f t="shared" ca="1" si="160"/>
        <v>919.52238128506735</v>
      </c>
      <c r="L387" s="304">
        <f t="shared" ca="1" si="145"/>
        <v>937.04412288966057</v>
      </c>
      <c r="M387" s="306">
        <f t="shared" ca="1" si="161"/>
        <v>1.365478933203508</v>
      </c>
      <c r="N387" s="304">
        <f t="shared" ca="1" si="162"/>
        <v>78.236179886587053</v>
      </c>
      <c r="P387" s="310">
        <f t="shared" ca="1" si="163"/>
        <v>23</v>
      </c>
      <c r="Q387" s="304">
        <f t="shared" ca="1" si="164"/>
        <v>0</v>
      </c>
      <c r="R387" s="306">
        <f t="shared" ca="1" si="165"/>
        <v>0</v>
      </c>
      <c r="S387" s="307">
        <f t="shared" ca="1" si="166"/>
        <v>5.0829999999999913</v>
      </c>
      <c r="T387" s="304">
        <f t="shared" ca="1" si="146"/>
        <v>49.864229999999914</v>
      </c>
      <c r="U387" s="311">
        <f t="shared" ca="1" si="147"/>
        <v>0</v>
      </c>
      <c r="V387" s="306">
        <f t="shared" ca="1" si="148"/>
        <v>1.1173096907717248</v>
      </c>
      <c r="W387" s="304">
        <f t="shared" ca="1" si="149"/>
        <v>248.25550991871788</v>
      </c>
      <c r="Y387" s="314" t="str">
        <f t="shared" ca="1" si="167"/>
        <v/>
      </c>
      <c r="Z387" s="315" t="str">
        <f t="shared" ca="1" si="168"/>
        <v/>
      </c>
      <c r="AA387" s="316" t="str">
        <f t="shared" ca="1" si="169"/>
        <v/>
      </c>
      <c r="AC387" s="310" t="e">
        <f t="shared" ca="1" si="170"/>
        <v>#N/A</v>
      </c>
      <c r="AD387" s="323" t="e">
        <f t="shared" ca="1" si="171"/>
        <v>#N/A</v>
      </c>
      <c r="AE387" s="324">
        <f t="shared" ca="1" si="150"/>
        <v>919.52238128506735</v>
      </c>
      <c r="AG387" s="306">
        <f t="shared" ca="1" si="172"/>
        <v>-58.670692379914385</v>
      </c>
      <c r="AH387" s="304">
        <f t="shared" ca="1" si="173"/>
        <v>-49.066589815998462</v>
      </c>
    </row>
    <row r="388" spans="1:34" x14ac:dyDescent="0.2">
      <c r="A388" s="347">
        <f t="shared" ca="1" si="151"/>
        <v>0.01</v>
      </c>
      <c r="B388" s="304">
        <f t="shared" ca="1" si="152"/>
        <v>3.8399999999999621</v>
      </c>
      <c r="D388" s="306">
        <f t="shared" ca="1" si="153"/>
        <v>-9.9574682987092018</v>
      </c>
      <c r="E388" s="307">
        <f t="shared" ca="1" si="154"/>
        <v>-57.62452522056806</v>
      </c>
      <c r="F388" s="304">
        <f t="shared" ca="1" si="155"/>
        <v>58.478518122603646</v>
      </c>
      <c r="G388" s="306">
        <f t="shared" ca="1" si="156"/>
        <v>54.744674074348261</v>
      </c>
      <c r="H388" s="307">
        <f t="shared" ca="1" si="157"/>
        <v>262.77902104079948</v>
      </c>
      <c r="I388" s="304">
        <f t="shared" ca="1" si="158"/>
        <v>268.42092548582639</v>
      </c>
      <c r="J388" s="306">
        <f t="shared" ca="1" si="159"/>
        <v>180.90946644709396</v>
      </c>
      <c r="K388" s="307">
        <f t="shared" ca="1" si="160"/>
        <v>922.15305272173634</v>
      </c>
      <c r="L388" s="304">
        <f t="shared" ref="L388:L451" ca="1" si="174">SQRT(pos_x^2+pos_z^2)</f>
        <v>939.73107200634252</v>
      </c>
      <c r="M388" s="306">
        <f t="shared" ca="1" si="161"/>
        <v>1.3654044217930799</v>
      </c>
      <c r="N388" s="304">
        <f t="shared" ca="1" si="162"/>
        <v>78.231910697243961</v>
      </c>
      <c r="P388" s="310">
        <f t="shared" ca="1" si="163"/>
        <v>23</v>
      </c>
      <c r="Q388" s="304">
        <f t="shared" ca="1" si="164"/>
        <v>0</v>
      </c>
      <c r="R388" s="306">
        <f t="shared" ca="1" si="165"/>
        <v>0</v>
      </c>
      <c r="S388" s="307">
        <f t="shared" ca="1" si="166"/>
        <v>5.0829999999999913</v>
      </c>
      <c r="T388" s="304">
        <f t="shared" ref="T388:T451" ca="1" si="175">m*g</f>
        <v>49.864229999999914</v>
      </c>
      <c r="U388" s="311">
        <f t="shared" ref="U388:U451" ca="1" si="176">IF(pos_xz&lt;L_rampe,Poids*COS(Beta),0)</f>
        <v>0</v>
      </c>
      <c r="V388" s="306">
        <f t="shared" ref="V388:V451" ca="1" si="177">Rho_moyen*(20000-Alt_rampe-pos_z)/(20000+Alt_rampe+pos_z)</f>
        <v>1.1170151777173647</v>
      </c>
      <c r="W388" s="304">
        <f t="shared" ref="W388:W451" ca="1" si="178">1/2*Rho*Sref*Cx*vit_xz^2</f>
        <v>247.11280563511301</v>
      </c>
      <c r="Y388" s="314" t="str">
        <f t="shared" ca="1" si="167"/>
        <v/>
      </c>
      <c r="Z388" s="315" t="str">
        <f t="shared" ca="1" si="168"/>
        <v/>
      </c>
      <c r="AA388" s="316" t="str">
        <f t="shared" ca="1" si="169"/>
        <v/>
      </c>
      <c r="AC388" s="310" t="e">
        <f t="shared" ca="1" si="170"/>
        <v>#N/A</v>
      </c>
      <c r="AD388" s="323" t="e">
        <f t="shared" ca="1" si="171"/>
        <v>#N/A</v>
      </c>
      <c r="AE388" s="324">
        <f t="shared" ref="AE388:AE451" ca="1" si="179">IF(t&lt;T_para, pos_z, NA())</f>
        <v>922.15305272173634</v>
      </c>
      <c r="AG388" s="306">
        <f t="shared" ca="1" si="172"/>
        <v>-58.444306079572456</v>
      </c>
      <c r="AH388" s="304">
        <f t="shared" ca="1" si="173"/>
        <v>-48.840352138248733</v>
      </c>
    </row>
    <row r="389" spans="1:34" x14ac:dyDescent="0.2">
      <c r="A389" s="347">
        <f t="shared" ref="A389:A452" ca="1" si="180">IF(B388+0.01&lt;=T_ini+ROUNDUP(Temps_fin_propu,0), 0.01, IF(K388&gt;0, 0.1, 0.0001))</f>
        <v>0.01</v>
      </c>
      <c r="B389" s="304">
        <f t="shared" ref="B389:B452" ca="1" si="181">B388+pas</f>
        <v>3.8499999999999619</v>
      </c>
      <c r="D389" s="306">
        <f t="shared" ref="D389:D452" ca="1" si="182">IF(AND(L388&lt;L_rampe,Poussee&lt;Poids*SIN(M388)),0,(-W388+Poussee)/m*COS(M388)-U388/m*SIN(M388))</f>
        <v>-9.9151810081964804</v>
      </c>
      <c r="E389" s="307">
        <f t="shared" ref="E389:E452" ca="1" si="183">IF(AND(L388&lt;L_rampe,Poussee&lt;Poids*SIN(M388)),0,(-W388+Poussee)/m*SIN(M388)+U388/m*COS(M388)-Poids/m)</f>
        <v>-57.403699347587519</v>
      </c>
      <c r="F389" s="304">
        <f t="shared" ref="F389:F452" ca="1" si="184">SQRT(acc_x^2+acc_z^2)</f>
        <v>58.253716733042197</v>
      </c>
      <c r="G389" s="306">
        <f t="shared" ref="G389:G452" ca="1" si="185">G388+acc_x*pas</f>
        <v>54.645522264266297</v>
      </c>
      <c r="H389" s="307">
        <f t="shared" ref="H389:H452" ca="1" si="186">H388+acc_z*pas</f>
        <v>262.20498404732359</v>
      </c>
      <c r="I389" s="304">
        <f t="shared" ref="I389:I452" ca="1" si="187">SQRT(vit_x^2+vit_z^2)</f>
        <v>267.83873275310958</v>
      </c>
      <c r="J389" s="306">
        <f t="shared" ref="J389:J452" ca="1" si="188">J388+0.5*(vit_x+G388)*pas*(K388&gt;=0)</f>
        <v>181.45641742878703</v>
      </c>
      <c r="K389" s="307">
        <f t="shared" ref="K389:K452" ca="1" si="189">K388+0.5*(vit_z+H388)*pas</f>
        <v>924.77797274717693</v>
      </c>
      <c r="L389" s="304">
        <f t="shared" ca="1" si="174"/>
        <v>942.41218705217761</v>
      </c>
      <c r="M389" s="306">
        <f t="shared" ref="M389:M452" ca="1" si="190">IF(AND(L388&gt;L_rampe,G389&gt;0),ATAN2(G389,H389),$M$4)</f>
        <v>1.3653297217019957</v>
      </c>
      <c r="N389" s="304">
        <f t="shared" ref="N389:N452" ca="1" si="191">DEGREES(Beta)</f>
        <v>78.227630697295595</v>
      </c>
      <c r="P389" s="310">
        <f t="shared" ref="P389:P452" ca="1" si="192">MATCH(t-pas/2-T_ini,CdP_t)</f>
        <v>23</v>
      </c>
      <c r="Q389" s="304">
        <f t="shared" ref="Q389:Q452" ca="1" si="193">(INDEX(CdP,2,i_P+1)-INDEX(CdP,2,i_P+0))/(INDEX(CdP,1,i_P+1)-INDEX(CdP,1,i_P+0))*(t-pas/2-T_ini-INDEX(CdP,1,i_P+0))+INDEX(CdP,2,i_P+0)</f>
        <v>0</v>
      </c>
      <c r="R389" s="306">
        <f t="shared" ref="R389:R452" ca="1" si="194">Poussee/(g*ISP)</f>
        <v>0</v>
      </c>
      <c r="S389" s="307">
        <f t="shared" ref="S389:S452" ca="1" si="195">S388-Débit*pas</f>
        <v>5.0829999999999913</v>
      </c>
      <c r="T389" s="304">
        <f t="shared" ca="1" si="175"/>
        <v>49.864229999999914</v>
      </c>
      <c r="U389" s="311">
        <f t="shared" ca="1" si="176"/>
        <v>0</v>
      </c>
      <c r="V389" s="306">
        <f t="shared" ca="1" si="177"/>
        <v>1.1167213823639384</v>
      </c>
      <c r="W389" s="304">
        <f t="shared" ca="1" si="178"/>
        <v>245.97730182123615</v>
      </c>
      <c r="Y389" s="314" t="str">
        <f t="shared" ref="Y389:Y452" ca="1" si="196">IF(AND(pos_z&lt;=0,K388&gt;0),"Impact balistique","") &amp; IF(AND(H390&lt;0,vit_z&gt;=0),"Apogée","") &amp; IF(AND(Poussee=0,Q388&gt;0),"Fin de propulsion","") &amp; IF(AND(L390&gt;L_rampe,pos_xz&lt;=L_rampe),"Sortie de rampe","")</f>
        <v/>
      </c>
      <c r="Z389" s="315" t="str">
        <f t="shared" ref="Z389:Z452" ca="1" si="197">IF(ABS(t-T_para)&lt;pas/2,"Para","")</f>
        <v/>
      </c>
      <c r="AA389" s="316" t="str">
        <f t="shared" ref="AA389:AA452" ca="1" si="198">IF(ABS(t-T_satellite)&lt;pas/2,"Satellite","")</f>
        <v/>
      </c>
      <c r="AC389" s="310" t="e">
        <f t="shared" ref="AC389:AC452" ca="1" si="199">IF(ABS(t-ROUND(t,0))&lt;0.001,t,NA())</f>
        <v>#N/A</v>
      </c>
      <c r="AD389" s="323" t="e">
        <f t="shared" ref="AD389:AD452" ca="1" si="200">IF(ABS(t-ROUND(t,0))&lt;0.001,pos_x,NA())</f>
        <v>#N/A</v>
      </c>
      <c r="AE389" s="324">
        <f t="shared" ca="1" si="179"/>
        <v>924.77797274717693</v>
      </c>
      <c r="AG389" s="306">
        <f t="shared" ref="AG389:AG452" ca="1" si="201">IF(AND(L388&lt;L_rampe,Poussee&lt;Poids*SIN(M388)),0,(-W388+Poussee)/m-Poids*SIN(M388)/m)</f>
        <v>-58.219348000074199</v>
      </c>
      <c r="AH389" s="304">
        <f t="shared" ref="AH389:AH452" ca="1" si="202">IF(AND(L388&lt;L_rampe,Poussee&lt;Poids*SIN(M388)), g*SIN(M388), (-W388+Poussee)/m)</f>
        <v>-48.615543111373881</v>
      </c>
    </row>
    <row r="390" spans="1:34" x14ac:dyDescent="0.2">
      <c r="A390" s="347">
        <f t="shared" ca="1" si="180"/>
        <v>0.01</v>
      </c>
      <c r="B390" s="304">
        <f t="shared" ca="1" si="181"/>
        <v>3.8599999999999617</v>
      </c>
      <c r="D390" s="306">
        <f t="shared" ca="1" si="182"/>
        <v>-9.8731588194948081</v>
      </c>
      <c r="E390" s="307">
        <f t="shared" ca="1" si="183"/>
        <v>-57.184264962514369</v>
      </c>
      <c r="F390" s="304">
        <f t="shared" ca="1" si="184"/>
        <v>58.030331934067178</v>
      </c>
      <c r="G390" s="306">
        <f t="shared" ca="1" si="185"/>
        <v>54.546790676071346</v>
      </c>
      <c r="H390" s="307">
        <f t="shared" ca="1" si="186"/>
        <v>261.63314139769847</v>
      </c>
      <c r="I390" s="304">
        <f t="shared" ca="1" si="187"/>
        <v>267.25877544186875</v>
      </c>
      <c r="J390" s="306">
        <f t="shared" ca="1" si="188"/>
        <v>182.00237899348872</v>
      </c>
      <c r="K390" s="307">
        <f t="shared" ca="1" si="189"/>
        <v>927.397163374402</v>
      </c>
      <c r="L390" s="304">
        <f t="shared" ca="1" si="174"/>
        <v>945.08749044423223</v>
      </c>
      <c r="M390" s="306">
        <f t="shared" ca="1" si="190"/>
        <v>1.3652548326672216</v>
      </c>
      <c r="N390" s="304">
        <f t="shared" ca="1" si="191"/>
        <v>78.223339871671229</v>
      </c>
      <c r="P390" s="310">
        <f t="shared" ca="1" si="192"/>
        <v>23</v>
      </c>
      <c r="Q390" s="304">
        <f t="shared" ca="1" si="193"/>
        <v>0</v>
      </c>
      <c r="R390" s="306">
        <f t="shared" ca="1" si="194"/>
        <v>0</v>
      </c>
      <c r="S390" s="307">
        <f t="shared" ca="1" si="195"/>
        <v>5.0829999999999913</v>
      </c>
      <c r="T390" s="304">
        <f t="shared" ca="1" si="175"/>
        <v>49.864229999999914</v>
      </c>
      <c r="U390" s="311">
        <f t="shared" ca="1" si="176"/>
        <v>0</v>
      </c>
      <c r="V390" s="306">
        <f t="shared" ca="1" si="177"/>
        <v>1.1164283017362626</v>
      </c>
      <c r="W390" s="304">
        <f t="shared" ca="1" si="178"/>
        <v>244.84893776528236</v>
      </c>
      <c r="Y390" s="314" t="str">
        <f t="shared" ca="1" si="196"/>
        <v/>
      </c>
      <c r="Z390" s="315" t="str">
        <f t="shared" ca="1" si="197"/>
        <v/>
      </c>
      <c r="AA390" s="316" t="str">
        <f t="shared" ca="1" si="198"/>
        <v/>
      </c>
      <c r="AC390" s="310" t="e">
        <f t="shared" ca="1" si="199"/>
        <v>#N/A</v>
      </c>
      <c r="AD390" s="323" t="e">
        <f t="shared" ca="1" si="200"/>
        <v>#N/A</v>
      </c>
      <c r="AE390" s="324">
        <f t="shared" ca="1" si="179"/>
        <v>927.397163374402</v>
      </c>
      <c r="AG390" s="306">
        <f t="shared" ca="1" si="201"/>
        <v>-57.995806068355158</v>
      </c>
      <c r="AH390" s="304">
        <f t="shared" ca="1" si="202"/>
        <v>-48.392150663237572</v>
      </c>
    </row>
    <row r="391" spans="1:34" x14ac:dyDescent="0.2">
      <c r="A391" s="347">
        <f t="shared" ca="1" si="180"/>
        <v>0.01</v>
      </c>
      <c r="B391" s="304">
        <f t="shared" ca="1" si="181"/>
        <v>3.8699999999999615</v>
      </c>
      <c r="D391" s="306">
        <f t="shared" ca="1" si="182"/>
        <v>-9.8313994945663801</v>
      </c>
      <c r="E391" s="307">
        <f t="shared" ca="1" si="183"/>
        <v>-56.966210332783767</v>
      </c>
      <c r="F391" s="304">
        <f t="shared" ca="1" si="184"/>
        <v>57.808351781561115</v>
      </c>
      <c r="G391" s="306">
        <f t="shared" ca="1" si="185"/>
        <v>54.448476681125683</v>
      </c>
      <c r="H391" s="307">
        <f t="shared" ca="1" si="186"/>
        <v>261.06347929437061</v>
      </c>
      <c r="I391" s="304">
        <f t="shared" ca="1" si="187"/>
        <v>266.68103951008095</v>
      </c>
      <c r="J391" s="306">
        <f t="shared" ca="1" si="188"/>
        <v>182.54735533027471</v>
      </c>
      <c r="K391" s="307">
        <f t="shared" ca="1" si="189"/>
        <v>930.01064647786234</v>
      </c>
      <c r="L391" s="304">
        <f t="shared" ca="1" si="174"/>
        <v>947.75700445855261</v>
      </c>
      <c r="M391" s="306">
        <f t="shared" ca="1" si="190"/>
        <v>1.3651797544247135</v>
      </c>
      <c r="N391" s="304">
        <f t="shared" ca="1" si="191"/>
        <v>78.219038205242256</v>
      </c>
      <c r="P391" s="310">
        <f t="shared" ca="1" si="192"/>
        <v>23</v>
      </c>
      <c r="Q391" s="304">
        <f t="shared" ca="1" si="193"/>
        <v>0</v>
      </c>
      <c r="R391" s="306">
        <f t="shared" ca="1" si="194"/>
        <v>0</v>
      </c>
      <c r="S391" s="307">
        <f t="shared" ca="1" si="195"/>
        <v>5.0829999999999913</v>
      </c>
      <c r="T391" s="304">
        <f t="shared" ca="1" si="175"/>
        <v>49.864229999999914</v>
      </c>
      <c r="U391" s="311">
        <f t="shared" ca="1" si="176"/>
        <v>0</v>
      </c>
      <c r="V391" s="306">
        <f t="shared" ca="1" si="177"/>
        <v>1.1161359328785532</v>
      </c>
      <c r="W391" s="304">
        <f t="shared" ca="1" si="178"/>
        <v>243.72765339801495</v>
      </c>
      <c r="Y391" s="314" t="str">
        <f t="shared" ca="1" si="196"/>
        <v/>
      </c>
      <c r="Z391" s="315" t="str">
        <f t="shared" ca="1" si="197"/>
        <v/>
      </c>
      <c r="AA391" s="316" t="str">
        <f t="shared" ca="1" si="198"/>
        <v/>
      </c>
      <c r="AC391" s="310" t="e">
        <f t="shared" ca="1" si="199"/>
        <v>#N/A</v>
      </c>
      <c r="AD391" s="323" t="e">
        <f t="shared" ca="1" si="200"/>
        <v>#N/A</v>
      </c>
      <c r="AE391" s="324">
        <f t="shared" ca="1" si="179"/>
        <v>930.01064647786234</v>
      </c>
      <c r="AG391" s="306">
        <f t="shared" ca="1" si="201"/>
        <v>-57.773668339394334</v>
      </c>
      <c r="AH391" s="304">
        <f t="shared" ca="1" si="202"/>
        <v>-48.170162849750696</v>
      </c>
    </row>
    <row r="392" spans="1:34" x14ac:dyDescent="0.2">
      <c r="A392" s="347">
        <f t="shared" ca="1" si="180"/>
        <v>0.01</v>
      </c>
      <c r="B392" s="304">
        <f t="shared" ca="1" si="181"/>
        <v>3.8799999999999613</v>
      </c>
      <c r="D392" s="306">
        <f t="shared" ca="1" si="182"/>
        <v>-9.7899008190586549</v>
      </c>
      <c r="E392" s="307">
        <f t="shared" ca="1" si="183"/>
        <v>-56.749523850007201</v>
      </c>
      <c r="F392" s="304">
        <f t="shared" ca="1" si="184"/>
        <v>57.587764457821606</v>
      </c>
      <c r="G392" s="306">
        <f t="shared" ca="1" si="185"/>
        <v>54.350577672935096</v>
      </c>
      <c r="H392" s="307">
        <f t="shared" ca="1" si="186"/>
        <v>260.49598405587057</v>
      </c>
      <c r="I392" s="304">
        <f t="shared" ca="1" si="187"/>
        <v>266.10551103390947</v>
      </c>
      <c r="J392" s="306">
        <f t="shared" ca="1" si="188"/>
        <v>183.09135060204503</v>
      </c>
      <c r="K392" s="307">
        <f t="shared" ca="1" si="189"/>
        <v>932.61844379461354</v>
      </c>
      <c r="L392" s="304">
        <f t="shared" ca="1" si="174"/>
        <v>950.42075123135214</v>
      </c>
      <c r="M392" s="306">
        <f t="shared" ca="1" si="190"/>
        <v>1.3651044867094169</v>
      </c>
      <c r="N392" s="304">
        <f t="shared" ca="1" si="191"/>
        <v>78.214725682822163</v>
      </c>
      <c r="P392" s="310">
        <f t="shared" ca="1" si="192"/>
        <v>23</v>
      </c>
      <c r="Q392" s="304">
        <f t="shared" ca="1" si="193"/>
        <v>0</v>
      </c>
      <c r="R392" s="306">
        <f t="shared" ca="1" si="194"/>
        <v>0</v>
      </c>
      <c r="S392" s="307">
        <f t="shared" ca="1" si="195"/>
        <v>5.0829999999999913</v>
      </c>
      <c r="T392" s="304">
        <f t="shared" ca="1" si="175"/>
        <v>49.864229999999914</v>
      </c>
      <c r="U392" s="311">
        <f t="shared" ca="1" si="176"/>
        <v>0</v>
      </c>
      <c r="V392" s="306">
        <f t="shared" ca="1" si="177"/>
        <v>1.1158442728542566</v>
      </c>
      <c r="W392" s="304">
        <f t="shared" ca="1" si="178"/>
        <v>242.61338928459227</v>
      </c>
      <c r="Y392" s="314" t="str">
        <f t="shared" ca="1" si="196"/>
        <v/>
      </c>
      <c r="Z392" s="315" t="str">
        <f t="shared" ca="1" si="197"/>
        <v/>
      </c>
      <c r="AA392" s="316" t="str">
        <f t="shared" ca="1" si="198"/>
        <v/>
      </c>
      <c r="AC392" s="310" t="e">
        <f t="shared" ca="1" si="199"/>
        <v>#N/A</v>
      </c>
      <c r="AD392" s="323" t="e">
        <f t="shared" ca="1" si="200"/>
        <v>#N/A</v>
      </c>
      <c r="AE392" s="324">
        <f t="shared" ca="1" si="179"/>
        <v>932.61844379461354</v>
      </c>
      <c r="AG392" s="306">
        <f t="shared" ca="1" si="201"/>
        <v>-57.55292299458209</v>
      </c>
      <c r="AH392" s="304">
        <f t="shared" ca="1" si="202"/>
        <v>-47.949567853239301</v>
      </c>
    </row>
    <row r="393" spans="1:34" x14ac:dyDescent="0.2">
      <c r="A393" s="347">
        <f t="shared" ca="1" si="180"/>
        <v>0.01</v>
      </c>
      <c r="B393" s="304">
        <f t="shared" ca="1" si="181"/>
        <v>3.889999999999961</v>
      </c>
      <c r="D393" s="306">
        <f t="shared" ca="1" si="182"/>
        <v>-9.7486606020030067</v>
      </c>
      <c r="E393" s="307">
        <f t="shared" ca="1" si="183"/>
        <v>-56.534194028393081</v>
      </c>
      <c r="F393" s="304">
        <f t="shared" ca="1" si="184"/>
        <v>57.368558269953425</v>
      </c>
      <c r="G393" s="306">
        <f t="shared" ca="1" si="185"/>
        <v>54.253091066915069</v>
      </c>
      <c r="H393" s="307">
        <f t="shared" ca="1" si="186"/>
        <v>259.93064211558664</v>
      </c>
      <c r="I393" s="304">
        <f t="shared" ca="1" si="187"/>
        <v>265.53217620645557</v>
      </c>
      <c r="J393" s="306">
        <f t="shared" ca="1" si="188"/>
        <v>183.63436894574428</v>
      </c>
      <c r="K393" s="307">
        <f t="shared" ca="1" si="189"/>
        <v>935.22057692547082</v>
      </c>
      <c r="L393" s="304">
        <f t="shared" ca="1" si="174"/>
        <v>953.07875276018626</v>
      </c>
      <c r="M393" s="306">
        <f t="shared" ca="1" si="190"/>
        <v>1.365029029255262</v>
      </c>
      <c r="N393" s="304">
        <f t="shared" ca="1" si="191"/>
        <v>78.210402289166296</v>
      </c>
      <c r="P393" s="310">
        <f t="shared" ca="1" si="192"/>
        <v>23</v>
      </c>
      <c r="Q393" s="304">
        <f t="shared" ca="1" si="193"/>
        <v>0</v>
      </c>
      <c r="R393" s="306">
        <f t="shared" ca="1" si="194"/>
        <v>0</v>
      </c>
      <c r="S393" s="307">
        <f t="shared" ca="1" si="195"/>
        <v>5.0829999999999913</v>
      </c>
      <c r="T393" s="304">
        <f t="shared" ca="1" si="175"/>
        <v>49.864229999999914</v>
      </c>
      <c r="U393" s="311">
        <f t="shared" ca="1" si="176"/>
        <v>0</v>
      </c>
      <c r="V393" s="306">
        <f t="shared" ca="1" si="177"/>
        <v>1.1155533187458824</v>
      </c>
      <c r="W393" s="304">
        <f t="shared" ca="1" si="178"/>
        <v>241.50608661651557</v>
      </c>
      <c r="Y393" s="314" t="str">
        <f t="shared" ca="1" si="196"/>
        <v/>
      </c>
      <c r="Z393" s="315" t="str">
        <f t="shared" ca="1" si="197"/>
        <v/>
      </c>
      <c r="AA393" s="316" t="str">
        <f t="shared" ca="1" si="198"/>
        <v/>
      </c>
      <c r="AC393" s="310" t="e">
        <f t="shared" ca="1" si="199"/>
        <v>#N/A</v>
      </c>
      <c r="AD393" s="323" t="e">
        <f t="shared" ca="1" si="200"/>
        <v>#N/A</v>
      </c>
      <c r="AE393" s="324">
        <f t="shared" ca="1" si="179"/>
        <v>935.22057692547082</v>
      </c>
      <c r="AG393" s="306">
        <f t="shared" ca="1" si="201"/>
        <v>-57.333558340112205</v>
      </c>
      <c r="AH393" s="304">
        <f t="shared" ca="1" si="202"/>
        <v>-47.730353980836647</v>
      </c>
    </row>
    <row r="394" spans="1:34" x14ac:dyDescent="0.2">
      <c r="A394" s="347">
        <f t="shared" ca="1" si="180"/>
        <v>0.01</v>
      </c>
      <c r="B394" s="304">
        <f t="shared" ca="1" si="181"/>
        <v>3.8999999999999608</v>
      </c>
      <c r="D394" s="306">
        <f t="shared" ca="1" si="182"/>
        <v>-9.7076766755180017</v>
      </c>
      <c r="E394" s="307">
        <f t="shared" ca="1" si="183"/>
        <v>-56.320209503190604</v>
      </c>
      <c r="F394" s="304">
        <f t="shared" ca="1" si="184"/>
        <v>57.150721648284346</v>
      </c>
      <c r="G394" s="306">
        <f t="shared" ca="1" si="185"/>
        <v>54.156014300159889</v>
      </c>
      <c r="H394" s="307">
        <f t="shared" ca="1" si="186"/>
        <v>259.36744002055474</v>
      </c>
      <c r="I394" s="304">
        <f t="shared" ca="1" si="187"/>
        <v>264.96102133652636</v>
      </c>
      <c r="J394" s="306">
        <f t="shared" ca="1" si="188"/>
        <v>184.17641447257967</v>
      </c>
      <c r="K394" s="307">
        <f t="shared" ca="1" si="189"/>
        <v>937.81706733615158</v>
      </c>
      <c r="L394" s="304">
        <f t="shared" ca="1" si="174"/>
        <v>955.73103090511574</v>
      </c>
      <c r="M394" s="306">
        <f t="shared" ca="1" si="190"/>
        <v>1.3649533817951631</v>
      </c>
      <c r="N394" s="304">
        <f t="shared" ca="1" si="191"/>
        <v>78.206068008971741</v>
      </c>
      <c r="P394" s="310">
        <f t="shared" ca="1" si="192"/>
        <v>23</v>
      </c>
      <c r="Q394" s="304">
        <f t="shared" ca="1" si="193"/>
        <v>0</v>
      </c>
      <c r="R394" s="306">
        <f t="shared" ca="1" si="194"/>
        <v>0</v>
      </c>
      <c r="S394" s="307">
        <f t="shared" ca="1" si="195"/>
        <v>5.0829999999999913</v>
      </c>
      <c r="T394" s="304">
        <f t="shared" ca="1" si="175"/>
        <v>49.864229999999914</v>
      </c>
      <c r="U394" s="311">
        <f t="shared" ca="1" si="176"/>
        <v>0</v>
      </c>
      <c r="V394" s="306">
        <f t="shared" ca="1" si="177"/>
        <v>1.1152630676548414</v>
      </c>
      <c r="W394" s="304">
        <f t="shared" ca="1" si="178"/>
        <v>240.40568720369669</v>
      </c>
      <c r="Y394" s="314" t="str">
        <f t="shared" ca="1" si="196"/>
        <v/>
      </c>
      <c r="Z394" s="315" t="str">
        <f t="shared" ca="1" si="197"/>
        <v/>
      </c>
      <c r="AA394" s="316" t="str">
        <f t="shared" ca="1" si="198"/>
        <v/>
      </c>
      <c r="AC394" s="310" t="e">
        <f t="shared" ca="1" si="199"/>
        <v>#N/A</v>
      </c>
      <c r="AD394" s="323" t="e">
        <f t="shared" ca="1" si="200"/>
        <v>#N/A</v>
      </c>
      <c r="AE394" s="324">
        <f t="shared" ca="1" si="179"/>
        <v>937.81706733615158</v>
      </c>
      <c r="AG394" s="306">
        <f t="shared" ca="1" si="201"/>
        <v>-57.115562805397708</v>
      </c>
      <c r="AH394" s="304">
        <f t="shared" ca="1" si="202"/>
        <v>-47.51250966289907</v>
      </c>
    </row>
    <row r="395" spans="1:34" x14ac:dyDescent="0.2">
      <c r="A395" s="347">
        <f t="shared" ca="1" si="180"/>
        <v>0.01</v>
      </c>
      <c r="B395" s="304">
        <f t="shared" ca="1" si="181"/>
        <v>3.9099999999999606</v>
      </c>
      <c r="D395" s="306">
        <f t="shared" ca="1" si="182"/>
        <v>-9.6669468945169594</v>
      </c>
      <c r="E395" s="307">
        <f t="shared" ca="1" si="183"/>
        <v>-56.107559029156874</v>
      </c>
      <c r="F395" s="304">
        <f t="shared" ca="1" si="184"/>
        <v>56.93424314480464</v>
      </c>
      <c r="G395" s="306">
        <f t="shared" ca="1" si="185"/>
        <v>54.059344831214716</v>
      </c>
      <c r="H395" s="307">
        <f t="shared" ca="1" si="186"/>
        <v>258.80636443026316</v>
      </c>
      <c r="I395" s="304">
        <f t="shared" ca="1" si="187"/>
        <v>264.39203284741842</v>
      </c>
      <c r="J395" s="306">
        <f t="shared" ca="1" si="188"/>
        <v>184.71749126823653</v>
      </c>
      <c r="K395" s="307">
        <f t="shared" ca="1" si="189"/>
        <v>940.40793635840566</v>
      </c>
      <c r="L395" s="304">
        <f t="shared" ca="1" si="174"/>
        <v>958.37760738985662</v>
      </c>
      <c r="M395" s="306">
        <f t="shared" ca="1" si="190"/>
        <v>1.3648775440610152</v>
      </c>
      <c r="N395" s="304">
        <f t="shared" ca="1" si="191"/>
        <v>78.20172282687723</v>
      </c>
      <c r="P395" s="310">
        <f t="shared" ca="1" si="192"/>
        <v>23</v>
      </c>
      <c r="Q395" s="304">
        <f t="shared" ca="1" si="193"/>
        <v>0</v>
      </c>
      <c r="R395" s="306">
        <f t="shared" ca="1" si="194"/>
        <v>0</v>
      </c>
      <c r="S395" s="307">
        <f t="shared" ca="1" si="195"/>
        <v>5.0829999999999913</v>
      </c>
      <c r="T395" s="304">
        <f t="shared" ca="1" si="175"/>
        <v>49.864229999999914</v>
      </c>
      <c r="U395" s="311">
        <f t="shared" ca="1" si="176"/>
        <v>0</v>
      </c>
      <c r="V395" s="306">
        <f t="shared" ca="1" si="177"/>
        <v>1.1149735167012813</v>
      </c>
      <c r="W395" s="304">
        <f t="shared" ca="1" si="178"/>
        <v>239.31213346664327</v>
      </c>
      <c r="Y395" s="314" t="str">
        <f t="shared" ca="1" si="196"/>
        <v/>
      </c>
      <c r="Z395" s="315" t="str">
        <f t="shared" ca="1" si="197"/>
        <v/>
      </c>
      <c r="AA395" s="316" t="str">
        <f t="shared" ca="1" si="198"/>
        <v/>
      </c>
      <c r="AC395" s="310" t="e">
        <f t="shared" ca="1" si="199"/>
        <v>#N/A</v>
      </c>
      <c r="AD395" s="323" t="e">
        <f t="shared" ca="1" si="200"/>
        <v>#N/A</v>
      </c>
      <c r="AE395" s="324">
        <f t="shared" ca="1" si="179"/>
        <v>940.40793635840566</v>
      </c>
      <c r="AG395" s="306">
        <f t="shared" ca="1" si="201"/>
        <v>-56.898924941510309</v>
      </c>
      <c r="AH395" s="304">
        <f t="shared" ca="1" si="202"/>
        <v>-47.296023451445429</v>
      </c>
    </row>
    <row r="396" spans="1:34" x14ac:dyDescent="0.2">
      <c r="A396" s="347">
        <f t="shared" ca="1" si="180"/>
        <v>0.01</v>
      </c>
      <c r="B396" s="304">
        <f t="shared" ca="1" si="181"/>
        <v>3.9199999999999604</v>
      </c>
      <c r="D396" s="306">
        <f t="shared" ca="1" si="182"/>
        <v>-9.6264691364198853</v>
      </c>
      <c r="E396" s="307">
        <f t="shared" ca="1" si="183"/>
        <v>-55.896231479046655</v>
      </c>
      <c r="F396" s="304">
        <f t="shared" ca="1" si="184"/>
        <v>56.719111431629557</v>
      </c>
      <c r="G396" s="306">
        <f t="shared" ca="1" si="185"/>
        <v>53.963080139850518</v>
      </c>
      <c r="H396" s="307">
        <f t="shared" ca="1" si="186"/>
        <v>258.24740211547271</v>
      </c>
      <c r="I396" s="304">
        <f t="shared" ca="1" si="187"/>
        <v>263.82519727571622</v>
      </c>
      <c r="J396" s="306">
        <f t="shared" ca="1" si="188"/>
        <v>185.25760339309184</v>
      </c>
      <c r="K396" s="307">
        <f t="shared" ca="1" si="189"/>
        <v>942.99320519113439</v>
      </c>
      <c r="L396" s="304">
        <f t="shared" ca="1" si="174"/>
        <v>961.01850380291899</v>
      </c>
      <c r="M396" s="306">
        <f t="shared" ca="1" si="190"/>
        <v>1.3648015157836926</v>
      </c>
      <c r="N396" s="304">
        <f t="shared" ca="1" si="191"/>
        <v>78.197366727462992</v>
      </c>
      <c r="P396" s="310">
        <f t="shared" ca="1" si="192"/>
        <v>23</v>
      </c>
      <c r="Q396" s="304">
        <f t="shared" ca="1" si="193"/>
        <v>0</v>
      </c>
      <c r="R396" s="306">
        <f t="shared" ca="1" si="194"/>
        <v>0</v>
      </c>
      <c r="S396" s="307">
        <f t="shared" ca="1" si="195"/>
        <v>5.0829999999999913</v>
      </c>
      <c r="T396" s="304">
        <f t="shared" ca="1" si="175"/>
        <v>49.864229999999914</v>
      </c>
      <c r="U396" s="311">
        <f t="shared" ca="1" si="176"/>
        <v>0</v>
      </c>
      <c r="V396" s="306">
        <f t="shared" ca="1" si="177"/>
        <v>1.1146846630239264</v>
      </c>
      <c r="W396" s="304">
        <f t="shared" ca="1" si="178"/>
        <v>238.22536842875792</v>
      </c>
      <c r="Y396" s="314" t="str">
        <f t="shared" ca="1" si="196"/>
        <v/>
      </c>
      <c r="Z396" s="315" t="str">
        <f t="shared" ca="1" si="197"/>
        <v/>
      </c>
      <c r="AA396" s="316" t="str">
        <f t="shared" ca="1" si="198"/>
        <v/>
      </c>
      <c r="AC396" s="310" t="e">
        <f t="shared" ca="1" si="199"/>
        <v>#N/A</v>
      </c>
      <c r="AD396" s="323" t="e">
        <f t="shared" ca="1" si="200"/>
        <v>#N/A</v>
      </c>
      <c r="AE396" s="324">
        <f t="shared" ca="1" si="179"/>
        <v>942.99320519113439</v>
      </c>
      <c r="AG396" s="306">
        <f t="shared" ca="1" si="201"/>
        <v>-56.683633419642959</v>
      </c>
      <c r="AH396" s="304">
        <f t="shared" ca="1" si="202"/>
        <v>-47.080884018619649</v>
      </c>
    </row>
    <row r="397" spans="1:34" x14ac:dyDescent="0.2">
      <c r="A397" s="347">
        <f t="shared" ca="1" si="180"/>
        <v>0.01</v>
      </c>
      <c r="B397" s="304">
        <f t="shared" ca="1" si="181"/>
        <v>3.9299999999999602</v>
      </c>
      <c r="D397" s="306">
        <f t="shared" ca="1" si="182"/>
        <v>-9.5862413008696183</v>
      </c>
      <c r="E397" s="307">
        <f t="shared" ca="1" si="183"/>
        <v>-55.686215842124227</v>
      </c>
      <c r="F397" s="304">
        <f t="shared" ca="1" si="184"/>
        <v>56.505315299484401</v>
      </c>
      <c r="G397" s="306">
        <f t="shared" ca="1" si="185"/>
        <v>53.867217726841822</v>
      </c>
      <c r="H397" s="307">
        <f t="shared" ca="1" si="186"/>
        <v>257.69053995705144</v>
      </c>
      <c r="I397" s="304">
        <f t="shared" ca="1" si="187"/>
        <v>263.26050127010643</v>
      </c>
      <c r="J397" s="306">
        <f t="shared" ca="1" si="188"/>
        <v>185.79675488242529</v>
      </c>
      <c r="K397" s="307">
        <f t="shared" ca="1" si="189"/>
        <v>945.57289490149697</v>
      </c>
      <c r="L397" s="304">
        <f t="shared" ca="1" si="174"/>
        <v>963.65374159873295</v>
      </c>
      <c r="M397" s="306">
        <f t="shared" ca="1" si="190"/>
        <v>1.3647252966930448</v>
      </c>
      <c r="N397" s="304">
        <f t="shared" ca="1" si="191"/>
        <v>78.192999695250549</v>
      </c>
      <c r="P397" s="310">
        <f t="shared" ca="1" si="192"/>
        <v>23</v>
      </c>
      <c r="Q397" s="304">
        <f t="shared" ca="1" si="193"/>
        <v>0</v>
      </c>
      <c r="R397" s="306">
        <f t="shared" ca="1" si="194"/>
        <v>0</v>
      </c>
      <c r="S397" s="307">
        <f t="shared" ca="1" si="195"/>
        <v>5.0829999999999913</v>
      </c>
      <c r="T397" s="304">
        <f t="shared" ca="1" si="175"/>
        <v>49.864229999999914</v>
      </c>
      <c r="U397" s="311">
        <f t="shared" ca="1" si="176"/>
        <v>0</v>
      </c>
      <c r="V397" s="306">
        <f t="shared" ca="1" si="177"/>
        <v>1.1143965037799193</v>
      </c>
      <c r="W397" s="304">
        <f t="shared" ca="1" si="178"/>
        <v>237.14533570875275</v>
      </c>
      <c r="Y397" s="314" t="str">
        <f t="shared" ca="1" si="196"/>
        <v/>
      </c>
      <c r="Z397" s="315" t="str">
        <f t="shared" ca="1" si="197"/>
        <v/>
      </c>
      <c r="AA397" s="316" t="str">
        <f t="shared" ca="1" si="198"/>
        <v/>
      </c>
      <c r="AC397" s="310" t="e">
        <f t="shared" ca="1" si="199"/>
        <v>#N/A</v>
      </c>
      <c r="AD397" s="323" t="e">
        <f t="shared" ca="1" si="200"/>
        <v>#N/A</v>
      </c>
      <c r="AE397" s="324">
        <f t="shared" ca="1" si="179"/>
        <v>945.57289490149697</v>
      </c>
      <c r="AG397" s="306">
        <f t="shared" ca="1" si="201"/>
        <v>-56.46967702959482</v>
      </c>
      <c r="AH397" s="304">
        <f t="shared" ca="1" si="202"/>
        <v>-46.867080155175749</v>
      </c>
    </row>
    <row r="398" spans="1:34" x14ac:dyDescent="0.2">
      <c r="A398" s="347">
        <f t="shared" ca="1" si="180"/>
        <v>0.01</v>
      </c>
      <c r="B398" s="304">
        <f t="shared" ca="1" si="181"/>
        <v>3.93999999999996</v>
      </c>
      <c r="D398" s="306">
        <f t="shared" ca="1" si="182"/>
        <v>-9.5462613094522482</v>
      </c>
      <c r="E398" s="307">
        <f t="shared" ca="1" si="183"/>
        <v>-55.477501222697477</v>
      </c>
      <c r="F398" s="304">
        <f t="shared" ca="1" si="184"/>
        <v>56.292843656212156</v>
      </c>
      <c r="G398" s="306">
        <f t="shared" ca="1" si="185"/>
        <v>53.771755113747297</v>
      </c>
      <c r="H398" s="307">
        <f t="shared" ca="1" si="186"/>
        <v>257.13576494482447</v>
      </c>
      <c r="I398" s="304">
        <f t="shared" ca="1" si="187"/>
        <v>262.69793159020651</v>
      </c>
      <c r="J398" s="306">
        <f t="shared" ca="1" si="188"/>
        <v>186.33494974662824</v>
      </c>
      <c r="K398" s="307">
        <f t="shared" ca="1" si="189"/>
        <v>948.14702642600639</v>
      </c>
      <c r="L398" s="304">
        <f t="shared" ca="1" si="174"/>
        <v>966.2833420987638</v>
      </c>
      <c r="M398" s="306">
        <f t="shared" ca="1" si="190"/>
        <v>1.3646488865178956</v>
      </c>
      <c r="N398" s="304">
        <f t="shared" ca="1" si="191"/>
        <v>78.188621714702649</v>
      </c>
      <c r="P398" s="310">
        <f t="shared" ca="1" si="192"/>
        <v>23</v>
      </c>
      <c r="Q398" s="304">
        <f t="shared" ca="1" si="193"/>
        <v>0</v>
      </c>
      <c r="R398" s="306">
        <f t="shared" ca="1" si="194"/>
        <v>0</v>
      </c>
      <c r="S398" s="307">
        <f t="shared" ca="1" si="195"/>
        <v>5.0829999999999913</v>
      </c>
      <c r="T398" s="304">
        <f t="shared" ca="1" si="175"/>
        <v>49.864229999999914</v>
      </c>
      <c r="U398" s="311">
        <f t="shared" ca="1" si="176"/>
        <v>0</v>
      </c>
      <c r="V398" s="306">
        <f t="shared" ca="1" si="177"/>
        <v>1.1141090361446619</v>
      </c>
      <c r="W398" s="304">
        <f t="shared" ca="1" si="178"/>
        <v>236.07197951317303</v>
      </c>
      <c r="Y398" s="314" t="str">
        <f t="shared" ca="1" si="196"/>
        <v/>
      </c>
      <c r="Z398" s="315" t="str">
        <f t="shared" ca="1" si="197"/>
        <v/>
      </c>
      <c r="AA398" s="316" t="str">
        <f t="shared" ca="1" si="198"/>
        <v/>
      </c>
      <c r="AC398" s="310" t="e">
        <f t="shared" ca="1" si="199"/>
        <v>#N/A</v>
      </c>
      <c r="AD398" s="323" t="e">
        <f t="shared" ca="1" si="200"/>
        <v>#N/A</v>
      </c>
      <c r="AE398" s="324">
        <f t="shared" ca="1" si="179"/>
        <v>948.14702642600639</v>
      </c>
      <c r="AG398" s="306">
        <f t="shared" ca="1" si="201"/>
        <v>-56.25704467827893</v>
      </c>
      <c r="AH398" s="304">
        <f t="shared" ca="1" si="202"/>
        <v>-46.654600768985475</v>
      </c>
    </row>
    <row r="399" spans="1:34" x14ac:dyDescent="0.2">
      <c r="A399" s="347">
        <f t="shared" ca="1" si="180"/>
        <v>0.01</v>
      </c>
      <c r="B399" s="304">
        <f t="shared" ca="1" si="181"/>
        <v>3.9499999999999598</v>
      </c>
      <c r="D399" s="306">
        <f t="shared" ca="1" si="182"/>
        <v>-9.5065271054214886</v>
      </c>
      <c r="E399" s="307">
        <f t="shared" ca="1" si="183"/>
        <v>-55.270076838673056</v>
      </c>
      <c r="F399" s="304">
        <f t="shared" ca="1" si="184"/>
        <v>56.081685525302625</v>
      </c>
      <c r="G399" s="306">
        <f t="shared" ca="1" si="185"/>
        <v>53.676689842693079</v>
      </c>
      <c r="H399" s="307">
        <f t="shared" ca="1" si="186"/>
        <v>256.58306417643774</v>
      </c>
      <c r="I399" s="304">
        <f t="shared" ca="1" si="187"/>
        <v>262.1374751054085</v>
      </c>
      <c r="J399" s="306">
        <f t="shared" ca="1" si="188"/>
        <v>186.87219197141044</v>
      </c>
      <c r="K399" s="307">
        <f t="shared" ca="1" si="189"/>
        <v>950.7156205716127</v>
      </c>
      <c r="L399" s="304">
        <f t="shared" ca="1" si="174"/>
        <v>968.90732649261474</v>
      </c>
      <c r="M399" s="306">
        <f t="shared" ca="1" si="190"/>
        <v>1.36457228498604</v>
      </c>
      <c r="N399" s="304">
        <f t="shared" ca="1" si="191"/>
        <v>78.18423277022309</v>
      </c>
      <c r="P399" s="310">
        <f t="shared" ca="1" si="192"/>
        <v>23</v>
      </c>
      <c r="Q399" s="304">
        <f t="shared" ca="1" si="193"/>
        <v>0</v>
      </c>
      <c r="R399" s="306">
        <f t="shared" ca="1" si="194"/>
        <v>0</v>
      </c>
      <c r="S399" s="307">
        <f t="shared" ca="1" si="195"/>
        <v>5.0829999999999913</v>
      </c>
      <c r="T399" s="304">
        <f t="shared" ca="1" si="175"/>
        <v>49.864229999999914</v>
      </c>
      <c r="U399" s="311">
        <f t="shared" ca="1" si="176"/>
        <v>0</v>
      </c>
      <c r="V399" s="306">
        <f t="shared" ca="1" si="177"/>
        <v>1.1138222573116623</v>
      </c>
      <c r="W399" s="304">
        <f t="shared" ca="1" si="178"/>
        <v>235.00524462903277</v>
      </c>
      <c r="Y399" s="314" t="str">
        <f t="shared" ca="1" si="196"/>
        <v/>
      </c>
      <c r="Z399" s="315" t="str">
        <f t="shared" ca="1" si="197"/>
        <v/>
      </c>
      <c r="AA399" s="316" t="str">
        <f t="shared" ca="1" si="198"/>
        <v/>
      </c>
      <c r="AC399" s="310" t="e">
        <f t="shared" ca="1" si="199"/>
        <v>#N/A</v>
      </c>
      <c r="AD399" s="323" t="e">
        <f t="shared" ca="1" si="200"/>
        <v>#N/A</v>
      </c>
      <c r="AE399" s="324">
        <f t="shared" ca="1" si="179"/>
        <v>950.7156205716127</v>
      </c>
      <c r="AG399" s="306">
        <f t="shared" ca="1" si="201"/>
        <v>-56.04572538825132</v>
      </c>
      <c r="AH399" s="304">
        <f t="shared" ca="1" si="202"/>
        <v>-46.44343488356747</v>
      </c>
    </row>
    <row r="400" spans="1:34" x14ac:dyDescent="0.2">
      <c r="A400" s="347">
        <f t="shared" ca="1" si="180"/>
        <v>0.01</v>
      </c>
      <c r="B400" s="304">
        <f t="shared" ca="1" si="181"/>
        <v>3.9599999999999596</v>
      </c>
      <c r="D400" s="306">
        <f t="shared" ca="1" si="182"/>
        <v>-9.467036653427245</v>
      </c>
      <c r="E400" s="307">
        <f t="shared" ca="1" si="183"/>
        <v>-55.063932020133272</v>
      </c>
      <c r="F400" s="304">
        <f t="shared" ca="1" si="184"/>
        <v>55.871830044443627</v>
      </c>
      <c r="G400" s="306">
        <f t="shared" ca="1" si="185"/>
        <v>53.582019476158806</v>
      </c>
      <c r="H400" s="307">
        <f t="shared" ca="1" si="186"/>
        <v>256.03242485623639</v>
      </c>
      <c r="I400" s="304">
        <f t="shared" ca="1" si="187"/>
        <v>261.57911879373665</v>
      </c>
      <c r="J400" s="306">
        <f t="shared" ca="1" si="188"/>
        <v>187.40848551800471</v>
      </c>
      <c r="K400" s="307">
        <f t="shared" ca="1" si="189"/>
        <v>953.27869801677605</v>
      </c>
      <c r="L400" s="304">
        <f t="shared" ca="1" si="174"/>
        <v>971.52571583911867</v>
      </c>
      <c r="M400" s="306">
        <f t="shared" ca="1" si="190"/>
        <v>1.3644954918242416</v>
      </c>
      <c r="N400" s="304">
        <f t="shared" ca="1" si="191"/>
        <v>78.179832846156572</v>
      </c>
      <c r="P400" s="310">
        <f t="shared" ca="1" si="192"/>
        <v>23</v>
      </c>
      <c r="Q400" s="304">
        <f t="shared" ca="1" si="193"/>
        <v>0</v>
      </c>
      <c r="R400" s="306">
        <f t="shared" ca="1" si="194"/>
        <v>0</v>
      </c>
      <c r="S400" s="307">
        <f t="shared" ca="1" si="195"/>
        <v>5.0829999999999913</v>
      </c>
      <c r="T400" s="304">
        <f t="shared" ca="1" si="175"/>
        <v>49.864229999999914</v>
      </c>
      <c r="U400" s="311">
        <f t="shared" ca="1" si="176"/>
        <v>0</v>
      </c>
      <c r="V400" s="306">
        <f t="shared" ca="1" si="177"/>
        <v>1.113536164492378</v>
      </c>
      <c r="W400" s="304">
        <f t="shared" ca="1" si="178"/>
        <v>233.94507641655571</v>
      </c>
      <c r="Y400" s="314" t="str">
        <f t="shared" ca="1" si="196"/>
        <v/>
      </c>
      <c r="Z400" s="315" t="str">
        <f t="shared" ca="1" si="197"/>
        <v/>
      </c>
      <c r="AA400" s="316" t="str">
        <f t="shared" ca="1" si="198"/>
        <v/>
      </c>
      <c r="AC400" s="310" t="e">
        <f t="shared" ca="1" si="199"/>
        <v>#N/A</v>
      </c>
      <c r="AD400" s="323" t="e">
        <f t="shared" ca="1" si="200"/>
        <v>#N/A</v>
      </c>
      <c r="AE400" s="324">
        <f t="shared" ca="1" si="179"/>
        <v>953.27869801677605</v>
      </c>
      <c r="AG400" s="306">
        <f t="shared" ca="1" si="201"/>
        <v>-55.835708296262197</v>
      </c>
      <c r="AH400" s="304">
        <f t="shared" ca="1" si="202"/>
        <v>-46.233571636638437</v>
      </c>
    </row>
    <row r="401" spans="1:34" x14ac:dyDescent="0.2">
      <c r="A401" s="347">
        <f t="shared" ca="1" si="180"/>
        <v>0.01</v>
      </c>
      <c r="B401" s="304">
        <f t="shared" ca="1" si="181"/>
        <v>3.9699999999999593</v>
      </c>
      <c r="D401" s="306">
        <f t="shared" ca="1" si="182"/>
        <v>-9.4277879392480237</v>
      </c>
      <c r="E401" s="307">
        <f t="shared" ca="1" si="183"/>
        <v>-54.859056207933243</v>
      </c>
      <c r="F401" s="304">
        <f t="shared" ca="1" si="184"/>
        <v>55.663266464092899</v>
      </c>
      <c r="G401" s="306">
        <f t="shared" ca="1" si="185"/>
        <v>53.487741596766327</v>
      </c>
      <c r="H401" s="307">
        <f t="shared" ca="1" si="186"/>
        <v>255.48383429415705</v>
      </c>
      <c r="I401" s="304">
        <f t="shared" ca="1" si="187"/>
        <v>261.02284974072046</v>
      </c>
      <c r="J401" s="306">
        <f t="shared" ca="1" si="188"/>
        <v>187.94383432336934</v>
      </c>
      <c r="K401" s="307">
        <f t="shared" ca="1" si="189"/>
        <v>955.83627931252806</v>
      </c>
      <c r="L401" s="304">
        <f t="shared" ca="1" si="174"/>
        <v>974.13853106741817</v>
      </c>
      <c r="M401" s="306">
        <f t="shared" ca="1" si="190"/>
        <v>1.36441850675823</v>
      </c>
      <c r="N401" s="304">
        <f t="shared" ca="1" si="191"/>
        <v>78.175421926788573</v>
      </c>
      <c r="P401" s="310">
        <f t="shared" ca="1" si="192"/>
        <v>23</v>
      </c>
      <c r="Q401" s="304">
        <f t="shared" ca="1" si="193"/>
        <v>0</v>
      </c>
      <c r="R401" s="306">
        <f t="shared" ca="1" si="194"/>
        <v>0</v>
      </c>
      <c r="S401" s="307">
        <f t="shared" ca="1" si="195"/>
        <v>5.0829999999999913</v>
      </c>
      <c r="T401" s="304">
        <f t="shared" ca="1" si="175"/>
        <v>49.864229999999914</v>
      </c>
      <c r="U401" s="311">
        <f t="shared" ca="1" si="176"/>
        <v>0</v>
      </c>
      <c r="V401" s="306">
        <f t="shared" ca="1" si="177"/>
        <v>1.1132507549160662</v>
      </c>
      <c r="W401" s="304">
        <f t="shared" ca="1" si="178"/>
        <v>232.89142080202464</v>
      </c>
      <c r="Y401" s="314" t="str">
        <f t="shared" ca="1" si="196"/>
        <v/>
      </c>
      <c r="Z401" s="315" t="str">
        <f t="shared" ca="1" si="197"/>
        <v/>
      </c>
      <c r="AA401" s="316" t="str">
        <f t="shared" ca="1" si="198"/>
        <v/>
      </c>
      <c r="AC401" s="310" t="e">
        <f t="shared" ca="1" si="199"/>
        <v>#N/A</v>
      </c>
      <c r="AD401" s="323" t="e">
        <f t="shared" ca="1" si="200"/>
        <v>#N/A</v>
      </c>
      <c r="AE401" s="324">
        <f t="shared" ca="1" si="179"/>
        <v>955.83627931252806</v>
      </c>
      <c r="AG401" s="306">
        <f t="shared" ca="1" si="201"/>
        <v>-55.626982651827824</v>
      </c>
      <c r="AH401" s="304">
        <f t="shared" ca="1" si="202"/>
        <v>-46.025000278685049</v>
      </c>
    </row>
    <row r="402" spans="1:34" x14ac:dyDescent="0.2">
      <c r="A402" s="347">
        <f t="shared" ca="1" si="180"/>
        <v>0.01</v>
      </c>
      <c r="B402" s="304">
        <f t="shared" ca="1" si="181"/>
        <v>3.9799999999999591</v>
      </c>
      <c r="D402" s="306">
        <f t="shared" ca="1" si="182"/>
        <v>-9.3887789695273742</v>
      </c>
      <c r="E402" s="307">
        <f t="shared" ca="1" si="183"/>
        <v>-54.655438952319031</v>
      </c>
      <c r="F402" s="304">
        <f t="shared" ca="1" si="184"/>
        <v>55.455984146071309</v>
      </c>
      <c r="G402" s="306">
        <f t="shared" ca="1" si="185"/>
        <v>53.393853807071054</v>
      </c>
      <c r="H402" s="307">
        <f t="shared" ca="1" si="186"/>
        <v>254.93727990463387</v>
      </c>
      <c r="I402" s="304">
        <f t="shared" ca="1" si="187"/>
        <v>260.46865513828055</v>
      </c>
      <c r="J402" s="306">
        <f t="shared" ca="1" si="188"/>
        <v>188.47824230038853</v>
      </c>
      <c r="K402" s="307">
        <f t="shared" ca="1" si="189"/>
        <v>958.38838488352201</v>
      </c>
      <c r="L402" s="304">
        <f t="shared" ca="1" si="174"/>
        <v>976.74579297803473</v>
      </c>
      <c r="M402" s="306">
        <f t="shared" ca="1" si="190"/>
        <v>1.3643413295126985</v>
      </c>
      <c r="N402" s="304">
        <f t="shared" ca="1" si="191"/>
        <v>78.170999996345174</v>
      </c>
      <c r="P402" s="310">
        <f t="shared" ca="1" si="192"/>
        <v>23</v>
      </c>
      <c r="Q402" s="304">
        <f t="shared" ca="1" si="193"/>
        <v>0</v>
      </c>
      <c r="R402" s="306">
        <f t="shared" ca="1" si="194"/>
        <v>0</v>
      </c>
      <c r="S402" s="307">
        <f t="shared" ca="1" si="195"/>
        <v>5.0829999999999913</v>
      </c>
      <c r="T402" s="304">
        <f t="shared" ca="1" si="175"/>
        <v>49.864229999999914</v>
      </c>
      <c r="U402" s="311">
        <f t="shared" ca="1" si="176"/>
        <v>0</v>
      </c>
      <c r="V402" s="306">
        <f t="shared" ca="1" si="177"/>
        <v>1.1129660258296299</v>
      </c>
      <c r="W402" s="304">
        <f t="shared" ca="1" si="178"/>
        <v>231.84422427073267</v>
      </c>
      <c r="Y402" s="314" t="str">
        <f t="shared" ca="1" si="196"/>
        <v/>
      </c>
      <c r="Z402" s="315" t="str">
        <f t="shared" ca="1" si="197"/>
        <v/>
      </c>
      <c r="AA402" s="316" t="str">
        <f t="shared" ca="1" si="198"/>
        <v/>
      </c>
      <c r="AC402" s="310" t="e">
        <f t="shared" ca="1" si="199"/>
        <v>#N/A</v>
      </c>
      <c r="AD402" s="323" t="e">
        <f t="shared" ca="1" si="200"/>
        <v>#N/A</v>
      </c>
      <c r="AE402" s="324">
        <f t="shared" ca="1" si="179"/>
        <v>958.38838488352201</v>
      </c>
      <c r="AG402" s="306">
        <f t="shared" ca="1" si="201"/>
        <v>-55.419537815823702</v>
      </c>
      <c r="AH402" s="304">
        <f t="shared" ca="1" si="202"/>
        <v>-45.81771017155716</v>
      </c>
    </row>
    <row r="403" spans="1:34" x14ac:dyDescent="0.2">
      <c r="A403" s="347">
        <f t="shared" ca="1" si="180"/>
        <v>0.01</v>
      </c>
      <c r="B403" s="304">
        <f t="shared" ca="1" si="181"/>
        <v>3.9899999999999589</v>
      </c>
      <c r="D403" s="306">
        <f t="shared" ca="1" si="182"/>
        <v>-9.3500077715140471</v>
      </c>
      <c r="E403" s="307">
        <f t="shared" ca="1" si="183"/>
        <v>-54.453069911565478</v>
      </c>
      <c r="F403" s="304">
        <f t="shared" ca="1" si="184"/>
        <v>55.24997256217609</v>
      </c>
      <c r="G403" s="306">
        <f t="shared" ca="1" si="185"/>
        <v>53.300353729355912</v>
      </c>
      <c r="H403" s="307">
        <f t="shared" ca="1" si="186"/>
        <v>254.39274920551821</v>
      </c>
      <c r="I403" s="304">
        <f t="shared" ca="1" si="187"/>
        <v>259.91652228362886</v>
      </c>
      <c r="J403" s="306">
        <f t="shared" ca="1" si="188"/>
        <v>189.01171333807068</v>
      </c>
      <c r="K403" s="307">
        <f t="shared" ca="1" si="189"/>
        <v>960.93503502907276</v>
      </c>
      <c r="L403" s="304">
        <f t="shared" ca="1" si="174"/>
        <v>979.34752224392662</v>
      </c>
      <c r="M403" s="306">
        <f t="shared" ca="1" si="190"/>
        <v>1.3642639598113016</v>
      </c>
      <c r="N403" s="304">
        <f t="shared" ca="1" si="191"/>
        <v>78.166567038992937</v>
      </c>
      <c r="P403" s="310">
        <f t="shared" ca="1" si="192"/>
        <v>23</v>
      </c>
      <c r="Q403" s="304">
        <f t="shared" ca="1" si="193"/>
        <v>0</v>
      </c>
      <c r="R403" s="306">
        <f t="shared" ca="1" si="194"/>
        <v>0</v>
      </c>
      <c r="S403" s="307">
        <f t="shared" ca="1" si="195"/>
        <v>5.0829999999999913</v>
      </c>
      <c r="T403" s="304">
        <f t="shared" ca="1" si="175"/>
        <v>49.864229999999914</v>
      </c>
      <c r="U403" s="311">
        <f t="shared" ca="1" si="176"/>
        <v>0</v>
      </c>
      <c r="V403" s="306">
        <f t="shared" ca="1" si="177"/>
        <v>1.1126819744974719</v>
      </c>
      <c r="W403" s="304">
        <f t="shared" ca="1" si="178"/>
        <v>230.80343386003781</v>
      </c>
      <c r="Y403" s="314" t="str">
        <f t="shared" ca="1" si="196"/>
        <v/>
      </c>
      <c r="Z403" s="315" t="str">
        <f t="shared" ca="1" si="197"/>
        <v/>
      </c>
      <c r="AA403" s="316" t="str">
        <f t="shared" ca="1" si="198"/>
        <v/>
      </c>
      <c r="AC403" s="310" t="e">
        <f t="shared" ca="1" si="199"/>
        <v>#N/A</v>
      </c>
      <c r="AD403" s="323" t="e">
        <f t="shared" ca="1" si="200"/>
        <v>#N/A</v>
      </c>
      <c r="AE403" s="324">
        <f t="shared" ca="1" si="179"/>
        <v>960.93503502907276</v>
      </c>
      <c r="AG403" s="306">
        <f t="shared" ca="1" si="201"/>
        <v>-55.213363259097839</v>
      </c>
      <c r="AH403" s="304">
        <f t="shared" ca="1" si="202"/>
        <v>-45.611690787081066</v>
      </c>
    </row>
    <row r="404" spans="1:34" x14ac:dyDescent="0.2">
      <c r="A404" s="347">
        <f t="shared" ca="1" si="180"/>
        <v>0.01</v>
      </c>
      <c r="B404" s="304">
        <f t="shared" ca="1" si="181"/>
        <v>3.9999999999999587</v>
      </c>
      <c r="D404" s="306">
        <f t="shared" ca="1" si="182"/>
        <v>-9.3114723928059782</v>
      </c>
      <c r="E404" s="307">
        <f t="shared" ca="1" si="183"/>
        <v>-54.251938850634012</v>
      </c>
      <c r="F404" s="304">
        <f t="shared" ca="1" si="184"/>
        <v>55.04522129281451</v>
      </c>
      <c r="G404" s="306">
        <f t="shared" ca="1" si="185"/>
        <v>53.207239005427851</v>
      </c>
      <c r="H404" s="307">
        <f t="shared" ca="1" si="186"/>
        <v>253.85022981701186</v>
      </c>
      <c r="I404" s="304">
        <f t="shared" ca="1" si="187"/>
        <v>259.36643857818319</v>
      </c>
      <c r="J404" s="306">
        <f t="shared" ca="1" si="188"/>
        <v>189.54425130174459</v>
      </c>
      <c r="K404" s="307">
        <f t="shared" ca="1" si="189"/>
        <v>963.47624992418537</v>
      </c>
      <c r="L404" s="304">
        <f t="shared" ca="1" si="174"/>
        <v>981.94373941153583</v>
      </c>
      <c r="M404" s="306">
        <f t="shared" ca="1" si="190"/>
        <v>1.3641863973766524</v>
      </c>
      <c r="N404" s="304">
        <f t="shared" ca="1" si="191"/>
        <v>78.162123038838786</v>
      </c>
      <c r="P404" s="310">
        <f t="shared" ca="1" si="192"/>
        <v>23</v>
      </c>
      <c r="Q404" s="304">
        <f t="shared" ca="1" si="193"/>
        <v>0</v>
      </c>
      <c r="R404" s="306">
        <f t="shared" ca="1" si="194"/>
        <v>0</v>
      </c>
      <c r="S404" s="307">
        <f t="shared" ca="1" si="195"/>
        <v>5.0829999999999913</v>
      </c>
      <c r="T404" s="304">
        <f t="shared" ca="1" si="175"/>
        <v>49.864229999999914</v>
      </c>
      <c r="U404" s="311">
        <f t="shared" ca="1" si="176"/>
        <v>0</v>
      </c>
      <c r="V404" s="306">
        <f t="shared" ca="1" si="177"/>
        <v>1.1123985982013462</v>
      </c>
      <c r="W404" s="304">
        <f t="shared" ca="1" si="178"/>
        <v>229.76899715251983</v>
      </c>
      <c r="Y404" s="314" t="str">
        <f t="shared" ca="1" si="196"/>
        <v/>
      </c>
      <c r="Z404" s="315" t="str">
        <f t="shared" ca="1" si="197"/>
        <v/>
      </c>
      <c r="AA404" s="316" t="str">
        <f t="shared" ca="1" si="198"/>
        <v/>
      </c>
      <c r="AC404" s="310">
        <f t="shared" ca="1" si="199"/>
        <v>3.9999999999999587</v>
      </c>
      <c r="AD404" s="323">
        <f t="shared" ca="1" si="200"/>
        <v>189.54425130174459</v>
      </c>
      <c r="AE404" s="324">
        <f t="shared" ca="1" si="179"/>
        <v>963.47624992418537</v>
      </c>
      <c r="AG404" s="306">
        <f t="shared" ca="1" si="201"/>
        <v>-55.008448561104373</v>
      </c>
      <c r="AH404" s="304">
        <f t="shared" ca="1" si="202"/>
        <v>-45.406931705693133</v>
      </c>
    </row>
    <row r="405" spans="1:34" x14ac:dyDescent="0.2">
      <c r="A405" s="347">
        <f t="shared" ca="1" si="180"/>
        <v>0.1</v>
      </c>
      <c r="B405" s="304">
        <f t="shared" ca="1" si="181"/>
        <v>4.0999999999999588</v>
      </c>
      <c r="D405" s="306">
        <f t="shared" ca="1" si="182"/>
        <v>-9.2731709010980445</v>
      </c>
      <c r="E405" s="307">
        <f t="shared" ca="1" si="183"/>
        <v>-54.052035639850196</v>
      </c>
      <c r="F405" s="304">
        <f t="shared" ca="1" si="184"/>
        <v>54.841720025657537</v>
      </c>
      <c r="G405" s="306">
        <f t="shared" ca="1" si="185"/>
        <v>52.279921915318049</v>
      </c>
      <c r="H405" s="307">
        <f t="shared" ca="1" si="186"/>
        <v>248.44502625302684</v>
      </c>
      <c r="I405" s="304">
        <f t="shared" ca="1" si="187"/>
        <v>253.88603999696193</v>
      </c>
      <c r="J405" s="306">
        <f t="shared" ca="1" si="188"/>
        <v>194.81860934778189</v>
      </c>
      <c r="K405" s="307">
        <f t="shared" ca="1" si="189"/>
        <v>988.59101272768726</v>
      </c>
      <c r="L405" s="304">
        <f t="shared" ca="1" si="174"/>
        <v>1007.6043275979704</v>
      </c>
      <c r="M405" s="306">
        <f t="shared" ca="1" si="190"/>
        <v>1.3633937369515412</v>
      </c>
      <c r="N405" s="304">
        <f t="shared" ca="1" si="191"/>
        <v>78.116706941892858</v>
      </c>
      <c r="P405" s="310">
        <f t="shared" ca="1" si="192"/>
        <v>23</v>
      </c>
      <c r="Q405" s="304">
        <f t="shared" ca="1" si="193"/>
        <v>0</v>
      </c>
      <c r="R405" s="306">
        <f t="shared" ca="1" si="194"/>
        <v>0</v>
      </c>
      <c r="S405" s="307">
        <f t="shared" ca="1" si="195"/>
        <v>5.0829999999999913</v>
      </c>
      <c r="T405" s="304">
        <f t="shared" ca="1" si="175"/>
        <v>49.864229999999914</v>
      </c>
      <c r="U405" s="311">
        <f t="shared" ca="1" si="176"/>
        <v>0</v>
      </c>
      <c r="V405" s="306">
        <f t="shared" ca="1" si="177"/>
        <v>1.1096016876638322</v>
      </c>
      <c r="W405" s="304">
        <f t="shared" ca="1" si="178"/>
        <v>219.60801705293088</v>
      </c>
      <c r="Y405" s="314" t="str">
        <f t="shared" ca="1" si="196"/>
        <v/>
      </c>
      <c r="Z405" s="315" t="str">
        <f t="shared" ca="1" si="197"/>
        <v/>
      </c>
      <c r="AA405" s="316" t="str">
        <f t="shared" ca="1" si="198"/>
        <v/>
      </c>
      <c r="AC405" s="310" t="e">
        <f t="shared" ca="1" si="199"/>
        <v>#N/A</v>
      </c>
      <c r="AD405" s="323" t="e">
        <f t="shared" ca="1" si="200"/>
        <v>#N/A</v>
      </c>
      <c r="AE405" s="324">
        <f t="shared" ca="1" si="179"/>
        <v>988.59101272768726</v>
      </c>
      <c r="AG405" s="306">
        <f t="shared" ca="1" si="201"/>
        <v>-54.804783408557228</v>
      </c>
      <c r="AH405" s="304">
        <f t="shared" ca="1" si="202"/>
        <v>-45.203422615093494</v>
      </c>
    </row>
    <row r="406" spans="1:34" x14ac:dyDescent="0.2">
      <c r="A406" s="347">
        <f t="shared" ca="1" si="180"/>
        <v>0.1</v>
      </c>
      <c r="B406" s="304">
        <f t="shared" ca="1" si="181"/>
        <v>4.1999999999999584</v>
      </c>
      <c r="D406" s="306">
        <f t="shared" ca="1" si="182"/>
        <v>-8.8966025534350646</v>
      </c>
      <c r="E406" s="307">
        <f t="shared" ca="1" si="183"/>
        <v>-52.088499545794022</v>
      </c>
      <c r="F406" s="304">
        <f t="shared" ca="1" si="184"/>
        <v>52.842798203028302</v>
      </c>
      <c r="G406" s="306">
        <f t="shared" ca="1" si="185"/>
        <v>51.390261659974541</v>
      </c>
      <c r="H406" s="307">
        <f t="shared" ca="1" si="186"/>
        <v>243.23617629844745</v>
      </c>
      <c r="I406" s="304">
        <f t="shared" ca="1" si="187"/>
        <v>248.60570478927079</v>
      </c>
      <c r="J406" s="306">
        <f t="shared" ca="1" si="188"/>
        <v>200.00211852654652</v>
      </c>
      <c r="K406" s="307">
        <f t="shared" ca="1" si="189"/>
        <v>1013.175072855261</v>
      </c>
      <c r="L406" s="304">
        <f t="shared" ca="1" si="174"/>
        <v>1032.7267671898362</v>
      </c>
      <c r="M406" s="306">
        <f t="shared" ca="1" si="190"/>
        <v>1.3625811795072507</v>
      </c>
      <c r="N406" s="304">
        <f t="shared" ca="1" si="191"/>
        <v>78.070150829723076</v>
      </c>
      <c r="P406" s="310">
        <f t="shared" ca="1" si="192"/>
        <v>23</v>
      </c>
      <c r="Q406" s="304">
        <f t="shared" ca="1" si="193"/>
        <v>0</v>
      </c>
      <c r="R406" s="306">
        <f t="shared" ca="1" si="194"/>
        <v>0</v>
      </c>
      <c r="S406" s="307">
        <f t="shared" ca="1" si="195"/>
        <v>5.0829999999999913</v>
      </c>
      <c r="T406" s="304">
        <f t="shared" ca="1" si="175"/>
        <v>49.864229999999914</v>
      </c>
      <c r="U406" s="311">
        <f t="shared" ca="1" si="176"/>
        <v>0</v>
      </c>
      <c r="V406" s="306">
        <f t="shared" ca="1" si="177"/>
        <v>1.1068703541997331</v>
      </c>
      <c r="W406" s="304">
        <f t="shared" ca="1" si="178"/>
        <v>210.04984946872139</v>
      </c>
      <c r="Y406" s="314" t="str">
        <f t="shared" ca="1" si="196"/>
        <v/>
      </c>
      <c r="Z406" s="315" t="str">
        <f t="shared" ca="1" si="197"/>
        <v/>
      </c>
      <c r="AA406" s="316" t="str">
        <f t="shared" ca="1" si="198"/>
        <v/>
      </c>
      <c r="AC406" s="310" t="e">
        <f t="shared" ca="1" si="199"/>
        <v>#N/A</v>
      </c>
      <c r="AD406" s="323" t="e">
        <f t="shared" ca="1" si="200"/>
        <v>#N/A</v>
      </c>
      <c r="AE406" s="324">
        <f t="shared" ca="1" si="179"/>
        <v>1013.175072855261</v>
      </c>
      <c r="AG406" s="306">
        <f t="shared" ca="1" si="201"/>
        <v>-52.804172785952311</v>
      </c>
      <c r="AH406" s="304">
        <f t="shared" ca="1" si="202"/>
        <v>-43.204410201245572</v>
      </c>
    </row>
    <row r="407" spans="1:34" x14ac:dyDescent="0.2">
      <c r="A407" s="347">
        <f t="shared" ca="1" si="180"/>
        <v>0.1</v>
      </c>
      <c r="B407" s="304">
        <f t="shared" ca="1" si="181"/>
        <v>4.2999999999999581</v>
      </c>
      <c r="D407" s="306">
        <f t="shared" ca="1" si="182"/>
        <v>-8.542244614363117</v>
      </c>
      <c r="E407" s="307">
        <f t="shared" ca="1" si="183"/>
        <v>-50.241452378106459</v>
      </c>
      <c r="F407" s="304">
        <f t="shared" ca="1" si="184"/>
        <v>50.962471291266425</v>
      </c>
      <c r="G407" s="306">
        <f t="shared" ca="1" si="185"/>
        <v>50.536037198538232</v>
      </c>
      <c r="H407" s="307">
        <f t="shared" ca="1" si="186"/>
        <v>238.2120310606368</v>
      </c>
      <c r="I407" s="304">
        <f t="shared" ca="1" si="187"/>
        <v>243.51357826159474</v>
      </c>
      <c r="J407" s="306">
        <f t="shared" ca="1" si="188"/>
        <v>205.09843346947216</v>
      </c>
      <c r="K407" s="307">
        <f t="shared" ca="1" si="189"/>
        <v>1037.2474832232151</v>
      </c>
      <c r="L407" s="304">
        <f t="shared" ca="1" si="174"/>
        <v>1057.3304634145964</v>
      </c>
      <c r="M407" s="306">
        <f t="shared" ca="1" si="190"/>
        <v>1.3617484276424139</v>
      </c>
      <c r="N407" s="304">
        <f t="shared" ca="1" si="191"/>
        <v>78.022437662486283</v>
      </c>
      <c r="P407" s="310">
        <f t="shared" ca="1" si="192"/>
        <v>23</v>
      </c>
      <c r="Q407" s="304">
        <f t="shared" ca="1" si="193"/>
        <v>0</v>
      </c>
      <c r="R407" s="306">
        <f t="shared" ca="1" si="194"/>
        <v>0</v>
      </c>
      <c r="S407" s="307">
        <f t="shared" ca="1" si="195"/>
        <v>5.0829999999999913</v>
      </c>
      <c r="T407" s="304">
        <f t="shared" ca="1" si="175"/>
        <v>49.864229999999914</v>
      </c>
      <c r="U407" s="311">
        <f t="shared" ca="1" si="176"/>
        <v>0</v>
      </c>
      <c r="V407" s="306">
        <f t="shared" ca="1" si="177"/>
        <v>1.1042020516979003</v>
      </c>
      <c r="W407" s="304">
        <f t="shared" ca="1" si="178"/>
        <v>201.04734997705341</v>
      </c>
      <c r="Y407" s="314" t="str">
        <f t="shared" ca="1" si="196"/>
        <v/>
      </c>
      <c r="Z407" s="315" t="str">
        <f t="shared" ca="1" si="197"/>
        <v/>
      </c>
      <c r="AA407" s="316" t="str">
        <f t="shared" ca="1" si="198"/>
        <v/>
      </c>
      <c r="AC407" s="310" t="e">
        <f t="shared" ca="1" si="199"/>
        <v>#N/A</v>
      </c>
      <c r="AD407" s="323" t="e">
        <f t="shared" ca="1" si="200"/>
        <v>#N/A</v>
      </c>
      <c r="AE407" s="324">
        <f t="shared" ca="1" si="179"/>
        <v>1037.2474832232151</v>
      </c>
      <c r="AG407" s="306">
        <f t="shared" ca="1" si="201"/>
        <v>-50.922109630418817</v>
      </c>
      <c r="AH407" s="304">
        <f t="shared" ca="1" si="202"/>
        <v>-41.323991632642482</v>
      </c>
    </row>
    <row r="408" spans="1:34" x14ac:dyDescent="0.2">
      <c r="A408" s="347">
        <f t="shared" ca="1" si="180"/>
        <v>0.1</v>
      </c>
      <c r="B408" s="304">
        <f t="shared" ca="1" si="181"/>
        <v>4.3999999999999577</v>
      </c>
      <c r="D408" s="306">
        <f t="shared" ca="1" si="182"/>
        <v>-8.2083571483165851</v>
      </c>
      <c r="E408" s="307">
        <f t="shared" ca="1" si="183"/>
        <v>-48.501783850993164</v>
      </c>
      <c r="F408" s="304">
        <f t="shared" ca="1" si="184"/>
        <v>49.191464338874702</v>
      </c>
      <c r="G408" s="306">
        <f t="shared" ca="1" si="185"/>
        <v>49.715201483706572</v>
      </c>
      <c r="H408" s="307">
        <f t="shared" ca="1" si="186"/>
        <v>233.36185267553748</v>
      </c>
      <c r="I408" s="304">
        <f t="shared" ca="1" si="187"/>
        <v>238.59873332171065</v>
      </c>
      <c r="J408" s="306">
        <f t="shared" ca="1" si="188"/>
        <v>210.11099540358438</v>
      </c>
      <c r="K408" s="307">
        <f t="shared" ca="1" si="189"/>
        <v>1060.8261774100238</v>
      </c>
      <c r="L408" s="304">
        <f t="shared" ca="1" si="174"/>
        <v>1081.4336822329183</v>
      </c>
      <c r="M408" s="306">
        <f t="shared" ca="1" si="190"/>
        <v>1.3608951724742009</v>
      </c>
      <c r="N408" s="304">
        <f t="shared" ca="1" si="191"/>
        <v>77.973549742499955</v>
      </c>
      <c r="P408" s="310">
        <f t="shared" ca="1" si="192"/>
        <v>23</v>
      </c>
      <c r="Q408" s="304">
        <f t="shared" ca="1" si="193"/>
        <v>0</v>
      </c>
      <c r="R408" s="306">
        <f t="shared" ca="1" si="194"/>
        <v>0</v>
      </c>
      <c r="S408" s="307">
        <f t="shared" ca="1" si="195"/>
        <v>5.0829999999999913</v>
      </c>
      <c r="T408" s="304">
        <f t="shared" ca="1" si="175"/>
        <v>49.864229999999914</v>
      </c>
      <c r="U408" s="311">
        <f t="shared" ca="1" si="176"/>
        <v>0</v>
      </c>
      <c r="V408" s="306">
        <f t="shared" ca="1" si="177"/>
        <v>1.1015943884270651</v>
      </c>
      <c r="W408" s="304">
        <f t="shared" ca="1" si="178"/>
        <v>192.55793544565259</v>
      </c>
      <c r="Y408" s="314" t="str">
        <f t="shared" ca="1" si="196"/>
        <v/>
      </c>
      <c r="Z408" s="315" t="str">
        <f t="shared" ca="1" si="197"/>
        <v/>
      </c>
      <c r="AA408" s="316" t="str">
        <f t="shared" ca="1" si="198"/>
        <v/>
      </c>
      <c r="AC408" s="310" t="e">
        <f t="shared" ca="1" si="199"/>
        <v>#N/A</v>
      </c>
      <c r="AD408" s="323" t="e">
        <f t="shared" ca="1" si="200"/>
        <v>#N/A</v>
      </c>
      <c r="AE408" s="324">
        <f t="shared" ca="1" si="179"/>
        <v>1060.8261774100238</v>
      </c>
      <c r="AG408" s="306">
        <f t="shared" ca="1" si="201"/>
        <v>-49.149317951125028</v>
      </c>
      <c r="AH408" s="304">
        <f t="shared" ca="1" si="202"/>
        <v>-39.55289198840326</v>
      </c>
    </row>
    <row r="409" spans="1:34" x14ac:dyDescent="0.2">
      <c r="A409" s="347">
        <f t="shared" ca="1" si="180"/>
        <v>0.1</v>
      </c>
      <c r="B409" s="304">
        <f t="shared" ca="1" si="181"/>
        <v>4.4999999999999574</v>
      </c>
      <c r="D409" s="306">
        <f t="shared" ca="1" si="182"/>
        <v>-7.893368556087851</v>
      </c>
      <c r="E409" s="307">
        <f t="shared" ca="1" si="183"/>
        <v>-46.861265108584249</v>
      </c>
      <c r="F409" s="304">
        <f t="shared" ca="1" si="184"/>
        <v>47.521399755681145</v>
      </c>
      <c r="G409" s="306">
        <f t="shared" ca="1" si="185"/>
        <v>48.925864628097784</v>
      </c>
      <c r="H409" s="307">
        <f t="shared" ca="1" si="186"/>
        <v>228.67572616467905</v>
      </c>
      <c r="I409" s="304">
        <f t="shared" ca="1" si="187"/>
        <v>233.85108074702205</v>
      </c>
      <c r="J409" s="306">
        <f t="shared" ca="1" si="188"/>
        <v>215.0430487091746</v>
      </c>
      <c r="K409" s="307">
        <f t="shared" ca="1" si="189"/>
        <v>1083.9280563520347</v>
      </c>
      <c r="L409" s="304">
        <f t="shared" ca="1" si="174"/>
        <v>1105.0536385828682</v>
      </c>
      <c r="M409" s="306">
        <f t="shared" ca="1" si="190"/>
        <v>1.3600210933431423</v>
      </c>
      <c r="N409" s="304">
        <f t="shared" ca="1" si="191"/>
        <v>77.923468697329838</v>
      </c>
      <c r="P409" s="310">
        <f t="shared" ca="1" si="192"/>
        <v>23</v>
      </c>
      <c r="Q409" s="304">
        <f t="shared" ca="1" si="193"/>
        <v>0</v>
      </c>
      <c r="R409" s="306">
        <f t="shared" ca="1" si="194"/>
        <v>0</v>
      </c>
      <c r="S409" s="307">
        <f t="shared" ca="1" si="195"/>
        <v>5.0829999999999913</v>
      </c>
      <c r="T409" s="304">
        <f t="shared" ca="1" si="175"/>
        <v>49.864229999999914</v>
      </c>
      <c r="U409" s="311">
        <f t="shared" ca="1" si="176"/>
        <v>0</v>
      </c>
      <c r="V409" s="306">
        <f t="shared" ca="1" si="177"/>
        <v>1.0990451147924303</v>
      </c>
      <c r="W409" s="304">
        <f t="shared" ca="1" si="178"/>
        <v>184.54306159715966</v>
      </c>
      <c r="Y409" s="314" t="str">
        <f t="shared" ca="1" si="196"/>
        <v/>
      </c>
      <c r="Z409" s="315" t="str">
        <f t="shared" ca="1" si="197"/>
        <v/>
      </c>
      <c r="AA409" s="316" t="str">
        <f t="shared" ca="1" si="198"/>
        <v/>
      </c>
      <c r="AC409" s="310" t="e">
        <f t="shared" ca="1" si="199"/>
        <v>#N/A</v>
      </c>
      <c r="AD409" s="323" t="e">
        <f t="shared" ca="1" si="200"/>
        <v>#N/A</v>
      </c>
      <c r="AE409" s="324">
        <f t="shared" ca="1" si="179"/>
        <v>1083.9280563520347</v>
      </c>
      <c r="AG409" s="306">
        <f t="shared" ca="1" si="201"/>
        <v>-47.477419074709893</v>
      </c>
      <c r="AH409" s="304">
        <f t="shared" ca="1" si="202"/>
        <v>-37.882733709552021</v>
      </c>
    </row>
    <row r="410" spans="1:34" x14ac:dyDescent="0.2">
      <c r="A410" s="347">
        <f t="shared" ca="1" si="180"/>
        <v>0.1</v>
      </c>
      <c r="B410" s="304">
        <f t="shared" ca="1" si="181"/>
        <v>4.599999999999957</v>
      </c>
      <c r="D410" s="306">
        <f t="shared" ca="1" si="182"/>
        <v>-7.5958562924081177</v>
      </c>
      <c r="E410" s="307">
        <f t="shared" ca="1" si="183"/>
        <v>-45.3124477689339</v>
      </c>
      <c r="F410" s="304">
        <f t="shared" ca="1" si="184"/>
        <v>45.944694531874717</v>
      </c>
      <c r="G410" s="306">
        <f t="shared" ca="1" si="185"/>
        <v>48.166278998856974</v>
      </c>
      <c r="H410" s="307">
        <f t="shared" ca="1" si="186"/>
        <v>224.14448138778565</v>
      </c>
      <c r="I410" s="304">
        <f t="shared" ca="1" si="187"/>
        <v>229.2612897311605</v>
      </c>
      <c r="J410" s="306">
        <f t="shared" ca="1" si="188"/>
        <v>219.89765589052234</v>
      </c>
      <c r="K410" s="307">
        <f t="shared" ca="1" si="189"/>
        <v>1106.5690667296578</v>
      </c>
      <c r="L410" s="304">
        <f t="shared" ca="1" si="174"/>
        <v>1128.2065761681645</v>
      </c>
      <c r="M410" s="306">
        <f t="shared" ca="1" si="190"/>
        <v>1.3591258574997152</v>
      </c>
      <c r="N410" s="304">
        <f t="shared" ca="1" si="191"/>
        <v>77.872175461832626</v>
      </c>
      <c r="P410" s="310">
        <f t="shared" ca="1" si="192"/>
        <v>23</v>
      </c>
      <c r="Q410" s="304">
        <f t="shared" ca="1" si="193"/>
        <v>0</v>
      </c>
      <c r="R410" s="306">
        <f t="shared" ca="1" si="194"/>
        <v>0</v>
      </c>
      <c r="S410" s="307">
        <f t="shared" ca="1" si="195"/>
        <v>5.0829999999999913</v>
      </c>
      <c r="T410" s="304">
        <f t="shared" ca="1" si="175"/>
        <v>49.864229999999914</v>
      </c>
      <c r="U410" s="311">
        <f t="shared" ca="1" si="176"/>
        <v>0</v>
      </c>
      <c r="V410" s="306">
        <f t="shared" ca="1" si="177"/>
        <v>1.0965521122871094</v>
      </c>
      <c r="W410" s="304">
        <f t="shared" ca="1" si="178"/>
        <v>176.96776937372528</v>
      </c>
      <c r="Y410" s="314" t="str">
        <f t="shared" ca="1" si="196"/>
        <v/>
      </c>
      <c r="Z410" s="315" t="str">
        <f t="shared" ca="1" si="197"/>
        <v/>
      </c>
      <c r="AA410" s="316" t="str">
        <f t="shared" ca="1" si="198"/>
        <v/>
      </c>
      <c r="AC410" s="310" t="e">
        <f t="shared" ca="1" si="199"/>
        <v>#N/A</v>
      </c>
      <c r="AD410" s="323" t="e">
        <f t="shared" ca="1" si="200"/>
        <v>#N/A</v>
      </c>
      <c r="AE410" s="324">
        <f t="shared" ca="1" si="179"/>
        <v>1106.5690667296578</v>
      </c>
      <c r="AG410" s="306">
        <f t="shared" ca="1" si="201"/>
        <v>-45.898828862665319</v>
      </c>
      <c r="AH410" s="304">
        <f t="shared" ca="1" si="202"/>
        <v>-36.305933818052324</v>
      </c>
    </row>
    <row r="411" spans="1:34" x14ac:dyDescent="0.2">
      <c r="A411" s="347">
        <f t="shared" ca="1" si="180"/>
        <v>0.1</v>
      </c>
      <c r="B411" s="304">
        <f t="shared" ca="1" si="181"/>
        <v>4.6999999999999567</v>
      </c>
      <c r="D411" s="306">
        <f t="shared" ca="1" si="182"/>
        <v>-7.3145301229714947</v>
      </c>
      <c r="E411" s="307">
        <f t="shared" ca="1" si="183"/>
        <v>-43.848576263026018</v>
      </c>
      <c r="F411" s="304">
        <f t="shared" ca="1" si="184"/>
        <v>44.454470992401497</v>
      </c>
      <c r="G411" s="306">
        <f t="shared" ca="1" si="185"/>
        <v>47.434825986559822</v>
      </c>
      <c r="H411" s="307">
        <f t="shared" ca="1" si="186"/>
        <v>219.75962376148306</v>
      </c>
      <c r="I411" s="304">
        <f t="shared" ca="1" si="187"/>
        <v>224.82071735532693</v>
      </c>
      <c r="J411" s="306">
        <f t="shared" ca="1" si="188"/>
        <v>224.67771113979319</v>
      </c>
      <c r="K411" s="307">
        <f t="shared" ca="1" si="189"/>
        <v>1128.7642719871212</v>
      </c>
      <c r="L411" s="304">
        <f t="shared" ca="1" si="174"/>
        <v>1150.9078397498351</v>
      </c>
      <c r="M411" s="306">
        <f t="shared" ca="1" si="190"/>
        <v>1.3582091197722344</v>
      </c>
      <c r="N411" s="304">
        <f t="shared" ca="1" si="191"/>
        <v>77.819650259127556</v>
      </c>
      <c r="P411" s="310">
        <f t="shared" ca="1" si="192"/>
        <v>23</v>
      </c>
      <c r="Q411" s="304">
        <f t="shared" ca="1" si="193"/>
        <v>0</v>
      </c>
      <c r="R411" s="306">
        <f t="shared" ca="1" si="194"/>
        <v>0</v>
      </c>
      <c r="S411" s="307">
        <f t="shared" ca="1" si="195"/>
        <v>5.0829999999999913</v>
      </c>
      <c r="T411" s="304">
        <f t="shared" ca="1" si="175"/>
        <v>49.864229999999914</v>
      </c>
      <c r="U411" s="311">
        <f t="shared" ca="1" si="176"/>
        <v>0</v>
      </c>
      <c r="V411" s="306">
        <f t="shared" ca="1" si="177"/>
        <v>1.0941133835008534</v>
      </c>
      <c r="W411" s="304">
        <f t="shared" ca="1" si="178"/>
        <v>169.80028990377934</v>
      </c>
      <c r="Y411" s="314" t="str">
        <f t="shared" ca="1" si="196"/>
        <v/>
      </c>
      <c r="Z411" s="315" t="str">
        <f t="shared" ca="1" si="197"/>
        <v/>
      </c>
      <c r="AA411" s="316" t="str">
        <f t="shared" ca="1" si="198"/>
        <v>Satellite</v>
      </c>
      <c r="AC411" s="310" t="e">
        <f t="shared" ca="1" si="199"/>
        <v>#N/A</v>
      </c>
      <c r="AD411" s="323" t="e">
        <f t="shared" ca="1" si="200"/>
        <v>#N/A</v>
      </c>
      <c r="AE411" s="324">
        <f t="shared" ca="1" si="179"/>
        <v>1128.7642719871212</v>
      </c>
      <c r="AG411" s="306">
        <f t="shared" ca="1" si="201"/>
        <v>-44.406668463985305</v>
      </c>
      <c r="AH411" s="304">
        <f t="shared" ca="1" si="202"/>
        <v>-34.815614671203143</v>
      </c>
    </row>
    <row r="412" spans="1:34" x14ac:dyDescent="0.2">
      <c r="A412" s="347">
        <f t="shared" ca="1" si="180"/>
        <v>0.1</v>
      </c>
      <c r="B412" s="304">
        <f t="shared" ca="1" si="181"/>
        <v>4.7999999999999563</v>
      </c>
      <c r="D412" s="306">
        <f t="shared" ca="1" si="182"/>
        <v>-7.0482175444746042</v>
      </c>
      <c r="E412" s="307">
        <f t="shared" ca="1" si="183"/>
        <v>-42.463511498106733</v>
      </c>
      <c r="F412" s="304">
        <f t="shared" ca="1" si="184"/>
        <v>43.04447908041265</v>
      </c>
      <c r="G412" s="306">
        <f t="shared" ca="1" si="185"/>
        <v>46.730004232112364</v>
      </c>
      <c r="H412" s="307">
        <f t="shared" ca="1" si="186"/>
        <v>215.51327261167239</v>
      </c>
      <c r="I412" s="304">
        <f t="shared" ca="1" si="187"/>
        <v>220.52134583147787</v>
      </c>
      <c r="J412" s="306">
        <f t="shared" ca="1" si="188"/>
        <v>229.38595265072681</v>
      </c>
      <c r="K412" s="307">
        <f t="shared" ca="1" si="189"/>
        <v>1150.5279168057789</v>
      </c>
      <c r="L412" s="304">
        <f t="shared" ca="1" si="174"/>
        <v>1173.1719407754888</v>
      </c>
      <c r="M412" s="306">
        <f t="shared" ca="1" si="190"/>
        <v>1.3572705222155277</v>
      </c>
      <c r="N412" s="304">
        <f t="shared" ca="1" si="191"/>
        <v>77.765872580466976</v>
      </c>
      <c r="P412" s="310">
        <f t="shared" ca="1" si="192"/>
        <v>23</v>
      </c>
      <c r="Q412" s="304">
        <f t="shared" ca="1" si="193"/>
        <v>0</v>
      </c>
      <c r="R412" s="306">
        <f t="shared" ca="1" si="194"/>
        <v>0</v>
      </c>
      <c r="S412" s="307">
        <f t="shared" ca="1" si="195"/>
        <v>5.0829999999999913</v>
      </c>
      <c r="T412" s="304">
        <f t="shared" ca="1" si="175"/>
        <v>49.864229999999914</v>
      </c>
      <c r="U412" s="311">
        <f t="shared" ca="1" si="176"/>
        <v>0</v>
      </c>
      <c r="V412" s="306">
        <f t="shared" ca="1" si="177"/>
        <v>1.0917270430666461</v>
      </c>
      <c r="W412" s="304">
        <f t="shared" ca="1" si="178"/>
        <v>163.01169954718043</v>
      </c>
      <c r="Y412" s="314" t="str">
        <f t="shared" ca="1" si="196"/>
        <v/>
      </c>
      <c r="Z412" s="315" t="str">
        <f t="shared" ca="1" si="197"/>
        <v/>
      </c>
      <c r="AA412" s="316" t="str">
        <f t="shared" ca="1" si="198"/>
        <v/>
      </c>
      <c r="AC412" s="310" t="e">
        <f t="shared" ca="1" si="199"/>
        <v>#N/A</v>
      </c>
      <c r="AD412" s="323" t="e">
        <f t="shared" ca="1" si="200"/>
        <v>#N/A</v>
      </c>
      <c r="AE412" s="324">
        <f t="shared" ca="1" si="179"/>
        <v>1150.5279168057789</v>
      </c>
      <c r="AG412" s="306">
        <f t="shared" ca="1" si="201"/>
        <v>-42.994686596768325</v>
      </c>
      <c r="AH412" s="304">
        <f t="shared" ca="1" si="202"/>
        <v>-33.405526245087472</v>
      </c>
    </row>
    <row r="413" spans="1:34" x14ac:dyDescent="0.2">
      <c r="A413" s="347">
        <f t="shared" ca="1" si="180"/>
        <v>0.1</v>
      </c>
      <c r="B413" s="304">
        <f t="shared" ca="1" si="181"/>
        <v>4.8999999999999559</v>
      </c>
      <c r="D413" s="306">
        <f t="shared" ca="1" si="182"/>
        <v>-6.7958510530458467</v>
      </c>
      <c r="E413" s="307">
        <f t="shared" ca="1" si="183"/>
        <v>-41.151664198201296</v>
      </c>
      <c r="F413" s="304">
        <f t="shared" ca="1" si="184"/>
        <v>41.709028492842009</v>
      </c>
      <c r="G413" s="306">
        <f t="shared" ca="1" si="185"/>
        <v>46.050419126807782</v>
      </c>
      <c r="H413" s="307">
        <f t="shared" ca="1" si="186"/>
        <v>211.39810619185226</v>
      </c>
      <c r="I413" s="304">
        <f t="shared" ca="1" si="187"/>
        <v>216.35572653215425</v>
      </c>
      <c r="J413" s="306">
        <f t="shared" ca="1" si="188"/>
        <v>234.02497381867281</v>
      </c>
      <c r="K413" s="307">
        <f t="shared" ca="1" si="189"/>
        <v>1171.8734857459551</v>
      </c>
      <c r="L413" s="304">
        <f t="shared" ca="1" si="174"/>
        <v>1195.0126170736464</v>
      </c>
      <c r="M413" s="306">
        <f t="shared" ca="1" si="190"/>
        <v>1.3563096937398023</v>
      </c>
      <c r="N413" s="304">
        <f t="shared" ca="1" si="191"/>
        <v>77.710821163971929</v>
      </c>
      <c r="P413" s="310">
        <f t="shared" ca="1" si="192"/>
        <v>23</v>
      </c>
      <c r="Q413" s="304">
        <f t="shared" ca="1" si="193"/>
        <v>0</v>
      </c>
      <c r="R413" s="306">
        <f t="shared" ca="1" si="194"/>
        <v>0</v>
      </c>
      <c r="S413" s="307">
        <f t="shared" ca="1" si="195"/>
        <v>5.0829999999999913</v>
      </c>
      <c r="T413" s="304">
        <f t="shared" ca="1" si="175"/>
        <v>49.864229999999914</v>
      </c>
      <c r="U413" s="311">
        <f t="shared" ca="1" si="176"/>
        <v>0</v>
      </c>
      <c r="V413" s="306">
        <f t="shared" ca="1" si="177"/>
        <v>1.0893913094412468</v>
      </c>
      <c r="W413" s="304">
        <f t="shared" ca="1" si="178"/>
        <v>156.57561786859026</v>
      </c>
      <c r="Y413" s="314" t="str">
        <f t="shared" ca="1" si="196"/>
        <v/>
      </c>
      <c r="Z413" s="315" t="str">
        <f t="shared" ca="1" si="197"/>
        <v/>
      </c>
      <c r="AA413" s="316" t="str">
        <f t="shared" ca="1" si="198"/>
        <v/>
      </c>
      <c r="AC413" s="310" t="e">
        <f t="shared" ca="1" si="199"/>
        <v>#N/A</v>
      </c>
      <c r="AD413" s="323" t="e">
        <f t="shared" ca="1" si="200"/>
        <v>#N/A</v>
      </c>
      <c r="AE413" s="324">
        <f t="shared" ca="1" si="179"/>
        <v>1171.8734857459551</v>
      </c>
      <c r="AG413" s="306">
        <f t="shared" ca="1" si="201"/>
        <v>-41.657191681846307</v>
      </c>
      <c r="AH413" s="304">
        <f t="shared" ca="1" si="202"/>
        <v>-32.069978270151623</v>
      </c>
    </row>
    <row r="414" spans="1:34" x14ac:dyDescent="0.2">
      <c r="A414" s="347">
        <f t="shared" ca="1" si="180"/>
        <v>0.1</v>
      </c>
      <c r="B414" s="304">
        <f t="shared" ca="1" si="181"/>
        <v>4.9999999999999556</v>
      </c>
      <c r="D414" s="306">
        <f t="shared" ca="1" si="182"/>
        <v>-6.5564569971431874</v>
      </c>
      <c r="E414" s="307">
        <f t="shared" ca="1" si="183"/>
        <v>-39.907936540115664</v>
      </c>
      <c r="F414" s="304">
        <f t="shared" ca="1" si="184"/>
        <v>40.442929261433164</v>
      </c>
      <c r="G414" s="306">
        <f t="shared" ca="1" si="185"/>
        <v>45.394773427093462</v>
      </c>
      <c r="H414" s="307">
        <f t="shared" ca="1" si="186"/>
        <v>207.40731253784071</v>
      </c>
      <c r="I414" s="304">
        <f t="shared" ca="1" si="187"/>
        <v>212.31692996241887</v>
      </c>
      <c r="J414" s="306">
        <f t="shared" ca="1" si="188"/>
        <v>238.59723344636788</v>
      </c>
      <c r="K414" s="307">
        <f t="shared" ca="1" si="189"/>
        <v>1192.8137566824398</v>
      </c>
      <c r="L414" s="304">
        <f t="shared" ca="1" si="174"/>
        <v>1216.4428872491858</v>
      </c>
      <c r="M414" s="306">
        <f t="shared" ca="1" si="190"/>
        <v>1.3553262497190472</v>
      </c>
      <c r="N414" s="304">
        <f t="shared" ca="1" si="191"/>
        <v>77.654473972195291</v>
      </c>
      <c r="P414" s="310">
        <f t="shared" ca="1" si="192"/>
        <v>23</v>
      </c>
      <c r="Q414" s="304">
        <f t="shared" ca="1" si="193"/>
        <v>0</v>
      </c>
      <c r="R414" s="306">
        <f t="shared" ca="1" si="194"/>
        <v>0</v>
      </c>
      <c r="S414" s="307">
        <f t="shared" ca="1" si="195"/>
        <v>5.0829999999999913</v>
      </c>
      <c r="T414" s="304">
        <f t="shared" ca="1" si="175"/>
        <v>49.864229999999914</v>
      </c>
      <c r="U414" s="311">
        <f t="shared" ca="1" si="176"/>
        <v>0</v>
      </c>
      <c r="V414" s="306">
        <f t="shared" ca="1" si="177"/>
        <v>1.0871044974289694</v>
      </c>
      <c r="W414" s="304">
        <f t="shared" ca="1" si="178"/>
        <v>150.46794252036582</v>
      </c>
      <c r="Y414" s="314" t="str">
        <f t="shared" ca="1" si="196"/>
        <v/>
      </c>
      <c r="Z414" s="315" t="str">
        <f t="shared" ca="1" si="197"/>
        <v/>
      </c>
      <c r="AA414" s="316" t="str">
        <f t="shared" ca="1" si="198"/>
        <v/>
      </c>
      <c r="AC414" s="310">
        <f t="shared" ca="1" si="199"/>
        <v>4.9999999999999556</v>
      </c>
      <c r="AD414" s="323">
        <f t="shared" ca="1" si="200"/>
        <v>238.59723344636788</v>
      </c>
      <c r="AE414" s="324">
        <f t="shared" ca="1" si="179"/>
        <v>1192.8137566824398</v>
      </c>
      <c r="AG414" s="306">
        <f t="shared" ca="1" si="201"/>
        <v>-40.388992421754686</v>
      </c>
      <c r="AH414" s="304">
        <f t="shared" ca="1" si="202"/>
        <v>-30.803780812235004</v>
      </c>
    </row>
    <row r="415" spans="1:34" x14ac:dyDescent="0.2">
      <c r="A415" s="347">
        <f t="shared" ca="1" si="180"/>
        <v>0.1</v>
      </c>
      <c r="B415" s="304">
        <f t="shared" ca="1" si="181"/>
        <v>5.0999999999999552</v>
      </c>
      <c r="D415" s="306">
        <f t="shared" ca="1" si="182"/>
        <v>-6.3291457927635637</v>
      </c>
      <c r="E415" s="307">
        <f t="shared" ca="1" si="183"/>
        <v>-38.727670921864153</v>
      </c>
      <c r="F415" s="304">
        <f t="shared" ca="1" si="184"/>
        <v>39.241439595130281</v>
      </c>
      <c r="G415" s="306">
        <f t="shared" ca="1" si="185"/>
        <v>44.761858847817102</v>
      </c>
      <c r="H415" s="307">
        <f t="shared" ca="1" si="186"/>
        <v>203.53454544565429</v>
      </c>
      <c r="I415" s="304">
        <f t="shared" ca="1" si="187"/>
        <v>208.39850094777796</v>
      </c>
      <c r="J415" s="306">
        <f t="shared" ca="1" si="188"/>
        <v>243.10506506011342</v>
      </c>
      <c r="K415" s="307">
        <f t="shared" ca="1" si="189"/>
        <v>1213.3608495816145</v>
      </c>
      <c r="L415" s="304">
        <f t="shared" ca="1" si="174"/>
        <v>1237.4751003374975</v>
      </c>
      <c r="M415" s="306">
        <f t="shared" ca="1" si="190"/>
        <v>1.3543197915782472</v>
      </c>
      <c r="N415" s="304">
        <f t="shared" ca="1" si="191"/>
        <v>77.596808168470858</v>
      </c>
      <c r="P415" s="310">
        <f t="shared" ca="1" si="192"/>
        <v>23</v>
      </c>
      <c r="Q415" s="304">
        <f t="shared" ca="1" si="193"/>
        <v>0</v>
      </c>
      <c r="R415" s="306">
        <f t="shared" ca="1" si="194"/>
        <v>0</v>
      </c>
      <c r="S415" s="307">
        <f t="shared" ca="1" si="195"/>
        <v>5.0829999999999913</v>
      </c>
      <c r="T415" s="304">
        <f t="shared" ca="1" si="175"/>
        <v>49.864229999999914</v>
      </c>
      <c r="U415" s="311">
        <f t="shared" ca="1" si="176"/>
        <v>0</v>
      </c>
      <c r="V415" s="306">
        <f t="shared" ca="1" si="177"/>
        <v>1.0848650113693048</v>
      </c>
      <c r="W415" s="304">
        <f t="shared" ca="1" si="178"/>
        <v>144.66661595176373</v>
      </c>
      <c r="Y415" s="314" t="str">
        <f t="shared" ca="1" si="196"/>
        <v/>
      </c>
      <c r="Z415" s="315" t="str">
        <f t="shared" ca="1" si="197"/>
        <v/>
      </c>
      <c r="AA415" s="316" t="str">
        <f t="shared" ca="1" si="198"/>
        <v/>
      </c>
      <c r="AC415" s="310" t="e">
        <f t="shared" ca="1" si="199"/>
        <v>#N/A</v>
      </c>
      <c r="AD415" s="323" t="e">
        <f t="shared" ca="1" si="200"/>
        <v>#N/A</v>
      </c>
      <c r="AE415" s="324">
        <f t="shared" ca="1" si="179"/>
        <v>1213.3608495816145</v>
      </c>
      <c r="AG415" s="306">
        <f t="shared" ca="1" si="201"/>
        <v>-39.185345640952406</v>
      </c>
      <c r="AH415" s="304">
        <f t="shared" ca="1" si="202"/>
        <v>-29.602192114964801</v>
      </c>
    </row>
    <row r="416" spans="1:34" x14ac:dyDescent="0.2">
      <c r="A416" s="347">
        <f t="shared" ca="1" si="180"/>
        <v>0.1</v>
      </c>
      <c r="B416" s="304">
        <f t="shared" ca="1" si="181"/>
        <v>5.1999999999999549</v>
      </c>
      <c r="D416" s="306">
        <f t="shared" ca="1" si="182"/>
        <v>-6.1131033133385282</v>
      </c>
      <c r="E416" s="307">
        <f t="shared" ca="1" si="183"/>
        <v>-37.606604881241594</v>
      </c>
      <c r="F416" s="304">
        <f t="shared" ca="1" si="184"/>
        <v>38.100219983792407</v>
      </c>
      <c r="G416" s="306">
        <f t="shared" ca="1" si="185"/>
        <v>44.150548516483248</v>
      </c>
      <c r="H416" s="307">
        <f t="shared" ca="1" si="186"/>
        <v>199.77388495753013</v>
      </c>
      <c r="I416" s="304">
        <f t="shared" ca="1" si="187"/>
        <v>204.5944184119665</v>
      </c>
      <c r="J416" s="306">
        <f t="shared" ca="1" si="188"/>
        <v>247.55068542832845</v>
      </c>
      <c r="K416" s="307">
        <f t="shared" ca="1" si="189"/>
        <v>1233.5262711017738</v>
      </c>
      <c r="L416" s="304">
        <f t="shared" ca="1" si="174"/>
        <v>1258.1209812074044</v>
      </c>
      <c r="M416" s="306">
        <f t="shared" ca="1" si="190"/>
        <v>1.3532899063586152</v>
      </c>
      <c r="N416" s="304">
        <f t="shared" ca="1" si="191"/>
        <v>77.537800092003039</v>
      </c>
      <c r="P416" s="310">
        <f t="shared" ca="1" si="192"/>
        <v>23</v>
      </c>
      <c r="Q416" s="304">
        <f t="shared" ca="1" si="193"/>
        <v>0</v>
      </c>
      <c r="R416" s="306">
        <f t="shared" ca="1" si="194"/>
        <v>0</v>
      </c>
      <c r="S416" s="307">
        <f t="shared" ca="1" si="195"/>
        <v>5.0829999999999913</v>
      </c>
      <c r="T416" s="304">
        <f t="shared" ca="1" si="175"/>
        <v>49.864229999999914</v>
      </c>
      <c r="U416" s="311">
        <f t="shared" ca="1" si="176"/>
        <v>0</v>
      </c>
      <c r="V416" s="306">
        <f t="shared" ca="1" si="177"/>
        <v>1.0826713389187554</v>
      </c>
      <c r="W416" s="304">
        <f t="shared" ca="1" si="178"/>
        <v>139.15141963757844</v>
      </c>
      <c r="Y416" s="314" t="str">
        <f t="shared" ca="1" si="196"/>
        <v/>
      </c>
      <c r="Z416" s="315" t="str">
        <f t="shared" ca="1" si="197"/>
        <v/>
      </c>
      <c r="AA416" s="316" t="str">
        <f t="shared" ca="1" si="198"/>
        <v/>
      </c>
      <c r="AC416" s="310" t="e">
        <f t="shared" ca="1" si="199"/>
        <v>#N/A</v>
      </c>
      <c r="AD416" s="323" t="e">
        <f t="shared" ca="1" si="200"/>
        <v>#N/A</v>
      </c>
      <c r="AE416" s="324">
        <f t="shared" ca="1" si="179"/>
        <v>1233.5262711017738</v>
      </c>
      <c r="AG416" s="306">
        <f t="shared" ca="1" si="201"/>
        <v>-38.041910387245252</v>
      </c>
      <c r="AH416" s="304">
        <f t="shared" ca="1" si="202"/>
        <v>-28.460872703475108</v>
      </c>
    </row>
    <row r="417" spans="1:34" x14ac:dyDescent="0.2">
      <c r="A417" s="347">
        <f t="shared" ca="1" si="180"/>
        <v>0.1</v>
      </c>
      <c r="B417" s="304">
        <f t="shared" ca="1" si="181"/>
        <v>5.2999999999999545</v>
      </c>
      <c r="D417" s="306">
        <f t="shared" ca="1" si="182"/>
        <v>-5.9075832953464813</v>
      </c>
      <c r="E417" s="307">
        <f t="shared" ca="1" si="183"/>
        <v>-36.540831332275829</v>
      </c>
      <c r="F417" s="304">
        <f t="shared" ca="1" si="184"/>
        <v>37.015292715920644</v>
      </c>
      <c r="G417" s="306">
        <f t="shared" ca="1" si="185"/>
        <v>43.559790186948597</v>
      </c>
      <c r="H417" s="307">
        <f t="shared" ca="1" si="186"/>
        <v>196.11980182430256</v>
      </c>
      <c r="I417" s="304">
        <f t="shared" ca="1" si="187"/>
        <v>200.89905920320953</v>
      </c>
      <c r="J417" s="306">
        <f t="shared" ca="1" si="188"/>
        <v>251.93620236350003</v>
      </c>
      <c r="K417" s="307">
        <f t="shared" ca="1" si="189"/>
        <v>1253.3209554408654</v>
      </c>
      <c r="L417" s="304">
        <f t="shared" ca="1" si="174"/>
        <v>1278.391672144553</v>
      </c>
      <c r="M417" s="306">
        <f t="shared" ca="1" si="190"/>
        <v>1.3522361662599838</v>
      </c>
      <c r="N417" s="304">
        <f t="shared" ca="1" si="191"/>
        <v>77.477425231647757</v>
      </c>
      <c r="P417" s="310">
        <f t="shared" ca="1" si="192"/>
        <v>23</v>
      </c>
      <c r="Q417" s="304">
        <f t="shared" ca="1" si="193"/>
        <v>0</v>
      </c>
      <c r="R417" s="306">
        <f t="shared" ca="1" si="194"/>
        <v>0</v>
      </c>
      <c r="S417" s="307">
        <f t="shared" ca="1" si="195"/>
        <v>5.0829999999999913</v>
      </c>
      <c r="T417" s="304">
        <f t="shared" ca="1" si="175"/>
        <v>49.864229999999914</v>
      </c>
      <c r="U417" s="311">
        <f t="shared" ca="1" si="176"/>
        <v>0</v>
      </c>
      <c r="V417" s="306">
        <f t="shared" ca="1" si="177"/>
        <v>1.0805220453656195</v>
      </c>
      <c r="W417" s="304">
        <f t="shared" ca="1" si="178"/>
        <v>133.90379216583105</v>
      </c>
      <c r="Y417" s="314" t="str">
        <f t="shared" ca="1" si="196"/>
        <v/>
      </c>
      <c r="Z417" s="315" t="str">
        <f t="shared" ca="1" si="197"/>
        <v/>
      </c>
      <c r="AA417" s="316" t="str">
        <f t="shared" ca="1" si="198"/>
        <v/>
      </c>
      <c r="AC417" s="310" t="e">
        <f t="shared" ca="1" si="199"/>
        <v>#N/A</v>
      </c>
      <c r="AD417" s="323" t="e">
        <f t="shared" ca="1" si="200"/>
        <v>#N/A</v>
      </c>
      <c r="AE417" s="324">
        <f t="shared" ca="1" si="179"/>
        <v>1253.3209554408654</v>
      </c>
      <c r="AG417" s="306">
        <f t="shared" ca="1" si="201"/>
        <v>-36.954707447095856</v>
      </c>
      <c r="AH417" s="304">
        <f t="shared" ca="1" si="202"/>
        <v>-27.375844902140209</v>
      </c>
    </row>
    <row r="418" spans="1:34" x14ac:dyDescent="0.2">
      <c r="A418" s="347">
        <f t="shared" ca="1" si="180"/>
        <v>0.1</v>
      </c>
      <c r="B418" s="304">
        <f t="shared" ca="1" si="181"/>
        <v>5.3999999999999542</v>
      </c>
      <c r="D418" s="306">
        <f t="shared" ca="1" si="182"/>
        <v>-5.7119006245351454</v>
      </c>
      <c r="E418" s="307">
        <f t="shared" ca="1" si="183"/>
        <v>-35.526763412225598</v>
      </c>
      <c r="F418" s="304">
        <f t="shared" ca="1" si="184"/>
        <v>35.983006090275673</v>
      </c>
      <c r="G418" s="306">
        <f t="shared" ca="1" si="185"/>
        <v>42.988600124495079</v>
      </c>
      <c r="H418" s="307">
        <f t="shared" ca="1" si="186"/>
        <v>192.56712548307999</v>
      </c>
      <c r="I418" s="304">
        <f t="shared" ca="1" si="187"/>
        <v>197.30716549958345</v>
      </c>
      <c r="J418" s="306">
        <f t="shared" ca="1" si="188"/>
        <v>256.26362187907222</v>
      </c>
      <c r="K418" s="307">
        <f t="shared" ca="1" si="189"/>
        <v>1272.7553018062345</v>
      </c>
      <c r="L418" s="304">
        <f t="shared" ca="1" si="174"/>
        <v>1298.2977709964919</v>
      </c>
      <c r="M418" s="306">
        <f t="shared" ca="1" si="190"/>
        <v>1.3511581281594216</v>
      </c>
      <c r="N418" s="304">
        <f t="shared" ca="1" si="191"/>
        <v>77.415658198331244</v>
      </c>
      <c r="P418" s="310">
        <f t="shared" ca="1" si="192"/>
        <v>23</v>
      </c>
      <c r="Q418" s="304">
        <f t="shared" ca="1" si="193"/>
        <v>0</v>
      </c>
      <c r="R418" s="306">
        <f t="shared" ca="1" si="194"/>
        <v>0</v>
      </c>
      <c r="S418" s="307">
        <f t="shared" ca="1" si="195"/>
        <v>5.0829999999999913</v>
      </c>
      <c r="T418" s="304">
        <f t="shared" ca="1" si="175"/>
        <v>49.864229999999914</v>
      </c>
      <c r="U418" s="311">
        <f t="shared" ca="1" si="176"/>
        <v>0</v>
      </c>
      <c r="V418" s="306">
        <f t="shared" ca="1" si="177"/>
        <v>1.0784157684237308</v>
      </c>
      <c r="W418" s="304">
        <f t="shared" ca="1" si="178"/>
        <v>128.90666806432435</v>
      </c>
      <c r="Y418" s="314" t="str">
        <f t="shared" ca="1" si="196"/>
        <v/>
      </c>
      <c r="Z418" s="315" t="str">
        <f t="shared" ca="1" si="197"/>
        <v/>
      </c>
      <c r="AA418" s="316" t="str">
        <f t="shared" ca="1" si="198"/>
        <v/>
      </c>
      <c r="AC418" s="310" t="e">
        <f t="shared" ca="1" si="199"/>
        <v>#N/A</v>
      </c>
      <c r="AD418" s="323" t="e">
        <f t="shared" ca="1" si="200"/>
        <v>#N/A</v>
      </c>
      <c r="AE418" s="324">
        <f t="shared" ca="1" si="179"/>
        <v>1272.7553018062345</v>
      </c>
      <c r="AG418" s="306">
        <f t="shared" ca="1" si="201"/>
        <v>-35.920083554690592</v>
      </c>
      <c r="AH418" s="304">
        <f t="shared" ca="1" si="202"/>
        <v>-26.343457046199347</v>
      </c>
    </row>
    <row r="419" spans="1:34" x14ac:dyDescent="0.2">
      <c r="A419" s="347">
        <f t="shared" ca="1" si="180"/>
        <v>0.1</v>
      </c>
      <c r="B419" s="304">
        <f t="shared" ca="1" si="181"/>
        <v>5.4999999999999538</v>
      </c>
      <c r="D419" s="306">
        <f t="shared" ca="1" si="182"/>
        <v>-5.5254253875875774</v>
      </c>
      <c r="E419" s="307">
        <f t="shared" ca="1" si="183"/>
        <v>-34.561103336177077</v>
      </c>
      <c r="F419" s="304">
        <f t="shared" ca="1" si="184"/>
        <v>35.000002707538577</v>
      </c>
      <c r="G419" s="306">
        <f t="shared" ca="1" si="185"/>
        <v>42.436057585736322</v>
      </c>
      <c r="H419" s="307">
        <f t="shared" ca="1" si="186"/>
        <v>189.11101514946228</v>
      </c>
      <c r="I419" s="304">
        <f t="shared" ca="1" si="187"/>
        <v>193.81381538548814</v>
      </c>
      <c r="J419" s="306">
        <f t="shared" ca="1" si="188"/>
        <v>260.53485476458377</v>
      </c>
      <c r="K419" s="307">
        <f t="shared" ca="1" si="189"/>
        <v>1291.8392088378616</v>
      </c>
      <c r="L419" s="304">
        <f t="shared" ca="1" si="174"/>
        <v>1317.8493662168053</v>
      </c>
      <c r="M419" s="306">
        <f t="shared" ca="1" si="190"/>
        <v>1.3500553331050718</v>
      </c>
      <c r="N419" s="304">
        <f t="shared" ca="1" si="191"/>
        <v>77.352472696049105</v>
      </c>
      <c r="P419" s="310">
        <f t="shared" ca="1" si="192"/>
        <v>23</v>
      </c>
      <c r="Q419" s="304">
        <f t="shared" ca="1" si="193"/>
        <v>0</v>
      </c>
      <c r="R419" s="306">
        <f t="shared" ca="1" si="194"/>
        <v>0</v>
      </c>
      <c r="S419" s="307">
        <f t="shared" ca="1" si="195"/>
        <v>5.0829999999999913</v>
      </c>
      <c r="T419" s="304">
        <f t="shared" ca="1" si="175"/>
        <v>49.864229999999914</v>
      </c>
      <c r="U419" s="311">
        <f t="shared" ca="1" si="176"/>
        <v>0</v>
      </c>
      <c r="V419" s="306">
        <f t="shared" ca="1" si="177"/>
        <v>1.0763512134574538</v>
      </c>
      <c r="W419" s="304">
        <f t="shared" ca="1" si="178"/>
        <v>124.14433469874108</v>
      </c>
      <c r="Y419" s="314" t="str">
        <f t="shared" ca="1" si="196"/>
        <v/>
      </c>
      <c r="Z419" s="315" t="str">
        <f t="shared" ca="1" si="197"/>
        <v/>
      </c>
      <c r="AA419" s="316" t="str">
        <f t="shared" ca="1" si="198"/>
        <v/>
      </c>
      <c r="AC419" s="310" t="e">
        <f t="shared" ca="1" si="199"/>
        <v>#N/A</v>
      </c>
      <c r="AD419" s="323" t="e">
        <f t="shared" ca="1" si="200"/>
        <v>#N/A</v>
      </c>
      <c r="AE419" s="324">
        <f t="shared" ca="1" si="179"/>
        <v>1291.8392088378616</v>
      </c>
      <c r="AG419" s="306">
        <f t="shared" ca="1" si="201"/>
        <v>-34.934679680908971</v>
      </c>
      <c r="AH419" s="304">
        <f t="shared" ca="1" si="202"/>
        <v>-25.360351773426043</v>
      </c>
    </row>
    <row r="420" spans="1:34" x14ac:dyDescent="0.2">
      <c r="A420" s="347">
        <f t="shared" ca="1" si="180"/>
        <v>0.1</v>
      </c>
      <c r="B420" s="304">
        <f t="shared" ca="1" si="181"/>
        <v>5.5999999999999535</v>
      </c>
      <c r="D420" s="306">
        <f t="shared" ca="1" si="182"/>
        <v>-5.3475775907807419</v>
      </c>
      <c r="E420" s="307">
        <f t="shared" ca="1" si="183"/>
        <v>-33.640814743803553</v>
      </c>
      <c r="F420" s="304">
        <f t="shared" ca="1" si="184"/>
        <v>34.063191317261079</v>
      </c>
      <c r="G420" s="306">
        <f t="shared" ca="1" si="185"/>
        <v>41.901299826658246</v>
      </c>
      <c r="H420" s="307">
        <f t="shared" ca="1" si="186"/>
        <v>185.74693367508192</v>
      </c>
      <c r="I420" s="304">
        <f t="shared" ca="1" si="187"/>
        <v>190.41439624371574</v>
      </c>
      <c r="J420" s="306">
        <f t="shared" ca="1" si="188"/>
        <v>264.75172263520352</v>
      </c>
      <c r="K420" s="307">
        <f t="shared" ca="1" si="189"/>
        <v>1310.5821062790887</v>
      </c>
      <c r="L420" s="304">
        <f t="shared" ca="1" si="174"/>
        <v>1337.0560691075152</v>
      </c>
      <c r="M420" s="306">
        <f t="shared" ca="1" si="190"/>
        <v>1.3489273057841247</v>
      </c>
      <c r="N420" s="304">
        <f t="shared" ca="1" si="191"/>
        <v>77.287841491383389</v>
      </c>
      <c r="P420" s="310">
        <f t="shared" ca="1" si="192"/>
        <v>23</v>
      </c>
      <c r="Q420" s="304">
        <f t="shared" ca="1" si="193"/>
        <v>0</v>
      </c>
      <c r="R420" s="306">
        <f t="shared" ca="1" si="194"/>
        <v>0</v>
      </c>
      <c r="S420" s="307">
        <f t="shared" ca="1" si="195"/>
        <v>5.0829999999999913</v>
      </c>
      <c r="T420" s="304">
        <f t="shared" ca="1" si="175"/>
        <v>49.864229999999914</v>
      </c>
      <c r="U420" s="311">
        <f t="shared" ca="1" si="176"/>
        <v>0</v>
      </c>
      <c r="V420" s="306">
        <f t="shared" ca="1" si="177"/>
        <v>1.0743271490956749</v>
      </c>
      <c r="W420" s="304">
        <f t="shared" ca="1" si="178"/>
        <v>119.60230495578554</v>
      </c>
      <c r="Y420" s="314" t="str">
        <f t="shared" ca="1" si="196"/>
        <v/>
      </c>
      <c r="Z420" s="315" t="str">
        <f t="shared" ca="1" si="197"/>
        <v/>
      </c>
      <c r="AA420" s="316" t="str">
        <f t="shared" ca="1" si="198"/>
        <v/>
      </c>
      <c r="AC420" s="310" t="e">
        <f t="shared" ca="1" si="199"/>
        <v>#N/A</v>
      </c>
      <c r="AD420" s="323" t="e">
        <f t="shared" ca="1" si="200"/>
        <v>#N/A</v>
      </c>
      <c r="AE420" s="324">
        <f t="shared" ca="1" si="179"/>
        <v>1310.5821062790887</v>
      </c>
      <c r="AG420" s="306">
        <f t="shared" ca="1" si="201"/>
        <v>-33.995402877433825</v>
      </c>
      <c r="AH420" s="304">
        <f t="shared" ca="1" si="202"/>
        <v>-24.423437871088193</v>
      </c>
    </row>
    <row r="421" spans="1:34" x14ac:dyDescent="0.2">
      <c r="A421" s="347">
        <f t="shared" ca="1" si="180"/>
        <v>0.1</v>
      </c>
      <c r="B421" s="304">
        <f t="shared" ca="1" si="181"/>
        <v>5.6999999999999531</v>
      </c>
      <c r="D421" s="306">
        <f t="shared" ca="1" si="182"/>
        <v>-5.1778224612424708</v>
      </c>
      <c r="E421" s="307">
        <f t="shared" ca="1" si="183"/>
        <v>-32.763098096442953</v>
      </c>
      <c r="F421" s="304">
        <f t="shared" ca="1" si="184"/>
        <v>33.169721770272524</v>
      </c>
      <c r="G421" s="306">
        <f t="shared" ca="1" si="185"/>
        <v>41.383517580533997</v>
      </c>
      <c r="H421" s="307">
        <f t="shared" ca="1" si="186"/>
        <v>182.47062386543763</v>
      </c>
      <c r="I421" s="304">
        <f t="shared" ca="1" si="187"/>
        <v>187.10458065258686</v>
      </c>
      <c r="J421" s="306">
        <f t="shared" ca="1" si="188"/>
        <v>268.91596350556313</v>
      </c>
      <c r="K421" s="307">
        <f t="shared" ca="1" si="189"/>
        <v>1328.9929841561147</v>
      </c>
      <c r="L421" s="304">
        <f t="shared" ca="1" si="174"/>
        <v>1355.9270435256833</v>
      </c>
      <c r="M421" s="306">
        <f t="shared" ca="1" si="190"/>
        <v>1.3477735539637696</v>
      </c>
      <c r="N421" s="304">
        <f t="shared" ca="1" si="191"/>
        <v>77.221736381471501</v>
      </c>
      <c r="P421" s="310">
        <f t="shared" ca="1" si="192"/>
        <v>23</v>
      </c>
      <c r="Q421" s="304">
        <f t="shared" ca="1" si="193"/>
        <v>0</v>
      </c>
      <c r="R421" s="306">
        <f t="shared" ca="1" si="194"/>
        <v>0</v>
      </c>
      <c r="S421" s="307">
        <f t="shared" ca="1" si="195"/>
        <v>5.0829999999999913</v>
      </c>
      <c r="T421" s="304">
        <f t="shared" ca="1" si="175"/>
        <v>49.864229999999914</v>
      </c>
      <c r="U421" s="311">
        <f t="shared" ca="1" si="176"/>
        <v>0</v>
      </c>
      <c r="V421" s="306">
        <f t="shared" ca="1" si="177"/>
        <v>1.072342403197321</v>
      </c>
      <c r="W421" s="304">
        <f t="shared" ca="1" si="178"/>
        <v>115.26720374610134</v>
      </c>
      <c r="Y421" s="314" t="str">
        <f t="shared" ca="1" si="196"/>
        <v/>
      </c>
      <c r="Z421" s="315" t="str">
        <f t="shared" ca="1" si="197"/>
        <v/>
      </c>
      <c r="AA421" s="316" t="str">
        <f t="shared" ca="1" si="198"/>
        <v/>
      </c>
      <c r="AC421" s="310" t="e">
        <f t="shared" ca="1" si="199"/>
        <v>#N/A</v>
      </c>
      <c r="AD421" s="323" t="e">
        <f t="shared" ca="1" si="200"/>
        <v>#N/A</v>
      </c>
      <c r="AE421" s="324">
        <f t="shared" ca="1" si="179"/>
        <v>1328.9929841561147</v>
      </c>
      <c r="AG421" s="306">
        <f t="shared" ca="1" si="201"/>
        <v>-33.099401226160822</v>
      </c>
      <c r="AH421" s="304">
        <f t="shared" ca="1" si="202"/>
        <v>-23.529865228366269</v>
      </c>
    </row>
    <row r="422" spans="1:34" x14ac:dyDescent="0.2">
      <c r="A422" s="347">
        <f t="shared" ca="1" si="180"/>
        <v>0.1</v>
      </c>
      <c r="B422" s="304">
        <f t="shared" ca="1" si="181"/>
        <v>5.7999999999999527</v>
      </c>
      <c r="D422" s="306">
        <f t="shared" ca="1" si="182"/>
        <v>-5.0156662582694764</v>
      </c>
      <c r="E422" s="307">
        <f t="shared" ca="1" si="183"/>
        <v>-31.925368744723492</v>
      </c>
      <c r="F422" s="304">
        <f t="shared" ca="1" si="184"/>
        <v>32.316962689908074</v>
      </c>
      <c r="G422" s="306">
        <f t="shared" ca="1" si="185"/>
        <v>40.881950954707051</v>
      </c>
      <c r="H422" s="307">
        <f t="shared" ca="1" si="186"/>
        <v>179.27808699096528</v>
      </c>
      <c r="I422" s="304">
        <f t="shared" ca="1" si="187"/>
        <v>183.88030451628904</v>
      </c>
      <c r="J422" s="306">
        <f t="shared" ca="1" si="188"/>
        <v>273.0292369323252</v>
      </c>
      <c r="K422" s="307">
        <f t="shared" ca="1" si="189"/>
        <v>1347.080419698935</v>
      </c>
      <c r="L422" s="304">
        <f t="shared" ca="1" si="174"/>
        <v>1374.4710332910281</v>
      </c>
      <c r="M422" s="306">
        <f t="shared" ca="1" si="190"/>
        <v>1.346593567903877</v>
      </c>
      <c r="N422" s="304">
        <f t="shared" ca="1" si="191"/>
        <v>77.154128160355384</v>
      </c>
      <c r="P422" s="310">
        <f t="shared" ca="1" si="192"/>
        <v>23</v>
      </c>
      <c r="Q422" s="304">
        <f t="shared" ca="1" si="193"/>
        <v>0</v>
      </c>
      <c r="R422" s="306">
        <f t="shared" ca="1" si="194"/>
        <v>0</v>
      </c>
      <c r="S422" s="307">
        <f t="shared" ca="1" si="195"/>
        <v>5.0829999999999913</v>
      </c>
      <c r="T422" s="304">
        <f t="shared" ca="1" si="175"/>
        <v>49.864229999999914</v>
      </c>
      <c r="U422" s="311">
        <f t="shared" ca="1" si="176"/>
        <v>0</v>
      </c>
      <c r="V422" s="306">
        <f t="shared" ca="1" si="177"/>
        <v>1.0703958591350577</v>
      </c>
      <c r="W422" s="304">
        <f t="shared" ca="1" si="178"/>
        <v>111.12666663344169</v>
      </c>
      <c r="Y422" s="314" t="str">
        <f t="shared" ca="1" si="196"/>
        <v/>
      </c>
      <c r="Z422" s="315" t="str">
        <f t="shared" ca="1" si="197"/>
        <v/>
      </c>
      <c r="AA422" s="316" t="str">
        <f t="shared" ca="1" si="198"/>
        <v/>
      </c>
      <c r="AC422" s="310" t="e">
        <f t="shared" ca="1" si="199"/>
        <v>#N/A</v>
      </c>
      <c r="AD422" s="323" t="e">
        <f t="shared" ca="1" si="200"/>
        <v>#N/A</v>
      </c>
      <c r="AE422" s="324">
        <f t="shared" ca="1" si="179"/>
        <v>1347.080419698935</v>
      </c>
      <c r="AG422" s="306">
        <f t="shared" ca="1" si="201"/>
        <v>-32.244041507262878</v>
      </c>
      <c r="AH422" s="304">
        <f t="shared" ca="1" si="202"/>
        <v>-22.677002507594246</v>
      </c>
    </row>
    <row r="423" spans="1:34" x14ac:dyDescent="0.2">
      <c r="A423" s="347">
        <f t="shared" ca="1" si="180"/>
        <v>0.1</v>
      </c>
      <c r="B423" s="304">
        <f t="shared" ca="1" si="181"/>
        <v>5.8999999999999524</v>
      </c>
      <c r="D423" s="306">
        <f t="shared" ca="1" si="182"/>
        <v>-4.8606525321995759</v>
      </c>
      <c r="E423" s="307">
        <f t="shared" ca="1" si="183"/>
        <v>-31.125237339479256</v>
      </c>
      <c r="F423" s="304">
        <f t="shared" ca="1" si="184"/>
        <v>31.502481528884225</v>
      </c>
      <c r="G423" s="306">
        <f t="shared" ca="1" si="185"/>
        <v>40.395885701487096</v>
      </c>
      <c r="H423" s="307">
        <f t="shared" ca="1" si="186"/>
        <v>176.16556325701734</v>
      </c>
      <c r="I423" s="304">
        <f t="shared" ca="1" si="187"/>
        <v>180.73774718987119</v>
      </c>
      <c r="J423" s="306">
        <f t="shared" ca="1" si="188"/>
        <v>277.09312876513491</v>
      </c>
      <c r="K423" s="307">
        <f t="shared" ca="1" si="189"/>
        <v>1364.8526022113342</v>
      </c>
      <c r="L423" s="304">
        <f t="shared" ca="1" si="174"/>
        <v>1392.6963875058707</v>
      </c>
      <c r="M423" s="306">
        <f t="shared" ca="1" si="190"/>
        <v>1.3453868197400807</v>
      </c>
      <c r="N423" s="304">
        <f t="shared" ca="1" si="191"/>
        <v>77.084986583634688</v>
      </c>
      <c r="P423" s="310">
        <f t="shared" ca="1" si="192"/>
        <v>23</v>
      </c>
      <c r="Q423" s="304">
        <f t="shared" ca="1" si="193"/>
        <v>0</v>
      </c>
      <c r="R423" s="306">
        <f t="shared" ca="1" si="194"/>
        <v>0</v>
      </c>
      <c r="S423" s="307">
        <f t="shared" ca="1" si="195"/>
        <v>5.0829999999999913</v>
      </c>
      <c r="T423" s="304">
        <f t="shared" ca="1" si="175"/>
        <v>49.864229999999914</v>
      </c>
      <c r="U423" s="311">
        <f t="shared" ca="1" si="176"/>
        <v>0</v>
      </c>
      <c r="V423" s="306">
        <f t="shared" ca="1" si="177"/>
        <v>1.0684864523674897</v>
      </c>
      <c r="W423" s="304">
        <f t="shared" ca="1" si="178"/>
        <v>107.16924912711296</v>
      </c>
      <c r="Y423" s="314" t="str">
        <f t="shared" ca="1" si="196"/>
        <v/>
      </c>
      <c r="Z423" s="315" t="str">
        <f t="shared" ca="1" si="197"/>
        <v/>
      </c>
      <c r="AA423" s="316" t="str">
        <f t="shared" ca="1" si="198"/>
        <v/>
      </c>
      <c r="AC423" s="310" t="e">
        <f t="shared" ca="1" si="199"/>
        <v>#N/A</v>
      </c>
      <c r="AD423" s="323" t="e">
        <f t="shared" ca="1" si="200"/>
        <v>#N/A</v>
      </c>
      <c r="AE423" s="324">
        <f t="shared" ca="1" si="179"/>
        <v>1364.8526022113342</v>
      </c>
      <c r="AG423" s="306">
        <f t="shared" ca="1" si="201"/>
        <v>-31.426889252725509</v>
      </c>
      <c r="AH423" s="304">
        <f t="shared" ca="1" si="202"/>
        <v>-21.862417201149299</v>
      </c>
    </row>
    <row r="424" spans="1:34" x14ac:dyDescent="0.2">
      <c r="A424" s="347">
        <f t="shared" ca="1" si="180"/>
        <v>0.1</v>
      </c>
      <c r="B424" s="304">
        <f t="shared" ca="1" si="181"/>
        <v>5.999999999999952</v>
      </c>
      <c r="D424" s="306">
        <f t="shared" ca="1" si="182"/>
        <v>-4.7123587768407793</v>
      </c>
      <c r="E424" s="307">
        <f t="shared" ca="1" si="183"/>
        <v>-30.360492303248229</v>
      </c>
      <c r="F424" s="304">
        <f t="shared" ca="1" si="184"/>
        <v>30.724026724003206</v>
      </c>
      <c r="G424" s="306">
        <f t="shared" ca="1" si="185"/>
        <v>39.924649823803016</v>
      </c>
      <c r="H424" s="307">
        <f t="shared" ca="1" si="186"/>
        <v>173.1295140266925</v>
      </c>
      <c r="I424" s="304">
        <f t="shared" ca="1" si="187"/>
        <v>177.67331338913002</v>
      </c>
      <c r="J424" s="306">
        <f t="shared" ca="1" si="188"/>
        <v>281.10915554139939</v>
      </c>
      <c r="K424" s="307">
        <f t="shared" ca="1" si="189"/>
        <v>1382.3173560755197</v>
      </c>
      <c r="L424" s="304">
        <f t="shared" ca="1" si="174"/>
        <v>1410.6110839763078</v>
      </c>
      <c r="M424" s="306">
        <f t="shared" ca="1" si="190"/>
        <v>1.3441527628358365</v>
      </c>
      <c r="N424" s="304">
        <f t="shared" ca="1" si="191"/>
        <v>77.014280331342519</v>
      </c>
      <c r="P424" s="310">
        <f t="shared" ca="1" si="192"/>
        <v>23</v>
      </c>
      <c r="Q424" s="304">
        <f t="shared" ca="1" si="193"/>
        <v>0</v>
      </c>
      <c r="R424" s="306">
        <f t="shared" ca="1" si="194"/>
        <v>0</v>
      </c>
      <c r="S424" s="307">
        <f t="shared" ca="1" si="195"/>
        <v>5.0829999999999913</v>
      </c>
      <c r="T424" s="304">
        <f t="shared" ca="1" si="175"/>
        <v>49.864229999999914</v>
      </c>
      <c r="U424" s="311">
        <f t="shared" ca="1" si="176"/>
        <v>0</v>
      </c>
      <c r="V424" s="306">
        <f t="shared" ca="1" si="177"/>
        <v>1.0666131672733432</v>
      </c>
      <c r="W424" s="304">
        <f t="shared" ca="1" si="178"/>
        <v>103.38434537082524</v>
      </c>
      <c r="Y424" s="314" t="str">
        <f t="shared" ca="1" si="196"/>
        <v/>
      </c>
      <c r="Z424" s="315" t="str">
        <f t="shared" ca="1" si="197"/>
        <v/>
      </c>
      <c r="AA424" s="316" t="str">
        <f t="shared" ca="1" si="198"/>
        <v/>
      </c>
      <c r="AC424" s="310">
        <f t="shared" ca="1" si="199"/>
        <v>5.999999999999952</v>
      </c>
      <c r="AD424" s="323">
        <f t="shared" ca="1" si="200"/>
        <v>281.10915554139939</v>
      </c>
      <c r="AE424" s="324">
        <f t="shared" ca="1" si="179"/>
        <v>1382.3173560755197</v>
      </c>
      <c r="AG424" s="306">
        <f t="shared" ca="1" si="201"/>
        <v>-30.645690897524521</v>
      </c>
      <c r="AH424" s="304">
        <f t="shared" ca="1" si="202"/>
        <v>-21.083857786172171</v>
      </c>
    </row>
    <row r="425" spans="1:34" x14ac:dyDescent="0.2">
      <c r="A425" s="347">
        <f t="shared" ca="1" si="180"/>
        <v>0.1</v>
      </c>
      <c r="B425" s="304">
        <f t="shared" ca="1" si="181"/>
        <v>6.0999999999999517</v>
      </c>
      <c r="D425" s="306">
        <f t="shared" ca="1" si="182"/>
        <v>-4.5703934286985683</v>
      </c>
      <c r="E425" s="307">
        <f t="shared" ca="1" si="183"/>
        <v>-29.629084117542291</v>
      </c>
      <c r="F425" s="304">
        <f t="shared" ca="1" si="184"/>
        <v>29.979511699450473</v>
      </c>
      <c r="G425" s="306">
        <f t="shared" ca="1" si="185"/>
        <v>39.46761048093316</v>
      </c>
      <c r="H425" s="307">
        <f t="shared" ca="1" si="186"/>
        <v>170.16660561493828</v>
      </c>
      <c r="I425" s="304">
        <f t="shared" ca="1" si="187"/>
        <v>174.68361670054981</v>
      </c>
      <c r="J425" s="306">
        <f t="shared" ca="1" si="188"/>
        <v>285.07876855663619</v>
      </c>
      <c r="K425" s="307">
        <f t="shared" ca="1" si="189"/>
        <v>1399.4821620576013</v>
      </c>
      <c r="L425" s="304">
        <f t="shared" ca="1" si="174"/>
        <v>1428.2227509037889</v>
      </c>
      <c r="M425" s="306">
        <f t="shared" ca="1" si="190"/>
        <v>1.3428908311019387</v>
      </c>
      <c r="N425" s="304">
        <f t="shared" ca="1" si="191"/>
        <v>76.941976968956553</v>
      </c>
      <c r="P425" s="310">
        <f t="shared" ca="1" si="192"/>
        <v>23</v>
      </c>
      <c r="Q425" s="304">
        <f t="shared" ca="1" si="193"/>
        <v>0</v>
      </c>
      <c r="R425" s="306">
        <f t="shared" ca="1" si="194"/>
        <v>0</v>
      </c>
      <c r="S425" s="307">
        <f t="shared" ca="1" si="195"/>
        <v>5.0829999999999913</v>
      </c>
      <c r="T425" s="304">
        <f t="shared" ca="1" si="175"/>
        <v>49.864229999999914</v>
      </c>
      <c r="U425" s="311">
        <f t="shared" ca="1" si="176"/>
        <v>0</v>
      </c>
      <c r="V425" s="306">
        <f t="shared" ca="1" si="177"/>
        <v>1.0647750342239384</v>
      </c>
      <c r="W425" s="304">
        <f t="shared" ca="1" si="178"/>
        <v>99.762115128357181</v>
      </c>
      <c r="Y425" s="314" t="str">
        <f t="shared" ca="1" si="196"/>
        <v/>
      </c>
      <c r="Z425" s="315" t="str">
        <f t="shared" ca="1" si="197"/>
        <v/>
      </c>
      <c r="AA425" s="316" t="str">
        <f t="shared" ca="1" si="198"/>
        <v/>
      </c>
      <c r="AC425" s="310" t="e">
        <f t="shared" ca="1" si="199"/>
        <v>#N/A</v>
      </c>
      <c r="AD425" s="323" t="e">
        <f t="shared" ca="1" si="200"/>
        <v>#N/A</v>
      </c>
      <c r="AE425" s="324">
        <f t="shared" ca="1" si="179"/>
        <v>1399.4821620576013</v>
      </c>
      <c r="AG425" s="306">
        <f t="shared" ca="1" si="201"/>
        <v>-29.898357779198626</v>
      </c>
      <c r="AH425" s="304">
        <f t="shared" ca="1" si="202"/>
        <v>-20.339237727882239</v>
      </c>
    </row>
    <row r="426" spans="1:34" x14ac:dyDescent="0.2">
      <c r="A426" s="347">
        <f t="shared" ca="1" si="180"/>
        <v>0.1</v>
      </c>
      <c r="B426" s="304">
        <f t="shared" ca="1" si="181"/>
        <v>6.1999999999999513</v>
      </c>
      <c r="D426" s="306">
        <f t="shared" ca="1" si="182"/>
        <v>-4.4343931724167671</v>
      </c>
      <c r="E426" s="307">
        <f t="shared" ca="1" si="183"/>
        <v>-28.929111213402699</v>
      </c>
      <c r="F426" s="304">
        <f t="shared" ca="1" si="184"/>
        <v>29.267000502357568</v>
      </c>
      <c r="G426" s="306">
        <f t="shared" ca="1" si="185"/>
        <v>39.024171163691484</v>
      </c>
      <c r="H426" s="307">
        <f t="shared" ca="1" si="186"/>
        <v>167.27369449359801</v>
      </c>
      <c r="I426" s="304">
        <f t="shared" ca="1" si="187"/>
        <v>171.76546452809032</v>
      </c>
      <c r="J426" s="306">
        <f t="shared" ca="1" si="188"/>
        <v>289.00335763886744</v>
      </c>
      <c r="K426" s="307">
        <f t="shared" ca="1" si="189"/>
        <v>1416.3541770630281</v>
      </c>
      <c r="L426" s="304">
        <f t="shared" ca="1" si="174"/>
        <v>1445.5386869988733</v>
      </c>
      <c r="M426" s="306">
        <f t="shared" ca="1" si="190"/>
        <v>1.3416004382818705</v>
      </c>
      <c r="N426" s="304">
        <f t="shared" ca="1" si="191"/>
        <v>76.868042906452658</v>
      </c>
      <c r="P426" s="310">
        <f t="shared" ca="1" si="192"/>
        <v>23</v>
      </c>
      <c r="Q426" s="304">
        <f t="shared" ca="1" si="193"/>
        <v>0</v>
      </c>
      <c r="R426" s="306">
        <f t="shared" ca="1" si="194"/>
        <v>0</v>
      </c>
      <c r="S426" s="307">
        <f t="shared" ca="1" si="195"/>
        <v>5.0829999999999913</v>
      </c>
      <c r="T426" s="304">
        <f t="shared" ca="1" si="175"/>
        <v>49.864229999999914</v>
      </c>
      <c r="U426" s="311">
        <f t="shared" ca="1" si="176"/>
        <v>0</v>
      </c>
      <c r="V426" s="306">
        <f t="shared" ca="1" si="177"/>
        <v>1.0629711268727116</v>
      </c>
      <c r="W426" s="304">
        <f t="shared" ca="1" si="178"/>
        <v>96.293418109477855</v>
      </c>
      <c r="Y426" s="314" t="str">
        <f t="shared" ca="1" si="196"/>
        <v/>
      </c>
      <c r="Z426" s="315" t="str">
        <f t="shared" ca="1" si="197"/>
        <v/>
      </c>
      <c r="AA426" s="316" t="str">
        <f t="shared" ca="1" si="198"/>
        <v/>
      </c>
      <c r="AC426" s="310" t="e">
        <f t="shared" ca="1" si="199"/>
        <v>#N/A</v>
      </c>
      <c r="AD426" s="323" t="e">
        <f t="shared" ca="1" si="200"/>
        <v>#N/A</v>
      </c>
      <c r="AE426" s="324">
        <f t="shared" ca="1" si="179"/>
        <v>1416.3541770630281</v>
      </c>
      <c r="AG426" s="306">
        <f t="shared" ca="1" si="201"/>
        <v>-29.182951769477498</v>
      </c>
      <c r="AH426" s="304">
        <f t="shared" ca="1" si="202"/>
        <v>-19.626621115159818</v>
      </c>
    </row>
    <row r="427" spans="1:34" x14ac:dyDescent="0.2">
      <c r="A427" s="347">
        <f t="shared" ca="1" si="180"/>
        <v>0.1</v>
      </c>
      <c r="B427" s="304">
        <f t="shared" ca="1" si="181"/>
        <v>6.299999999999951</v>
      </c>
      <c r="D427" s="306">
        <f t="shared" ca="1" si="182"/>
        <v>-4.3040205171270198</v>
      </c>
      <c r="E427" s="307">
        <f t="shared" ca="1" si="183"/>
        <v>-28.25880728039477</v>
      </c>
      <c r="F427" s="304">
        <f t="shared" ca="1" si="184"/>
        <v>28.584694882442648</v>
      </c>
      <c r="G427" s="306">
        <f t="shared" ca="1" si="185"/>
        <v>38.59376911197878</v>
      </c>
      <c r="H427" s="307">
        <f t="shared" ca="1" si="186"/>
        <v>164.44781376555855</v>
      </c>
      <c r="I427" s="304">
        <f t="shared" ca="1" si="187"/>
        <v>168.91584433243838</v>
      </c>
      <c r="J427" s="306">
        <f t="shared" ca="1" si="188"/>
        <v>292.88425465265095</v>
      </c>
      <c r="K427" s="307">
        <f t="shared" ca="1" si="189"/>
        <v>1432.940252475986</v>
      </c>
      <c r="L427" s="304">
        <f t="shared" ca="1" si="174"/>
        <v>1462.5658801535681</v>
      </c>
      <c r="M427" s="306">
        <f t="shared" ca="1" si="190"/>
        <v>1.34028097720126</v>
      </c>
      <c r="N427" s="304">
        <f t="shared" ca="1" si="191"/>
        <v>76.792443355301913</v>
      </c>
      <c r="P427" s="310">
        <f t="shared" ca="1" si="192"/>
        <v>23</v>
      </c>
      <c r="Q427" s="304">
        <f t="shared" ca="1" si="193"/>
        <v>0</v>
      </c>
      <c r="R427" s="306">
        <f t="shared" ca="1" si="194"/>
        <v>0</v>
      </c>
      <c r="S427" s="307">
        <f t="shared" ca="1" si="195"/>
        <v>5.0829999999999913</v>
      </c>
      <c r="T427" s="304">
        <f t="shared" ca="1" si="175"/>
        <v>49.864229999999914</v>
      </c>
      <c r="U427" s="311">
        <f t="shared" ca="1" si="176"/>
        <v>0</v>
      </c>
      <c r="V427" s="306">
        <f t="shared" ca="1" si="177"/>
        <v>1.0612005596427396</v>
      </c>
      <c r="W427" s="304">
        <f t="shared" ca="1" si="178"/>
        <v>92.96975480218407</v>
      </c>
      <c r="Y427" s="314" t="str">
        <f t="shared" ca="1" si="196"/>
        <v/>
      </c>
      <c r="Z427" s="315" t="str">
        <f t="shared" ca="1" si="197"/>
        <v/>
      </c>
      <c r="AA427" s="316" t="str">
        <f t="shared" ca="1" si="198"/>
        <v/>
      </c>
      <c r="AC427" s="310" t="e">
        <f t="shared" ca="1" si="199"/>
        <v>#N/A</v>
      </c>
      <c r="AD427" s="323" t="e">
        <f t="shared" ca="1" si="200"/>
        <v>#N/A</v>
      </c>
      <c r="AE427" s="324">
        <f t="shared" ca="1" si="179"/>
        <v>1432.940252475986</v>
      </c>
      <c r="AG427" s="306">
        <f t="shared" ca="1" si="201"/>
        <v>-28.497672349764546</v>
      </c>
      <c r="AH427" s="304">
        <f t="shared" ca="1" si="202"/>
        <v>-18.944209740208148</v>
      </c>
    </row>
    <row r="428" spans="1:34" x14ac:dyDescent="0.2">
      <c r="A428" s="347">
        <f t="shared" ca="1" si="180"/>
        <v>0.1</v>
      </c>
      <c r="B428" s="304">
        <f t="shared" ca="1" si="181"/>
        <v>6.3999999999999506</v>
      </c>
      <c r="D428" s="306">
        <f t="shared" ca="1" si="182"/>
        <v>-4.1789616129275133</v>
      </c>
      <c r="E428" s="307">
        <f t="shared" ca="1" si="183"/>
        <v>-27.61652983289008</v>
      </c>
      <c r="F428" s="304">
        <f t="shared" ca="1" si="184"/>
        <v>27.930922651663863</v>
      </c>
      <c r="G428" s="306">
        <f t="shared" ca="1" si="185"/>
        <v>38.175872950686028</v>
      </c>
      <c r="H428" s="307">
        <f t="shared" ca="1" si="186"/>
        <v>161.68616078226955</v>
      </c>
      <c r="I428" s="304">
        <f t="shared" ca="1" si="187"/>
        <v>166.13191103474625</v>
      </c>
      <c r="J428" s="306">
        <f t="shared" ca="1" si="188"/>
        <v>296.72273675578418</v>
      </c>
      <c r="K428" s="307">
        <f t="shared" ca="1" si="189"/>
        <v>1449.2469512033774</v>
      </c>
      <c r="L428" s="304">
        <f t="shared" ca="1" si="174"/>
        <v>1479.3110247950319</v>
      </c>
      <c r="M428" s="306">
        <f t="shared" ca="1" si="190"/>
        <v>1.3389318189795991</v>
      </c>
      <c r="N428" s="304">
        <f t="shared" ca="1" si="191"/>
        <v>76.715142283305369</v>
      </c>
      <c r="P428" s="310">
        <f t="shared" ca="1" si="192"/>
        <v>23</v>
      </c>
      <c r="Q428" s="304">
        <f t="shared" ca="1" si="193"/>
        <v>0</v>
      </c>
      <c r="R428" s="306">
        <f t="shared" ca="1" si="194"/>
        <v>0</v>
      </c>
      <c r="S428" s="307">
        <f t="shared" ca="1" si="195"/>
        <v>5.0829999999999913</v>
      </c>
      <c r="T428" s="304">
        <f t="shared" ca="1" si="175"/>
        <v>49.864229999999914</v>
      </c>
      <c r="U428" s="311">
        <f t="shared" ca="1" si="176"/>
        <v>0</v>
      </c>
      <c r="V428" s="306">
        <f t="shared" ca="1" si="177"/>
        <v>1.0594624853951309</v>
      </c>
      <c r="W428" s="304">
        <f t="shared" ca="1" si="178"/>
        <v>89.783213082669491</v>
      </c>
      <c r="Y428" s="314" t="str">
        <f t="shared" ca="1" si="196"/>
        <v/>
      </c>
      <c r="Z428" s="315" t="str">
        <f t="shared" ca="1" si="197"/>
        <v/>
      </c>
      <c r="AA428" s="316" t="str">
        <f t="shared" ca="1" si="198"/>
        <v/>
      </c>
      <c r="AC428" s="310" t="e">
        <f t="shared" ca="1" si="199"/>
        <v>#N/A</v>
      </c>
      <c r="AD428" s="323" t="e">
        <f t="shared" ca="1" si="200"/>
        <v>#N/A</v>
      </c>
      <c r="AE428" s="324">
        <f t="shared" ca="1" si="179"/>
        <v>1449.2469512033774</v>
      </c>
      <c r="AG428" s="306">
        <f t="shared" ca="1" si="201"/>
        <v>-27.8408449663957</v>
      </c>
      <c r="AH428" s="304">
        <f t="shared" ca="1" si="202"/>
        <v>-18.290331458230224</v>
      </c>
    </row>
    <row r="429" spans="1:34" x14ac:dyDescent="0.2">
      <c r="A429" s="347">
        <f t="shared" ca="1" si="180"/>
        <v>0.1</v>
      </c>
      <c r="B429" s="304">
        <f t="shared" ca="1" si="181"/>
        <v>6.4999999999999503</v>
      </c>
      <c r="D429" s="306">
        <f t="shared" ca="1" si="182"/>
        <v>-4.058924280600424</v>
      </c>
      <c r="E429" s="307">
        <f t="shared" ca="1" si="183"/>
        <v>-27.000749892843629</v>
      </c>
      <c r="F429" s="304">
        <f t="shared" ca="1" si="184"/>
        <v>27.304127180548051</v>
      </c>
      <c r="G429" s="306">
        <f t="shared" ca="1" si="185"/>
        <v>37.769980522625985</v>
      </c>
      <c r="H429" s="307">
        <f t="shared" ca="1" si="186"/>
        <v>158.98608579298519</v>
      </c>
      <c r="I429" s="304">
        <f t="shared" ca="1" si="187"/>
        <v>163.41097547121487</v>
      </c>
      <c r="J429" s="306">
        <f t="shared" ca="1" si="188"/>
        <v>300.52002942944978</v>
      </c>
      <c r="K429" s="307">
        <f t="shared" ca="1" si="189"/>
        <v>1465.2805635321401</v>
      </c>
      <c r="L429" s="304">
        <f t="shared" ca="1" si="174"/>
        <v>1495.7805380313462</v>
      </c>
      <c r="M429" s="306">
        <f t="shared" ca="1" si="190"/>
        <v>1.3375523122022557</v>
      </c>
      <c r="N429" s="304">
        <f t="shared" ca="1" si="191"/>
        <v>76.636102367153896</v>
      </c>
      <c r="P429" s="310">
        <f t="shared" ca="1" si="192"/>
        <v>23</v>
      </c>
      <c r="Q429" s="304">
        <f t="shared" ca="1" si="193"/>
        <v>0</v>
      </c>
      <c r="R429" s="306">
        <f t="shared" ca="1" si="194"/>
        <v>0</v>
      </c>
      <c r="S429" s="307">
        <f t="shared" ca="1" si="195"/>
        <v>5.0829999999999913</v>
      </c>
      <c r="T429" s="304">
        <f t="shared" ca="1" si="175"/>
        <v>49.864229999999914</v>
      </c>
      <c r="U429" s="311">
        <f t="shared" ca="1" si="176"/>
        <v>0</v>
      </c>
      <c r="V429" s="306">
        <f t="shared" ca="1" si="177"/>
        <v>1.0577560932628678</v>
      </c>
      <c r="W429" s="304">
        <f t="shared" ca="1" si="178"/>
        <v>86.726419965188271</v>
      </c>
      <c r="Y429" s="314" t="str">
        <f t="shared" ca="1" si="196"/>
        <v/>
      </c>
      <c r="Z429" s="315" t="str">
        <f t="shared" ca="1" si="197"/>
        <v/>
      </c>
      <c r="AA429" s="316" t="str">
        <f t="shared" ca="1" si="198"/>
        <v/>
      </c>
      <c r="AC429" s="310" t="e">
        <f t="shared" ca="1" si="199"/>
        <v>#N/A</v>
      </c>
      <c r="AD429" s="323" t="e">
        <f t="shared" ca="1" si="200"/>
        <v>#N/A</v>
      </c>
      <c r="AE429" s="324">
        <f t="shared" ca="1" si="179"/>
        <v>1465.2805635321401</v>
      </c>
      <c r="AG429" s="306">
        <f t="shared" ca="1" si="201"/>
        <v>-27.210910522321882</v>
      </c>
      <c r="AH429" s="304">
        <f t="shared" ca="1" si="202"/>
        <v>-17.663429683783129</v>
      </c>
    </row>
    <row r="430" spans="1:34" x14ac:dyDescent="0.2">
      <c r="A430" s="347">
        <f t="shared" ca="1" si="180"/>
        <v>0.1</v>
      </c>
      <c r="B430" s="304">
        <f t="shared" ca="1" si="181"/>
        <v>6.5999999999999499</v>
      </c>
      <c r="D430" s="306">
        <f t="shared" ca="1" si="182"/>
        <v>-3.9436362310270061</v>
      </c>
      <c r="E430" s="307">
        <f t="shared" ca="1" si="183"/>
        <v>-26.41004266580947</v>
      </c>
      <c r="F430" s="304">
        <f t="shared" ca="1" si="184"/>
        <v>26.702857905710122</v>
      </c>
      <c r="G430" s="306">
        <f t="shared" ca="1" si="185"/>
        <v>37.375616899523287</v>
      </c>
      <c r="H430" s="307">
        <f t="shared" ca="1" si="186"/>
        <v>156.34508152640424</v>
      </c>
      <c r="I430" s="304">
        <f t="shared" ca="1" si="187"/>
        <v>160.75049379743106</v>
      </c>
      <c r="J430" s="306">
        <f t="shared" ca="1" si="188"/>
        <v>304.27730930055725</v>
      </c>
      <c r="K430" s="307">
        <f t="shared" ca="1" si="189"/>
        <v>1481.0471218981097</v>
      </c>
      <c r="L430" s="304">
        <f t="shared" ca="1" si="174"/>
        <v>1511.9805746893248</v>
      </c>
      <c r="M430" s="306">
        <f t="shared" ca="1" si="190"/>
        <v>1.3361417820506893</v>
      </c>
      <c r="N430" s="304">
        <f t="shared" ca="1" si="191"/>
        <v>76.55528494259319</v>
      </c>
      <c r="P430" s="310">
        <f t="shared" ca="1" si="192"/>
        <v>23</v>
      </c>
      <c r="Q430" s="304">
        <f t="shared" ca="1" si="193"/>
        <v>0</v>
      </c>
      <c r="R430" s="306">
        <f t="shared" ca="1" si="194"/>
        <v>0</v>
      </c>
      <c r="S430" s="307">
        <f t="shared" ca="1" si="195"/>
        <v>5.0829999999999913</v>
      </c>
      <c r="T430" s="304">
        <f t="shared" ca="1" si="175"/>
        <v>49.864229999999914</v>
      </c>
      <c r="U430" s="311">
        <f t="shared" ca="1" si="176"/>
        <v>0</v>
      </c>
      <c r="V430" s="306">
        <f t="shared" ca="1" si="177"/>
        <v>1.0560806066361934</v>
      </c>
      <c r="W430" s="304">
        <f t="shared" ca="1" si="178"/>
        <v>83.792497932306986</v>
      </c>
      <c r="Y430" s="314" t="str">
        <f t="shared" ca="1" si="196"/>
        <v/>
      </c>
      <c r="Z430" s="315" t="str">
        <f t="shared" ca="1" si="197"/>
        <v/>
      </c>
      <c r="AA430" s="316" t="str">
        <f t="shared" ca="1" si="198"/>
        <v/>
      </c>
      <c r="AC430" s="310" t="e">
        <f t="shared" ca="1" si="199"/>
        <v>#N/A</v>
      </c>
      <c r="AD430" s="323" t="e">
        <f t="shared" ca="1" si="200"/>
        <v>#N/A</v>
      </c>
      <c r="AE430" s="324">
        <f t="shared" ca="1" si="179"/>
        <v>1481.0471218981097</v>
      </c>
      <c r="AG430" s="306">
        <f t="shared" ca="1" si="201"/>
        <v>-26.606415879714667</v>
      </c>
      <c r="AH430" s="304">
        <f t="shared" ca="1" si="202"/>
        <v>-17.06205389832548</v>
      </c>
    </row>
    <row r="431" spans="1:34" x14ac:dyDescent="0.2">
      <c r="A431" s="347">
        <f t="shared" ca="1" si="180"/>
        <v>0.1</v>
      </c>
      <c r="B431" s="304">
        <f t="shared" ca="1" si="181"/>
        <v>6.6999999999999496</v>
      </c>
      <c r="D431" s="306">
        <f t="shared" ca="1" si="182"/>
        <v>-3.8328434536503662</v>
      </c>
      <c r="E431" s="307">
        <f t="shared" ca="1" si="183"/>
        <v>-25.843079102075087</v>
      </c>
      <c r="F431" s="304">
        <f t="shared" ca="1" si="184"/>
        <v>26.125761738489093</v>
      </c>
      <c r="G431" s="306">
        <f t="shared" ca="1" si="185"/>
        <v>36.992332554158253</v>
      </c>
      <c r="H431" s="307">
        <f t="shared" ca="1" si="186"/>
        <v>153.76077361619673</v>
      </c>
      <c r="I431" s="304">
        <f t="shared" ca="1" si="187"/>
        <v>158.14805775237562</v>
      </c>
      <c r="J431" s="306">
        <f t="shared" ca="1" si="188"/>
        <v>307.99570677324135</v>
      </c>
      <c r="K431" s="307">
        <f t="shared" ca="1" si="189"/>
        <v>1496.5524146552398</v>
      </c>
      <c r="L431" s="304">
        <f t="shared" ca="1" si="174"/>
        <v>1527.9170413347633</v>
      </c>
      <c r="M431" s="306">
        <f t="shared" ca="1" si="190"/>
        <v>1.3346995293886346</v>
      </c>
      <c r="N431" s="304">
        <f t="shared" ca="1" si="191"/>
        <v>76.47264995206595</v>
      </c>
      <c r="P431" s="310">
        <f t="shared" ca="1" si="192"/>
        <v>23</v>
      </c>
      <c r="Q431" s="304">
        <f t="shared" ca="1" si="193"/>
        <v>0</v>
      </c>
      <c r="R431" s="306">
        <f t="shared" ca="1" si="194"/>
        <v>0</v>
      </c>
      <c r="S431" s="307">
        <f t="shared" ca="1" si="195"/>
        <v>5.0829999999999913</v>
      </c>
      <c r="T431" s="304">
        <f t="shared" ca="1" si="175"/>
        <v>49.864229999999914</v>
      </c>
      <c r="U431" s="311">
        <f t="shared" ca="1" si="176"/>
        <v>0</v>
      </c>
      <c r="V431" s="306">
        <f t="shared" ca="1" si="177"/>
        <v>1.0544352812869811</v>
      </c>
      <c r="W431" s="304">
        <f t="shared" ca="1" si="178"/>
        <v>80.975025353804654</v>
      </c>
      <c r="Y431" s="314" t="str">
        <f t="shared" ca="1" si="196"/>
        <v/>
      </c>
      <c r="Z431" s="315" t="str">
        <f t="shared" ca="1" si="197"/>
        <v/>
      </c>
      <c r="AA431" s="316" t="str">
        <f t="shared" ca="1" si="198"/>
        <v/>
      </c>
      <c r="AC431" s="310" t="e">
        <f t="shared" ca="1" si="199"/>
        <v>#N/A</v>
      </c>
      <c r="AD431" s="323" t="e">
        <f t="shared" ca="1" si="200"/>
        <v>#N/A</v>
      </c>
      <c r="AE431" s="324">
        <f t="shared" ca="1" si="179"/>
        <v>1496.5524146552398</v>
      </c>
      <c r="AG431" s="306">
        <f t="shared" ca="1" si="201"/>
        <v>-26.026005263403952</v>
      </c>
      <c r="AH431" s="304">
        <f t="shared" ca="1" si="202"/>
        <v>-16.484851058883951</v>
      </c>
    </row>
    <row r="432" spans="1:34" x14ac:dyDescent="0.2">
      <c r="A432" s="347">
        <f t="shared" ca="1" si="180"/>
        <v>0.1</v>
      </c>
      <c r="B432" s="304">
        <f t="shared" ca="1" si="181"/>
        <v>6.7999999999999492</v>
      </c>
      <c r="D432" s="306">
        <f t="shared" ca="1" si="182"/>
        <v>-3.7263087558372634</v>
      </c>
      <c r="E432" s="307">
        <f t="shared" ca="1" si="183"/>
        <v>-25.298618247889848</v>
      </c>
      <c r="F432" s="304">
        <f t="shared" ca="1" si="184"/>
        <v>25.571575277958431</v>
      </c>
      <c r="G432" s="306">
        <f t="shared" ca="1" si="185"/>
        <v>36.619701678574529</v>
      </c>
      <c r="H432" s="307">
        <f t="shared" ca="1" si="186"/>
        <v>151.23091179140775</v>
      </c>
      <c r="I432" s="304">
        <f t="shared" ca="1" si="187"/>
        <v>155.60138570169724</v>
      </c>
      <c r="J432" s="306">
        <f t="shared" ca="1" si="188"/>
        <v>311.67630848487801</v>
      </c>
      <c r="K432" s="307">
        <f t="shared" ca="1" si="189"/>
        <v>1511.80199892562</v>
      </c>
      <c r="L432" s="304">
        <f t="shared" ca="1" si="174"/>
        <v>1543.5956093570171</v>
      </c>
      <c r="M432" s="306">
        <f t="shared" ca="1" si="190"/>
        <v>1.3332248298018763</v>
      </c>
      <c r="N432" s="304">
        <f t="shared" ca="1" si="191"/>
        <v>76.388155889695014</v>
      </c>
      <c r="P432" s="310">
        <f t="shared" ca="1" si="192"/>
        <v>23</v>
      </c>
      <c r="Q432" s="304">
        <f t="shared" ca="1" si="193"/>
        <v>0</v>
      </c>
      <c r="R432" s="306">
        <f t="shared" ca="1" si="194"/>
        <v>0</v>
      </c>
      <c r="S432" s="307">
        <f t="shared" ca="1" si="195"/>
        <v>5.0829999999999913</v>
      </c>
      <c r="T432" s="304">
        <f t="shared" ca="1" si="175"/>
        <v>49.864229999999914</v>
      </c>
      <c r="U432" s="311">
        <f t="shared" ca="1" si="176"/>
        <v>0</v>
      </c>
      <c r="V432" s="306">
        <f t="shared" ca="1" si="177"/>
        <v>1.0528194036207308</v>
      </c>
      <c r="W432" s="304">
        <f t="shared" ca="1" si="178"/>
        <v>78.268000561230494</v>
      </c>
      <c r="Y432" s="314" t="str">
        <f t="shared" ca="1" si="196"/>
        <v/>
      </c>
      <c r="Z432" s="315" t="str">
        <f t="shared" ca="1" si="197"/>
        <v/>
      </c>
      <c r="AA432" s="316" t="str">
        <f t="shared" ca="1" si="198"/>
        <v/>
      </c>
      <c r="AC432" s="310" t="e">
        <f t="shared" ca="1" si="199"/>
        <v>#N/A</v>
      </c>
      <c r="AD432" s="323" t="e">
        <f t="shared" ca="1" si="200"/>
        <v>#N/A</v>
      </c>
      <c r="AE432" s="324">
        <f t="shared" ca="1" si="179"/>
        <v>1511.80199892562</v>
      </c>
      <c r="AG432" s="306">
        <f t="shared" ca="1" si="201"/>
        <v>-25.468412468386919</v>
      </c>
      <c r="AH432" s="304">
        <f t="shared" ca="1" si="202"/>
        <v>-15.930557811096753</v>
      </c>
    </row>
    <row r="433" spans="1:34" x14ac:dyDescent="0.2">
      <c r="A433" s="347">
        <f t="shared" ca="1" si="180"/>
        <v>0.1</v>
      </c>
      <c r="B433" s="304">
        <f t="shared" ca="1" si="181"/>
        <v>6.8999999999999488</v>
      </c>
      <c r="D433" s="306">
        <f t="shared" ca="1" si="182"/>
        <v>-3.6238104371586179</v>
      </c>
      <c r="E433" s="307">
        <f t="shared" ca="1" si="183"/>
        <v>-24.775500303115813</v>
      </c>
      <c r="F433" s="304">
        <f t="shared" ca="1" si="184"/>
        <v>25.039117743126482</v>
      </c>
      <c r="G433" s="306">
        <f t="shared" ca="1" si="185"/>
        <v>36.257320634858665</v>
      </c>
      <c r="H433" s="307">
        <f t="shared" ca="1" si="186"/>
        <v>148.75336176109616</v>
      </c>
      <c r="I433" s="304">
        <f t="shared" ca="1" si="187"/>
        <v>153.10831438836524</v>
      </c>
      <c r="J433" s="306">
        <f t="shared" ca="1" si="188"/>
        <v>315.32015960054969</v>
      </c>
      <c r="K433" s="307">
        <f t="shared" ca="1" si="189"/>
        <v>1526.8012126032452</v>
      </c>
      <c r="L433" s="304">
        <f t="shared" ca="1" si="174"/>
        <v>1559.0217271921697</v>
      </c>
      <c r="M433" s="306">
        <f t="shared" ca="1" si="190"/>
        <v>1.3317169325890814</v>
      </c>
      <c r="N433" s="304">
        <f t="shared" ca="1" si="191"/>
        <v>76.301759743462327</v>
      </c>
      <c r="P433" s="310">
        <f t="shared" ca="1" si="192"/>
        <v>23</v>
      </c>
      <c r="Q433" s="304">
        <f t="shared" ca="1" si="193"/>
        <v>0</v>
      </c>
      <c r="R433" s="306">
        <f t="shared" ca="1" si="194"/>
        <v>0</v>
      </c>
      <c r="S433" s="307">
        <f t="shared" ca="1" si="195"/>
        <v>5.0829999999999913</v>
      </c>
      <c r="T433" s="304">
        <f t="shared" ca="1" si="175"/>
        <v>49.864229999999914</v>
      </c>
      <c r="U433" s="311">
        <f t="shared" ca="1" si="176"/>
        <v>0</v>
      </c>
      <c r="V433" s="306">
        <f t="shared" ca="1" si="177"/>
        <v>1.0512322890459029</v>
      </c>
      <c r="W433" s="304">
        <f t="shared" ca="1" si="178"/>
        <v>75.66580919616392</v>
      </c>
      <c r="Y433" s="314" t="str">
        <f t="shared" ca="1" si="196"/>
        <v/>
      </c>
      <c r="Z433" s="315" t="str">
        <f t="shared" ca="1" si="197"/>
        <v/>
      </c>
      <c r="AA433" s="316" t="str">
        <f t="shared" ca="1" si="198"/>
        <v/>
      </c>
      <c r="AC433" s="310" t="e">
        <f t="shared" ca="1" si="199"/>
        <v>#N/A</v>
      </c>
      <c r="AD433" s="323" t="e">
        <f t="shared" ca="1" si="200"/>
        <v>#N/A</v>
      </c>
      <c r="AE433" s="324">
        <f t="shared" ca="1" si="179"/>
        <v>1526.8012126032452</v>
      </c>
      <c r="AG433" s="306">
        <f t="shared" ca="1" si="201"/>
        <v>-24.932453786204555</v>
      </c>
      <c r="AH433" s="304">
        <f t="shared" ca="1" si="202"/>
        <v>-15.397993421450055</v>
      </c>
    </row>
    <row r="434" spans="1:34" x14ac:dyDescent="0.2">
      <c r="A434" s="347">
        <f t="shared" ca="1" si="180"/>
        <v>0.1</v>
      </c>
      <c r="B434" s="304">
        <f t="shared" ca="1" si="181"/>
        <v>6.9999999999999485</v>
      </c>
      <c r="D434" s="306">
        <f t="shared" ca="1" si="182"/>
        <v>-3.5251410844921742</v>
      </c>
      <c r="E434" s="307">
        <f t="shared" ca="1" si="183"/>
        <v>-24.272640311491159</v>
      </c>
      <c r="F434" s="304">
        <f t="shared" ca="1" si="184"/>
        <v>24.527284549183189</v>
      </c>
      <c r="G434" s="306">
        <f t="shared" ca="1" si="185"/>
        <v>35.904806526409445</v>
      </c>
      <c r="H434" s="307">
        <f t="shared" ca="1" si="186"/>
        <v>146.32609772994704</v>
      </c>
      <c r="I434" s="304">
        <f t="shared" ca="1" si="187"/>
        <v>150.66679132633345</v>
      </c>
      <c r="J434" s="306">
        <f t="shared" ca="1" si="188"/>
        <v>318.92826595861311</v>
      </c>
      <c r="K434" s="307">
        <f t="shared" ca="1" si="189"/>
        <v>1541.5551855777974</v>
      </c>
      <c r="L434" s="304">
        <f t="shared" ca="1" si="174"/>
        <v>1574.2006317522441</v>
      </c>
      <c r="M434" s="306">
        <f t="shared" ca="1" si="190"/>
        <v>1.3301750597009874</v>
      </c>
      <c r="N434" s="304">
        <f t="shared" ca="1" si="191"/>
        <v>76.213416934428892</v>
      </c>
      <c r="P434" s="310">
        <f t="shared" ca="1" si="192"/>
        <v>23</v>
      </c>
      <c r="Q434" s="304">
        <f t="shared" ca="1" si="193"/>
        <v>0</v>
      </c>
      <c r="R434" s="306">
        <f t="shared" ca="1" si="194"/>
        <v>0</v>
      </c>
      <c r="S434" s="307">
        <f t="shared" ca="1" si="195"/>
        <v>5.0829999999999913</v>
      </c>
      <c r="T434" s="304">
        <f t="shared" ca="1" si="175"/>
        <v>49.864229999999914</v>
      </c>
      <c r="U434" s="311">
        <f t="shared" ca="1" si="176"/>
        <v>0</v>
      </c>
      <c r="V434" s="306">
        <f t="shared" ca="1" si="177"/>
        <v>1.0496732804512556</v>
      </c>
      <c r="W434" s="304">
        <f t="shared" ca="1" si="178"/>
        <v>73.163194494649517</v>
      </c>
      <c r="Y434" s="314" t="str">
        <f t="shared" ca="1" si="196"/>
        <v/>
      </c>
      <c r="Z434" s="315" t="str">
        <f t="shared" ca="1" si="197"/>
        <v/>
      </c>
      <c r="AA434" s="316" t="str">
        <f t="shared" ca="1" si="198"/>
        <v/>
      </c>
      <c r="AC434" s="310">
        <f t="shared" ca="1" si="199"/>
        <v>6.9999999999999485</v>
      </c>
      <c r="AD434" s="323">
        <f t="shared" ca="1" si="200"/>
        <v>318.92826595861311</v>
      </c>
      <c r="AE434" s="324">
        <f t="shared" ca="1" si="179"/>
        <v>1541.5551855777974</v>
      </c>
      <c r="AG434" s="306">
        <f t="shared" ca="1" si="201"/>
        <v>-24.41702157502063</v>
      </c>
      <c r="AH434" s="304">
        <f t="shared" ca="1" si="202"/>
        <v>-14.886053353563653</v>
      </c>
    </row>
    <row r="435" spans="1:34" x14ac:dyDescent="0.2">
      <c r="A435" s="347">
        <f t="shared" ca="1" si="180"/>
        <v>0.1</v>
      </c>
      <c r="B435" s="304">
        <f t="shared" ca="1" si="181"/>
        <v>7.0999999999999481</v>
      </c>
      <c r="D435" s="306">
        <f t="shared" ca="1" si="182"/>
        <v>-3.4301064754905028</v>
      </c>
      <c r="E435" s="307">
        <f t="shared" ca="1" si="183"/>
        <v>-23.789022418281782</v>
      </c>
      <c r="F435" s="304">
        <f t="shared" ca="1" si="184"/>
        <v>24.035041461389557</v>
      </c>
      <c r="G435" s="306">
        <f t="shared" ca="1" si="185"/>
        <v>35.561795878860394</v>
      </c>
      <c r="H435" s="307">
        <f t="shared" ca="1" si="186"/>
        <v>143.94719548811887</v>
      </c>
      <c r="I435" s="304">
        <f t="shared" ca="1" si="187"/>
        <v>148.27486777948729</v>
      </c>
      <c r="J435" s="306">
        <f t="shared" ca="1" si="188"/>
        <v>322.50159607887662</v>
      </c>
      <c r="K435" s="307">
        <f t="shared" ca="1" si="189"/>
        <v>1556.0688502387006</v>
      </c>
      <c r="L435" s="304">
        <f t="shared" ca="1" si="174"/>
        <v>1589.1373591218019</v>
      </c>
      <c r="M435" s="306">
        <f t="shared" ca="1" si="190"/>
        <v>1.3285984046250676</v>
      </c>
      <c r="N435" s="304">
        <f t="shared" ca="1" si="191"/>
        <v>76.123081252830801</v>
      </c>
      <c r="P435" s="310">
        <f t="shared" ca="1" si="192"/>
        <v>23</v>
      </c>
      <c r="Q435" s="304">
        <f t="shared" ca="1" si="193"/>
        <v>0</v>
      </c>
      <c r="R435" s="306">
        <f t="shared" ca="1" si="194"/>
        <v>0</v>
      </c>
      <c r="S435" s="307">
        <f t="shared" ca="1" si="195"/>
        <v>5.0829999999999913</v>
      </c>
      <c r="T435" s="304">
        <f t="shared" ca="1" si="175"/>
        <v>49.864229999999914</v>
      </c>
      <c r="U435" s="311">
        <f t="shared" ca="1" si="176"/>
        <v>0</v>
      </c>
      <c r="V435" s="306">
        <f t="shared" ca="1" si="177"/>
        <v>1.0481417467827117</v>
      </c>
      <c r="W435" s="304">
        <f t="shared" ca="1" si="178"/>
        <v>70.755230209023082</v>
      </c>
      <c r="Y435" s="314" t="str">
        <f t="shared" ca="1" si="196"/>
        <v/>
      </c>
      <c r="Z435" s="315" t="str">
        <f t="shared" ca="1" si="197"/>
        <v/>
      </c>
      <c r="AA435" s="316" t="str">
        <f t="shared" ca="1" si="198"/>
        <v/>
      </c>
      <c r="AC435" s="310" t="e">
        <f t="shared" ca="1" si="199"/>
        <v>#N/A</v>
      </c>
      <c r="AD435" s="323" t="e">
        <f t="shared" ca="1" si="200"/>
        <v>#N/A</v>
      </c>
      <c r="AE435" s="324">
        <f t="shared" ca="1" si="179"/>
        <v>1556.0688502387006</v>
      </c>
      <c r="AG435" s="306">
        <f t="shared" ca="1" si="201"/>
        <v>-23.921078406977045</v>
      </c>
      <c r="AH435" s="304">
        <f t="shared" ca="1" si="202"/>
        <v>-14.393703422122691</v>
      </c>
    </row>
    <row r="436" spans="1:34" x14ac:dyDescent="0.2">
      <c r="A436" s="347">
        <f t="shared" ca="1" si="180"/>
        <v>0.1</v>
      </c>
      <c r="B436" s="304">
        <f t="shared" ca="1" si="181"/>
        <v>7.1999999999999478</v>
      </c>
      <c r="D436" s="306">
        <f t="shared" ca="1" si="182"/>
        <v>-3.33852457938759</v>
      </c>
      <c r="E436" s="307">
        <f t="shared" ca="1" si="183"/>
        <v>-23.323694637583515</v>
      </c>
      <c r="F436" s="304">
        <f t="shared" ca="1" si="184"/>
        <v>23.56141926782886</v>
      </c>
      <c r="G436" s="306">
        <f t="shared" ca="1" si="185"/>
        <v>35.227943420921633</v>
      </c>
      <c r="H436" s="307">
        <f t="shared" ca="1" si="186"/>
        <v>141.61482602436053</v>
      </c>
      <c r="I436" s="304">
        <f t="shared" ca="1" si="187"/>
        <v>145.93069227402972</v>
      </c>
      <c r="J436" s="306">
        <f t="shared" ca="1" si="188"/>
        <v>326.04108304386574</v>
      </c>
      <c r="K436" s="307">
        <f t="shared" ca="1" si="189"/>
        <v>1570.3469513143245</v>
      </c>
      <c r="L436" s="304">
        <f t="shared" ca="1" si="174"/>
        <v>1603.8367545777876</v>
      </c>
      <c r="M436" s="306">
        <f t="shared" ca="1" si="190"/>
        <v>1.3269861312126094</v>
      </c>
      <c r="N436" s="304">
        <f t="shared" ca="1" si="191"/>
        <v>76.030704790875802</v>
      </c>
      <c r="P436" s="310">
        <f t="shared" ca="1" si="192"/>
        <v>23</v>
      </c>
      <c r="Q436" s="304">
        <f t="shared" ca="1" si="193"/>
        <v>0</v>
      </c>
      <c r="R436" s="306">
        <f t="shared" ca="1" si="194"/>
        <v>0</v>
      </c>
      <c r="S436" s="307">
        <f t="shared" ca="1" si="195"/>
        <v>5.0829999999999913</v>
      </c>
      <c r="T436" s="304">
        <f t="shared" ca="1" si="175"/>
        <v>49.864229999999914</v>
      </c>
      <c r="U436" s="311">
        <f t="shared" ca="1" si="176"/>
        <v>0</v>
      </c>
      <c r="V436" s="306">
        <f t="shared" ca="1" si="177"/>
        <v>1.0466370817120461</v>
      </c>
      <c r="W436" s="304">
        <f t="shared" ca="1" si="178"/>
        <v>68.437295902204497</v>
      </c>
      <c r="Y436" s="314" t="str">
        <f t="shared" ca="1" si="196"/>
        <v/>
      </c>
      <c r="Z436" s="315" t="str">
        <f t="shared" ca="1" si="197"/>
        <v/>
      </c>
      <c r="AA436" s="316" t="str">
        <f t="shared" ca="1" si="198"/>
        <v/>
      </c>
      <c r="AC436" s="310" t="e">
        <f t="shared" ca="1" si="199"/>
        <v>#N/A</v>
      </c>
      <c r="AD436" s="323" t="e">
        <f t="shared" ca="1" si="200"/>
        <v>#N/A</v>
      </c>
      <c r="AE436" s="324">
        <f t="shared" ca="1" si="179"/>
        <v>1570.3469513143245</v>
      </c>
      <c r="AG436" s="306">
        <f t="shared" ca="1" si="201"/>
        <v>-23.443651734020001</v>
      </c>
      <c r="AH436" s="304">
        <f t="shared" ca="1" si="202"/>
        <v>-13.919974465674445</v>
      </c>
    </row>
    <row r="437" spans="1:34" x14ac:dyDescent="0.2">
      <c r="A437" s="347">
        <f t="shared" ca="1" si="180"/>
        <v>0.1</v>
      </c>
      <c r="B437" s="304">
        <f t="shared" ca="1" si="181"/>
        <v>7.2999999999999474</v>
      </c>
      <c r="D437" s="306">
        <f t="shared" ca="1" si="182"/>
        <v>-3.2502246453669259</v>
      </c>
      <c r="E437" s="307">
        <f t="shared" ca="1" si="183"/>
        <v>-22.87576407808039</v>
      </c>
      <c r="F437" s="304">
        <f t="shared" ca="1" si="184"/>
        <v>23.105508918899488</v>
      </c>
      <c r="G437" s="306">
        <f t="shared" ca="1" si="185"/>
        <v>34.902920956384939</v>
      </c>
      <c r="H437" s="307">
        <f t="shared" ca="1" si="186"/>
        <v>139.32724961655248</v>
      </c>
      <c r="I437" s="304">
        <f t="shared" ca="1" si="187"/>
        <v>143.63250459767377</v>
      </c>
      <c r="J437" s="306">
        <f t="shared" ca="1" si="188"/>
        <v>329.54762626273106</v>
      </c>
      <c r="K437" s="307">
        <f t="shared" ca="1" si="189"/>
        <v>1584.3940550963703</v>
      </c>
      <c r="L437" s="304">
        <f t="shared" ca="1" si="174"/>
        <v>1618.3034819835618</v>
      </c>
      <c r="M437" s="306">
        <f t="shared" ca="1" si="190"/>
        <v>1.3253373724449284</v>
      </c>
      <c r="N437" s="304">
        <f t="shared" ca="1" si="191"/>
        <v>75.936237872052487</v>
      </c>
      <c r="P437" s="310">
        <f t="shared" ca="1" si="192"/>
        <v>23</v>
      </c>
      <c r="Q437" s="304">
        <f t="shared" ca="1" si="193"/>
        <v>0</v>
      </c>
      <c r="R437" s="306">
        <f t="shared" ca="1" si="194"/>
        <v>0</v>
      </c>
      <c r="S437" s="307">
        <f t="shared" ca="1" si="195"/>
        <v>5.0829999999999913</v>
      </c>
      <c r="T437" s="304">
        <f t="shared" ca="1" si="175"/>
        <v>49.864229999999914</v>
      </c>
      <c r="U437" s="311">
        <f t="shared" ca="1" si="176"/>
        <v>0</v>
      </c>
      <c r="V437" s="306">
        <f t="shared" ca="1" si="177"/>
        <v>1.0451587023903703</v>
      </c>
      <c r="W437" s="304">
        <f t="shared" ca="1" si="178"/>
        <v>66.205054379168899</v>
      </c>
      <c r="Y437" s="314" t="str">
        <f t="shared" ca="1" si="196"/>
        <v/>
      </c>
      <c r="Z437" s="315" t="str">
        <f t="shared" ca="1" si="197"/>
        <v/>
      </c>
      <c r="AA437" s="316" t="str">
        <f t="shared" ca="1" si="198"/>
        <v/>
      </c>
      <c r="AC437" s="310" t="e">
        <f t="shared" ca="1" si="199"/>
        <v>#N/A</v>
      </c>
      <c r="AD437" s="323" t="e">
        <f t="shared" ca="1" si="200"/>
        <v>#N/A</v>
      </c>
      <c r="AE437" s="324">
        <f t="shared" ca="1" si="179"/>
        <v>1584.3940550963703</v>
      </c>
      <c r="AG437" s="306">
        <f t="shared" ca="1" si="201"/>
        <v>-22.983829020050763</v>
      </c>
      <c r="AH437" s="304">
        <f t="shared" ca="1" si="202"/>
        <v>-13.463957486170493</v>
      </c>
    </row>
    <row r="438" spans="1:34" x14ac:dyDescent="0.2">
      <c r="A438" s="347">
        <f t="shared" ca="1" si="180"/>
        <v>0.1</v>
      </c>
      <c r="B438" s="304">
        <f t="shared" ca="1" si="181"/>
        <v>7.3999999999999471</v>
      </c>
      <c r="D438" s="306">
        <f t="shared" ca="1" si="182"/>
        <v>-3.1650463698079427</v>
      </c>
      <c r="E438" s="307">
        <f t="shared" ca="1" si="183"/>
        <v>-22.444392581791199</v>
      </c>
      <c r="F438" s="304">
        <f t="shared" ca="1" si="184"/>
        <v>22.666457087259982</v>
      </c>
      <c r="G438" s="306">
        <f t="shared" ca="1" si="185"/>
        <v>34.586416319404144</v>
      </c>
      <c r="H438" s="307">
        <f t="shared" ca="1" si="186"/>
        <v>137.08281035837337</v>
      </c>
      <c r="I438" s="304">
        <f t="shared" ca="1" si="187"/>
        <v>141.37863024364361</v>
      </c>
      <c r="J438" s="306">
        <f t="shared" ca="1" si="188"/>
        <v>333.02209312652053</v>
      </c>
      <c r="K438" s="307">
        <f t="shared" ca="1" si="189"/>
        <v>1598.2145580951164</v>
      </c>
      <c r="L438" s="304">
        <f t="shared" ca="1" si="174"/>
        <v>1632.5420326036133</v>
      </c>
      <c r="M438" s="306">
        <f t="shared" ca="1" si="190"/>
        <v>1.3236512291352374</v>
      </c>
      <c r="N438" s="304">
        <f t="shared" ca="1" si="191"/>
        <v>75.839628976752962</v>
      </c>
      <c r="P438" s="310">
        <f t="shared" ca="1" si="192"/>
        <v>23</v>
      </c>
      <c r="Q438" s="304">
        <f t="shared" ca="1" si="193"/>
        <v>0</v>
      </c>
      <c r="R438" s="306">
        <f t="shared" ca="1" si="194"/>
        <v>0</v>
      </c>
      <c r="S438" s="307">
        <f t="shared" ca="1" si="195"/>
        <v>5.0829999999999913</v>
      </c>
      <c r="T438" s="304">
        <f t="shared" ca="1" si="175"/>
        <v>49.864229999999914</v>
      </c>
      <c r="U438" s="311">
        <f t="shared" ca="1" si="176"/>
        <v>0</v>
      </c>
      <c r="V438" s="306">
        <f t="shared" ca="1" si="177"/>
        <v>1.0437060482800213</v>
      </c>
      <c r="W438" s="304">
        <f t="shared" ca="1" si="178"/>
        <v>64.054431046302739</v>
      </c>
      <c r="Y438" s="314" t="str">
        <f t="shared" ca="1" si="196"/>
        <v/>
      </c>
      <c r="Z438" s="315" t="str">
        <f t="shared" ca="1" si="197"/>
        <v/>
      </c>
      <c r="AA438" s="316" t="str">
        <f t="shared" ca="1" si="198"/>
        <v/>
      </c>
      <c r="AC438" s="310" t="e">
        <f t="shared" ca="1" si="199"/>
        <v>#N/A</v>
      </c>
      <c r="AD438" s="323" t="e">
        <f t="shared" ca="1" si="200"/>
        <v>#N/A</v>
      </c>
      <c r="AE438" s="324">
        <f t="shared" ca="1" si="179"/>
        <v>1598.2145580951164</v>
      </c>
      <c r="AG438" s="306">
        <f t="shared" ca="1" si="201"/>
        <v>-22.54075329308332</v>
      </c>
      <c r="AH438" s="304">
        <f t="shared" ca="1" si="202"/>
        <v>-13.024799208964984</v>
      </c>
    </row>
    <row r="439" spans="1:34" x14ac:dyDescent="0.2">
      <c r="A439" s="347">
        <f t="shared" ca="1" si="180"/>
        <v>0.1</v>
      </c>
      <c r="B439" s="304">
        <f t="shared" ca="1" si="181"/>
        <v>7.4999999999999467</v>
      </c>
      <c r="D439" s="306">
        <f t="shared" ca="1" si="182"/>
        <v>-3.082839134687005</v>
      </c>
      <c r="E439" s="307">
        <f t="shared" ca="1" si="183"/>
        <v>-22.028792735359964</v>
      </c>
      <c r="F439" s="304">
        <f t="shared" ca="1" si="184"/>
        <v>22.243462107050817</v>
      </c>
      <c r="G439" s="306">
        <f t="shared" ca="1" si="185"/>
        <v>34.278132405935445</v>
      </c>
      <c r="H439" s="307">
        <f t="shared" ca="1" si="186"/>
        <v>134.87993108483738</v>
      </c>
      <c r="I439" s="304">
        <f t="shared" ca="1" si="187"/>
        <v>139.16747526160458</v>
      </c>
      <c r="J439" s="306">
        <f t="shared" ca="1" si="188"/>
        <v>336.4653205627875</v>
      </c>
      <c r="K439" s="307">
        <f t="shared" ca="1" si="189"/>
        <v>1611.8126951672771</v>
      </c>
      <c r="L439" s="304">
        <f t="shared" ca="1" si="174"/>
        <v>1646.556733381459</v>
      </c>
      <c r="M439" s="306">
        <f t="shared" ca="1" si="190"/>
        <v>1.3219267685624421</v>
      </c>
      <c r="N439" s="304">
        <f t="shared" ca="1" si="191"/>
        <v>75.740824663995085</v>
      </c>
      <c r="P439" s="310">
        <f t="shared" ca="1" si="192"/>
        <v>23</v>
      </c>
      <c r="Q439" s="304">
        <f t="shared" ca="1" si="193"/>
        <v>0</v>
      </c>
      <c r="R439" s="306">
        <f t="shared" ca="1" si="194"/>
        <v>0</v>
      </c>
      <c r="S439" s="307">
        <f t="shared" ca="1" si="195"/>
        <v>5.0829999999999913</v>
      </c>
      <c r="T439" s="304">
        <f t="shared" ca="1" si="175"/>
        <v>49.864229999999914</v>
      </c>
      <c r="U439" s="311">
        <f t="shared" ca="1" si="176"/>
        <v>0</v>
      </c>
      <c r="V439" s="306">
        <f t="shared" ca="1" si="177"/>
        <v>1.0422785800590031</v>
      </c>
      <c r="W439" s="304">
        <f t="shared" ca="1" si="178"/>
        <v>61.981595012182723</v>
      </c>
      <c r="Y439" s="314" t="str">
        <f t="shared" ca="1" si="196"/>
        <v/>
      </c>
      <c r="Z439" s="315" t="str">
        <f t="shared" ca="1" si="197"/>
        <v/>
      </c>
      <c r="AA439" s="316" t="str">
        <f t="shared" ca="1" si="198"/>
        <v/>
      </c>
      <c r="AC439" s="310" t="e">
        <f t="shared" ca="1" si="199"/>
        <v>#N/A</v>
      </c>
      <c r="AD439" s="323" t="e">
        <f t="shared" ca="1" si="200"/>
        <v>#N/A</v>
      </c>
      <c r="AE439" s="324">
        <f t="shared" ca="1" si="179"/>
        <v>1611.8126951672771</v>
      </c>
      <c r="AG439" s="306">
        <f t="shared" ca="1" si="201"/>
        <v>-22.113619076203079</v>
      </c>
      <c r="AH439" s="304">
        <f t="shared" ca="1" si="202"/>
        <v>-12.601698022093812</v>
      </c>
    </row>
    <row r="440" spans="1:34" x14ac:dyDescent="0.2">
      <c r="A440" s="347">
        <f t="shared" ca="1" si="180"/>
        <v>0.1</v>
      </c>
      <c r="B440" s="304">
        <f t="shared" ca="1" si="181"/>
        <v>7.5999999999999464</v>
      </c>
      <c r="D440" s="306">
        <f t="shared" ca="1" si="182"/>
        <v>-3.0034613102519825</v>
      </c>
      <c r="E440" s="307">
        <f t="shared" ca="1" si="183"/>
        <v>-21.628224217857802</v>
      </c>
      <c r="F440" s="304">
        <f t="shared" ca="1" si="184"/>
        <v>21.835770255709125</v>
      </c>
      <c r="G440" s="306">
        <f t="shared" ca="1" si="185"/>
        <v>33.977786274910244</v>
      </c>
      <c r="H440" s="307">
        <f t="shared" ca="1" si="186"/>
        <v>132.71710866305159</v>
      </c>
      <c r="I440" s="304">
        <f t="shared" ca="1" si="187"/>
        <v>136.99752148131631</v>
      </c>
      <c r="J440" s="306">
        <f t="shared" ca="1" si="188"/>
        <v>339.87811649682976</v>
      </c>
      <c r="K440" s="307">
        <f t="shared" ca="1" si="189"/>
        <v>1625.1925471546715</v>
      </c>
      <c r="L440" s="304">
        <f t="shared" ca="1" si="174"/>
        <v>1660.3517547196202</v>
      </c>
      <c r="M440" s="306">
        <f t="shared" ca="1" si="190"/>
        <v>1.3201630230329033</v>
      </c>
      <c r="N440" s="304">
        <f t="shared" ca="1" si="191"/>
        <v>75.639769489017453</v>
      </c>
      <c r="P440" s="310">
        <f t="shared" ca="1" si="192"/>
        <v>23</v>
      </c>
      <c r="Q440" s="304">
        <f t="shared" ca="1" si="193"/>
        <v>0</v>
      </c>
      <c r="R440" s="306">
        <f t="shared" ca="1" si="194"/>
        <v>0</v>
      </c>
      <c r="S440" s="307">
        <f t="shared" ca="1" si="195"/>
        <v>5.0829999999999913</v>
      </c>
      <c r="T440" s="304">
        <f t="shared" ca="1" si="175"/>
        <v>49.864229999999914</v>
      </c>
      <c r="U440" s="311">
        <f t="shared" ca="1" si="176"/>
        <v>0</v>
      </c>
      <c r="V440" s="306">
        <f t="shared" ca="1" si="177"/>
        <v>1.0408757785926472</v>
      </c>
      <c r="W440" s="304">
        <f t="shared" ca="1" si="178"/>
        <v>59.982941763412839</v>
      </c>
      <c r="Y440" s="314" t="str">
        <f t="shared" ca="1" si="196"/>
        <v/>
      </c>
      <c r="Z440" s="315" t="str">
        <f t="shared" ca="1" si="197"/>
        <v/>
      </c>
      <c r="AA440" s="316" t="str">
        <f t="shared" ca="1" si="198"/>
        <v/>
      </c>
      <c r="AC440" s="310" t="e">
        <f t="shared" ca="1" si="199"/>
        <v>#N/A</v>
      </c>
      <c r="AD440" s="323" t="e">
        <f t="shared" ca="1" si="200"/>
        <v>#N/A</v>
      </c>
      <c r="AE440" s="324">
        <f t="shared" ca="1" si="179"/>
        <v>1625.1925471546715</v>
      </c>
      <c r="AG440" s="306">
        <f t="shared" ca="1" si="201"/>
        <v>-21.701668660610082</v>
      </c>
      <c r="AH440" s="304">
        <f t="shared" ca="1" si="202"/>
        <v>-12.193900258151254</v>
      </c>
    </row>
    <row r="441" spans="1:34" x14ac:dyDescent="0.2">
      <c r="A441" s="347">
        <f t="shared" ca="1" si="180"/>
        <v>0.1</v>
      </c>
      <c r="B441" s="304">
        <f t="shared" ca="1" si="181"/>
        <v>7.699999999999946</v>
      </c>
      <c r="D441" s="306">
        <f t="shared" ca="1" si="182"/>
        <v>-2.9267796158310837</v>
      </c>
      <c r="E441" s="307">
        <f t="shared" ca="1" si="183"/>
        <v>-21.24199045294732</v>
      </c>
      <c r="F441" s="304">
        <f t="shared" ca="1" si="184"/>
        <v>21.442672345646415</v>
      </c>
      <c r="G441" s="306">
        <f t="shared" ca="1" si="185"/>
        <v>33.685108313327135</v>
      </c>
      <c r="H441" s="307">
        <f t="shared" ca="1" si="186"/>
        <v>130.59290961775685</v>
      </c>
      <c r="I441" s="304">
        <f t="shared" ca="1" si="187"/>
        <v>134.86732207807862</v>
      </c>
      <c r="J441" s="306">
        <f t="shared" ca="1" si="188"/>
        <v>343.26126122624163</v>
      </c>
      <c r="K441" s="307">
        <f t="shared" ca="1" si="189"/>
        <v>1638.3580480687119</v>
      </c>
      <c r="L441" s="304">
        <f t="shared" ca="1" si="174"/>
        <v>1673.9311177973093</v>
      </c>
      <c r="M441" s="306">
        <f t="shared" ca="1" si="190"/>
        <v>1.3183589883659206</v>
      </c>
      <c r="N441" s="304">
        <f t="shared" ca="1" si="191"/>
        <v>75.536405916504052</v>
      </c>
      <c r="P441" s="310">
        <f t="shared" ca="1" si="192"/>
        <v>23</v>
      </c>
      <c r="Q441" s="304">
        <f t="shared" ca="1" si="193"/>
        <v>0</v>
      </c>
      <c r="R441" s="306">
        <f t="shared" ca="1" si="194"/>
        <v>0</v>
      </c>
      <c r="S441" s="307">
        <f t="shared" ca="1" si="195"/>
        <v>5.0829999999999913</v>
      </c>
      <c r="T441" s="304">
        <f t="shared" ca="1" si="175"/>
        <v>49.864229999999914</v>
      </c>
      <c r="U441" s="311">
        <f t="shared" ca="1" si="176"/>
        <v>0</v>
      </c>
      <c r="V441" s="306">
        <f t="shared" ca="1" si="177"/>
        <v>1.0394971439676033</v>
      </c>
      <c r="W441" s="304">
        <f t="shared" ca="1" si="178"/>
        <v>58.055077266863982</v>
      </c>
      <c r="Y441" s="314" t="str">
        <f t="shared" ca="1" si="196"/>
        <v/>
      </c>
      <c r="Z441" s="315" t="str">
        <f t="shared" ca="1" si="197"/>
        <v/>
      </c>
      <c r="AA441" s="316" t="str">
        <f t="shared" ca="1" si="198"/>
        <v/>
      </c>
      <c r="AC441" s="310" t="e">
        <f t="shared" ca="1" si="199"/>
        <v>#N/A</v>
      </c>
      <c r="AD441" s="323" t="e">
        <f t="shared" ca="1" si="200"/>
        <v>#N/A</v>
      </c>
      <c r="AE441" s="324">
        <f t="shared" ca="1" si="179"/>
        <v>1638.3580480687119</v>
      </c>
      <c r="AG441" s="306">
        <f t="shared" ca="1" si="201"/>
        <v>-21.304188687981682</v>
      </c>
      <c r="AH441" s="304">
        <f t="shared" ca="1" si="202"/>
        <v>-11.800696786034417</v>
      </c>
    </row>
    <row r="442" spans="1:34" x14ac:dyDescent="0.2">
      <c r="A442" s="347">
        <f t="shared" ca="1" si="180"/>
        <v>0.1</v>
      </c>
      <c r="B442" s="304">
        <f t="shared" ca="1" si="181"/>
        <v>7.7999999999999456</v>
      </c>
      <c r="D442" s="306">
        <f t="shared" ca="1" si="182"/>
        <v>-2.8526685332904353</v>
      </c>
      <c r="E442" s="307">
        <f t="shared" ca="1" si="183"/>
        <v>-20.869435536682722</v>
      </c>
      <c r="F442" s="304">
        <f t="shared" ca="1" si="184"/>
        <v>21.063500596543328</v>
      </c>
      <c r="G442" s="306">
        <f t="shared" ca="1" si="185"/>
        <v>33.399841459998093</v>
      </c>
      <c r="H442" s="307">
        <f t="shared" ca="1" si="186"/>
        <v>128.50596606408857</v>
      </c>
      <c r="I442" s="304">
        <f t="shared" ca="1" si="187"/>
        <v>132.7754974519685</v>
      </c>
      <c r="J442" s="306">
        <f t="shared" ca="1" si="188"/>
        <v>346.61550871490789</v>
      </c>
      <c r="K442" s="307">
        <f t="shared" ca="1" si="189"/>
        <v>1651.3129918528041</v>
      </c>
      <c r="L442" s="304">
        <f t="shared" ca="1" si="174"/>
        <v>1687.298701458504</v>
      </c>
      <c r="M442" s="306">
        <f t="shared" ca="1" si="190"/>
        <v>1.3165136222984235</v>
      </c>
      <c r="N442" s="304">
        <f t="shared" ca="1" si="191"/>
        <v>75.430674229179814</v>
      </c>
      <c r="P442" s="310">
        <f t="shared" ca="1" si="192"/>
        <v>23</v>
      </c>
      <c r="Q442" s="304">
        <f t="shared" ca="1" si="193"/>
        <v>0</v>
      </c>
      <c r="R442" s="306">
        <f t="shared" ca="1" si="194"/>
        <v>0</v>
      </c>
      <c r="S442" s="307">
        <f t="shared" ca="1" si="195"/>
        <v>5.0829999999999913</v>
      </c>
      <c r="T442" s="304">
        <f t="shared" ca="1" si="175"/>
        <v>49.864229999999914</v>
      </c>
      <c r="U442" s="311">
        <f t="shared" ca="1" si="176"/>
        <v>0</v>
      </c>
      <c r="V442" s="306">
        <f t="shared" ca="1" si="177"/>
        <v>1.0381421945836851</v>
      </c>
      <c r="W442" s="304">
        <f t="shared" ca="1" si="178"/>
        <v>56.194803365299393</v>
      </c>
      <c r="Y442" s="314" t="str">
        <f t="shared" ca="1" si="196"/>
        <v/>
      </c>
      <c r="Z442" s="315" t="str">
        <f t="shared" ca="1" si="197"/>
        <v/>
      </c>
      <c r="AA442" s="316" t="str">
        <f t="shared" ca="1" si="198"/>
        <v/>
      </c>
      <c r="AC442" s="310" t="e">
        <f t="shared" ca="1" si="199"/>
        <v>#N/A</v>
      </c>
      <c r="AD442" s="323" t="e">
        <f t="shared" ca="1" si="200"/>
        <v>#N/A</v>
      </c>
      <c r="AE442" s="324">
        <f t="shared" ca="1" si="179"/>
        <v>1651.3129918528041</v>
      </c>
      <c r="AG442" s="306">
        <f t="shared" ca="1" si="201"/>
        <v>-20.920507012870573</v>
      </c>
      <c r="AH442" s="304">
        <f t="shared" ca="1" si="202"/>
        <v>-11.421419883309872</v>
      </c>
    </row>
    <row r="443" spans="1:34" x14ac:dyDescent="0.2">
      <c r="A443" s="347">
        <f t="shared" ca="1" si="180"/>
        <v>0.1</v>
      </c>
      <c r="B443" s="304">
        <f t="shared" ca="1" si="181"/>
        <v>7.8999999999999453</v>
      </c>
      <c r="D443" s="306">
        <f t="shared" ca="1" si="182"/>
        <v>-2.7810097682319737</v>
      </c>
      <c r="E443" s="307">
        <f t="shared" ca="1" si="183"/>
        <v>-20.509941415240998</v>
      </c>
      <c r="F443" s="304">
        <f t="shared" ca="1" si="184"/>
        <v>20.697625762092123</v>
      </c>
      <c r="G443" s="306">
        <f t="shared" ca="1" si="185"/>
        <v>33.121740483174896</v>
      </c>
      <c r="H443" s="307">
        <f t="shared" ca="1" si="186"/>
        <v>126.45497192256447</v>
      </c>
      <c r="I443" s="304">
        <f t="shared" ca="1" si="187"/>
        <v>130.72073139548814</v>
      </c>
      <c r="J443" s="306">
        <f t="shared" ca="1" si="188"/>
        <v>349.94158781206653</v>
      </c>
      <c r="K443" s="307">
        <f t="shared" ca="1" si="189"/>
        <v>1664.0610387521367</v>
      </c>
      <c r="L443" s="304">
        <f t="shared" ca="1" si="174"/>
        <v>1700.4582487004116</v>
      </c>
      <c r="M443" s="306">
        <f t="shared" ca="1" si="190"/>
        <v>1.3146258428040363</v>
      </c>
      <c r="N443" s="304">
        <f t="shared" ca="1" si="191"/>
        <v>75.322512431500087</v>
      </c>
      <c r="P443" s="310">
        <f t="shared" ca="1" si="192"/>
        <v>23</v>
      </c>
      <c r="Q443" s="304">
        <f t="shared" ca="1" si="193"/>
        <v>0</v>
      </c>
      <c r="R443" s="306">
        <f t="shared" ca="1" si="194"/>
        <v>0</v>
      </c>
      <c r="S443" s="307">
        <f t="shared" ca="1" si="195"/>
        <v>5.0829999999999913</v>
      </c>
      <c r="T443" s="304">
        <f t="shared" ca="1" si="175"/>
        <v>49.864229999999914</v>
      </c>
      <c r="U443" s="311">
        <f t="shared" ca="1" si="176"/>
        <v>0</v>
      </c>
      <c r="V443" s="306">
        <f t="shared" ca="1" si="177"/>
        <v>1.0368104662994631</v>
      </c>
      <c r="W443" s="304">
        <f t="shared" ca="1" si="178"/>
        <v>54.399104347195625</v>
      </c>
      <c r="Y443" s="314" t="str">
        <f t="shared" ca="1" si="196"/>
        <v/>
      </c>
      <c r="Z443" s="315" t="str">
        <f t="shared" ca="1" si="197"/>
        <v/>
      </c>
      <c r="AA443" s="316" t="str">
        <f t="shared" ca="1" si="198"/>
        <v/>
      </c>
      <c r="AC443" s="310" t="e">
        <f t="shared" ca="1" si="199"/>
        <v>#N/A</v>
      </c>
      <c r="AD443" s="323" t="e">
        <f t="shared" ca="1" si="200"/>
        <v>#N/A</v>
      </c>
      <c r="AE443" s="324">
        <f t="shared" ca="1" si="179"/>
        <v>1664.0610387521367</v>
      </c>
      <c r="AG443" s="306">
        <f t="shared" ca="1" si="201"/>
        <v>-20.54998981892804</v>
      </c>
      <c r="AH443" s="304">
        <f t="shared" ca="1" si="202"/>
        <v>-11.055440363033542</v>
      </c>
    </row>
    <row r="444" spans="1:34" x14ac:dyDescent="0.2">
      <c r="A444" s="347">
        <f t="shared" ca="1" si="180"/>
        <v>0.1</v>
      </c>
      <c r="B444" s="304">
        <f t="shared" ca="1" si="181"/>
        <v>7.9999999999999449</v>
      </c>
      <c r="D444" s="306">
        <f t="shared" ca="1" si="182"/>
        <v>-2.7116917545337196</v>
      </c>
      <c r="E444" s="307">
        <f t="shared" ca="1" si="183"/>
        <v>-20.16292528955114</v>
      </c>
      <c r="F444" s="304">
        <f t="shared" ca="1" si="184"/>
        <v>20.344454487737611</v>
      </c>
      <c r="G444" s="306">
        <f t="shared" ca="1" si="185"/>
        <v>32.850571307721523</v>
      </c>
      <c r="H444" s="307">
        <f t="shared" ca="1" si="186"/>
        <v>124.43867939360935</v>
      </c>
      <c r="I444" s="304">
        <f t="shared" ca="1" si="187"/>
        <v>128.70176752659302</v>
      </c>
      <c r="J444" s="306">
        <f t="shared" ca="1" si="188"/>
        <v>353.24020340161132</v>
      </c>
      <c r="K444" s="307">
        <f t="shared" ca="1" si="189"/>
        <v>1676.6057213179454</v>
      </c>
      <c r="L444" s="304">
        <f t="shared" ca="1" si="174"/>
        <v>1713.4133727899057</v>
      </c>
      <c r="M444" s="306">
        <f t="shared" ca="1" si="190"/>
        <v>1.3126945263213636</v>
      </c>
      <c r="N444" s="304">
        <f t="shared" ca="1" si="191"/>
        <v>75.211856148138892</v>
      </c>
      <c r="P444" s="310">
        <f t="shared" ca="1" si="192"/>
        <v>23</v>
      </c>
      <c r="Q444" s="304">
        <f t="shared" ca="1" si="193"/>
        <v>0</v>
      </c>
      <c r="R444" s="306">
        <f t="shared" ca="1" si="194"/>
        <v>0</v>
      </c>
      <c r="S444" s="307">
        <f t="shared" ca="1" si="195"/>
        <v>5.0829999999999913</v>
      </c>
      <c r="T444" s="304">
        <f t="shared" ca="1" si="175"/>
        <v>49.864229999999914</v>
      </c>
      <c r="U444" s="311">
        <f t="shared" ca="1" si="176"/>
        <v>0</v>
      </c>
      <c r="V444" s="306">
        <f t="shared" ca="1" si="177"/>
        <v>1.0355015116278448</v>
      </c>
      <c r="W444" s="304">
        <f t="shared" ca="1" si="178"/>
        <v>52.665134583814641</v>
      </c>
      <c r="Y444" s="314" t="str">
        <f t="shared" ca="1" si="196"/>
        <v/>
      </c>
      <c r="Z444" s="315" t="str">
        <f t="shared" ca="1" si="197"/>
        <v/>
      </c>
      <c r="AA444" s="316" t="str">
        <f t="shared" ca="1" si="198"/>
        <v/>
      </c>
      <c r="AC444" s="310">
        <f t="shared" ca="1" si="199"/>
        <v>7.9999999999999449</v>
      </c>
      <c r="AD444" s="323">
        <f t="shared" ca="1" si="200"/>
        <v>353.24020340161132</v>
      </c>
      <c r="AE444" s="324">
        <f t="shared" ca="1" si="179"/>
        <v>1676.6057213179454</v>
      </c>
      <c r="AG444" s="306">
        <f t="shared" ca="1" si="201"/>
        <v>-20.19203896545892</v>
      </c>
      <c r="AH444" s="304">
        <f t="shared" ca="1" si="202"/>
        <v>-10.702164931574998</v>
      </c>
    </row>
    <row r="445" spans="1:34" x14ac:dyDescent="0.2">
      <c r="A445" s="347">
        <f t="shared" ca="1" si="180"/>
        <v>0.1</v>
      </c>
      <c r="B445" s="304">
        <f t="shared" ca="1" si="181"/>
        <v>8.0999999999999446</v>
      </c>
      <c r="D445" s="306">
        <f t="shared" ca="1" si="182"/>
        <v>-2.6446091982863917</v>
      </c>
      <c r="E445" s="307">
        <f t="shared" ca="1" si="183"/>
        <v>-19.827837226154955</v>
      </c>
      <c r="F445" s="304">
        <f t="shared" ca="1" si="184"/>
        <v>20.003426878376544</v>
      </c>
      <c r="G445" s="306">
        <f t="shared" ca="1" si="185"/>
        <v>32.586110387892887</v>
      </c>
      <c r="H445" s="307">
        <f t="shared" ca="1" si="186"/>
        <v>122.45589567099385</v>
      </c>
      <c r="I445" s="304">
        <f t="shared" ca="1" si="187"/>
        <v>126.71740596617843</v>
      </c>
      <c r="J445" s="306">
        <f t="shared" ca="1" si="188"/>
        <v>356.51203748639205</v>
      </c>
      <c r="K445" s="307">
        <f t="shared" ca="1" si="189"/>
        <v>1688.9504500711755</v>
      </c>
      <c r="L445" s="304">
        <f t="shared" ca="1" si="174"/>
        <v>1726.1675630333009</v>
      </c>
      <c r="M445" s="306">
        <f t="shared" ca="1" si="190"/>
        <v>1.310718505885984</v>
      </c>
      <c r="N445" s="304">
        <f t="shared" ca="1" si="191"/>
        <v>75.098638516960037</v>
      </c>
      <c r="P445" s="310">
        <f t="shared" ca="1" si="192"/>
        <v>23</v>
      </c>
      <c r="Q445" s="304">
        <f t="shared" ca="1" si="193"/>
        <v>0</v>
      </c>
      <c r="R445" s="306">
        <f t="shared" ca="1" si="194"/>
        <v>0</v>
      </c>
      <c r="S445" s="307">
        <f t="shared" ca="1" si="195"/>
        <v>5.0829999999999913</v>
      </c>
      <c r="T445" s="304">
        <f t="shared" ca="1" si="175"/>
        <v>49.864229999999914</v>
      </c>
      <c r="U445" s="311">
        <f t="shared" ca="1" si="176"/>
        <v>0</v>
      </c>
      <c r="V445" s="306">
        <f t="shared" ca="1" si="177"/>
        <v>1.0342148989781659</v>
      </c>
      <c r="W445" s="304">
        <f t="shared" ca="1" si="178"/>
        <v>50.990207137442113</v>
      </c>
      <c r="Y445" s="314" t="str">
        <f t="shared" ca="1" si="196"/>
        <v/>
      </c>
      <c r="Z445" s="315" t="str">
        <f t="shared" ca="1" si="197"/>
        <v/>
      </c>
      <c r="AA445" s="316" t="str">
        <f t="shared" ca="1" si="198"/>
        <v/>
      </c>
      <c r="AC445" s="310" t="e">
        <f t="shared" ca="1" si="199"/>
        <v>#N/A</v>
      </c>
      <c r="AD445" s="323" t="e">
        <f t="shared" ca="1" si="200"/>
        <v>#N/A</v>
      </c>
      <c r="AE445" s="324">
        <f t="shared" ca="1" si="179"/>
        <v>1688.9504500711755</v>
      </c>
      <c r="AG445" s="306">
        <f t="shared" ca="1" si="201"/>
        <v>-19.846089543220646</v>
      </c>
      <c r="AH445" s="304">
        <f t="shared" ca="1" si="202"/>
        <v>-10.361033756406597</v>
      </c>
    </row>
    <row r="446" spans="1:34" x14ac:dyDescent="0.2">
      <c r="A446" s="347">
        <f t="shared" ca="1" si="180"/>
        <v>0.1</v>
      </c>
      <c r="B446" s="304">
        <f t="shared" ca="1" si="181"/>
        <v>8.1999999999999442</v>
      </c>
      <c r="D446" s="306">
        <f t="shared" ca="1" si="182"/>
        <v>-2.5796626575812729</v>
      </c>
      <c r="E446" s="307">
        <f t="shared" ca="1" si="183"/>
        <v>-19.50415795573133</v>
      </c>
      <c r="F446" s="304">
        <f t="shared" ca="1" si="184"/>
        <v>19.674014257111764</v>
      </c>
      <c r="G446" s="306">
        <f t="shared" ca="1" si="185"/>
        <v>32.328144122134759</v>
      </c>
      <c r="H446" s="307">
        <f t="shared" ca="1" si="186"/>
        <v>120.50547987542072</v>
      </c>
      <c r="I446" s="304">
        <f t="shared" ca="1" si="187"/>
        <v>124.76650024099797</v>
      </c>
      <c r="J446" s="306">
        <f t="shared" ca="1" si="188"/>
        <v>359.75775021189344</v>
      </c>
      <c r="K446" s="307">
        <f t="shared" ca="1" si="189"/>
        <v>1701.0985188484963</v>
      </c>
      <c r="L446" s="304">
        <f t="shared" ca="1" si="174"/>
        <v>1738.7241902228402</v>
      </c>
      <c r="M446" s="306">
        <f t="shared" ca="1" si="190"/>
        <v>1.3086965691602639</v>
      </c>
      <c r="N446" s="304">
        <f t="shared" ca="1" si="191"/>
        <v>74.982790076133767</v>
      </c>
      <c r="P446" s="310">
        <f t="shared" ca="1" si="192"/>
        <v>23</v>
      </c>
      <c r="Q446" s="304">
        <f t="shared" ca="1" si="193"/>
        <v>0</v>
      </c>
      <c r="R446" s="306">
        <f t="shared" ca="1" si="194"/>
        <v>0</v>
      </c>
      <c r="S446" s="307">
        <f t="shared" ca="1" si="195"/>
        <v>5.0829999999999913</v>
      </c>
      <c r="T446" s="304">
        <f t="shared" ca="1" si="175"/>
        <v>49.864229999999914</v>
      </c>
      <c r="U446" s="311">
        <f t="shared" ca="1" si="176"/>
        <v>0</v>
      </c>
      <c r="V446" s="306">
        <f t="shared" ca="1" si="177"/>
        <v>1.0329502119416232</v>
      </c>
      <c r="W446" s="304">
        <f t="shared" ca="1" si="178"/>
        <v>49.371783254355122</v>
      </c>
      <c r="Y446" s="314" t="str">
        <f t="shared" ca="1" si="196"/>
        <v/>
      </c>
      <c r="Z446" s="315" t="str">
        <f t="shared" ca="1" si="197"/>
        <v/>
      </c>
      <c r="AA446" s="316" t="str">
        <f t="shared" ca="1" si="198"/>
        <v/>
      </c>
      <c r="AC446" s="310" t="e">
        <f t="shared" ca="1" si="199"/>
        <v>#N/A</v>
      </c>
      <c r="AD446" s="323" t="e">
        <f t="shared" ca="1" si="200"/>
        <v>#N/A</v>
      </c>
      <c r="AE446" s="324">
        <f t="shared" ca="1" si="179"/>
        <v>1701.0985188484963</v>
      </c>
      <c r="AG446" s="306">
        <f t="shared" ca="1" si="201"/>
        <v>-19.511607620511121</v>
      </c>
      <c r="AH446" s="304">
        <f t="shared" ca="1" si="202"/>
        <v>-10.031518224954199</v>
      </c>
    </row>
    <row r="447" spans="1:34" x14ac:dyDescent="0.2">
      <c r="A447" s="347">
        <f t="shared" ca="1" si="180"/>
        <v>0.1</v>
      </c>
      <c r="B447" s="304">
        <f t="shared" ca="1" si="181"/>
        <v>8.2999999999999439</v>
      </c>
      <c r="D447" s="306">
        <f t="shared" ca="1" si="182"/>
        <v>-2.5167581549603355</v>
      </c>
      <c r="E447" s="307">
        <f t="shared" ca="1" si="183"/>
        <v>-19.191396842580229</v>
      </c>
      <c r="F447" s="304">
        <f t="shared" ca="1" si="184"/>
        <v>19.355717098055493</v>
      </c>
      <c r="G447" s="306">
        <f t="shared" ca="1" si="185"/>
        <v>32.076468306638724</v>
      </c>
      <c r="H447" s="307">
        <f t="shared" ca="1" si="186"/>
        <v>118.58634019116269</v>
      </c>
      <c r="I447" s="304">
        <f t="shared" ca="1" si="187"/>
        <v>122.84795439469461</v>
      </c>
      <c r="J447" s="306">
        <f t="shared" ca="1" si="188"/>
        <v>362.97798083333214</v>
      </c>
      <c r="K447" s="307">
        <f t="shared" ca="1" si="189"/>
        <v>1713.0531098518254</v>
      </c>
      <c r="L447" s="304">
        <f t="shared" ca="1" si="174"/>
        <v>1751.0865117814292</v>
      </c>
      <c r="M447" s="306">
        <f t="shared" ca="1" si="190"/>
        <v>1.3066274563546956</v>
      </c>
      <c r="N447" s="304">
        <f t="shared" ca="1" si="191"/>
        <v>74.864238645038228</v>
      </c>
      <c r="P447" s="310">
        <f t="shared" ca="1" si="192"/>
        <v>23</v>
      </c>
      <c r="Q447" s="304">
        <f t="shared" ca="1" si="193"/>
        <v>0</v>
      </c>
      <c r="R447" s="306">
        <f t="shared" ca="1" si="194"/>
        <v>0</v>
      </c>
      <c r="S447" s="307">
        <f t="shared" ca="1" si="195"/>
        <v>5.0829999999999913</v>
      </c>
      <c r="T447" s="304">
        <f t="shared" ca="1" si="175"/>
        <v>49.864229999999914</v>
      </c>
      <c r="U447" s="311">
        <f t="shared" ca="1" si="176"/>
        <v>0</v>
      </c>
      <c r="V447" s="306">
        <f t="shared" ca="1" si="177"/>
        <v>1.0317070486170974</v>
      </c>
      <c r="W447" s="304">
        <f t="shared" ca="1" si="178"/>
        <v>47.807462664661124</v>
      </c>
      <c r="Y447" s="314" t="str">
        <f t="shared" ca="1" si="196"/>
        <v/>
      </c>
      <c r="Z447" s="315" t="str">
        <f t="shared" ca="1" si="197"/>
        <v/>
      </c>
      <c r="AA447" s="316" t="str">
        <f t="shared" ca="1" si="198"/>
        <v/>
      </c>
      <c r="AC447" s="310" t="e">
        <f t="shared" ca="1" si="199"/>
        <v>#N/A</v>
      </c>
      <c r="AD447" s="323" t="e">
        <f t="shared" ca="1" si="200"/>
        <v>#N/A</v>
      </c>
      <c r="AE447" s="324">
        <f t="shared" ca="1" si="179"/>
        <v>1713.0531098518254</v>
      </c>
      <c r="AG447" s="306">
        <f t="shared" ca="1" si="201"/>
        <v>-19.188088162484242</v>
      </c>
      <c r="AH447" s="304">
        <f t="shared" ca="1" si="202"/>
        <v>-9.713118877504467</v>
      </c>
    </row>
    <row r="448" spans="1:34" x14ac:dyDescent="0.2">
      <c r="A448" s="347">
        <f t="shared" ca="1" si="180"/>
        <v>0.1</v>
      </c>
      <c r="B448" s="304">
        <f t="shared" ca="1" si="181"/>
        <v>8.3999999999999435</v>
      </c>
      <c r="D448" s="306">
        <f t="shared" ca="1" si="182"/>
        <v>-2.4558068196563294</v>
      </c>
      <c r="E448" s="307">
        <f t="shared" ca="1" si="183"/>
        <v>-18.889090010020499</v>
      </c>
      <c r="F448" s="304">
        <f t="shared" ca="1" si="184"/>
        <v>19.048063117863894</v>
      </c>
      <c r="G448" s="306">
        <f t="shared" ca="1" si="185"/>
        <v>31.830887624673089</v>
      </c>
      <c r="H448" s="307">
        <f t="shared" ca="1" si="186"/>
        <v>116.69743119016064</v>
      </c>
      <c r="I448" s="304">
        <f t="shared" ca="1" si="187"/>
        <v>120.96072029116247</v>
      </c>
      <c r="J448" s="306">
        <f t="shared" ca="1" si="188"/>
        <v>366.1733486298977</v>
      </c>
      <c r="K448" s="307">
        <f t="shared" ca="1" si="189"/>
        <v>1724.8172984208916</v>
      </c>
      <c r="L448" s="304">
        <f t="shared" ca="1" si="174"/>
        <v>1763.2576766255056</v>
      </c>
      <c r="M448" s="306">
        <f t="shared" ca="1" si="190"/>
        <v>1.3045098580340262</v>
      </c>
      <c r="N448" s="304">
        <f t="shared" ca="1" si="191"/>
        <v>74.742909198559886</v>
      </c>
      <c r="P448" s="310">
        <f t="shared" ca="1" si="192"/>
        <v>23</v>
      </c>
      <c r="Q448" s="304">
        <f t="shared" ca="1" si="193"/>
        <v>0</v>
      </c>
      <c r="R448" s="306">
        <f t="shared" ca="1" si="194"/>
        <v>0</v>
      </c>
      <c r="S448" s="307">
        <f t="shared" ca="1" si="195"/>
        <v>5.0829999999999913</v>
      </c>
      <c r="T448" s="304">
        <f t="shared" ca="1" si="175"/>
        <v>49.864229999999914</v>
      </c>
      <c r="U448" s="311">
        <f t="shared" ca="1" si="176"/>
        <v>0</v>
      </c>
      <c r="V448" s="306">
        <f t="shared" ca="1" si="177"/>
        <v>1.0304850209746832</v>
      </c>
      <c r="W448" s="304">
        <f t="shared" ca="1" si="178"/>
        <v>46.294974618794107</v>
      </c>
      <c r="Y448" s="314" t="str">
        <f t="shared" ca="1" si="196"/>
        <v/>
      </c>
      <c r="Z448" s="315" t="str">
        <f t="shared" ca="1" si="197"/>
        <v/>
      </c>
      <c r="AA448" s="316" t="str">
        <f t="shared" ca="1" si="198"/>
        <v/>
      </c>
      <c r="AC448" s="310" t="e">
        <f t="shared" ca="1" si="199"/>
        <v>#N/A</v>
      </c>
      <c r="AD448" s="323" t="e">
        <f t="shared" ca="1" si="200"/>
        <v>#N/A</v>
      </c>
      <c r="AE448" s="324">
        <f t="shared" ca="1" si="179"/>
        <v>1724.8172984208916</v>
      </c>
      <c r="AG448" s="306">
        <f t="shared" ca="1" si="201"/>
        <v>-18.87505310831498</v>
      </c>
      <c r="AH448" s="304">
        <f t="shared" ca="1" si="202"/>
        <v>-9.40536349885131</v>
      </c>
    </row>
    <row r="449" spans="1:34" x14ac:dyDescent="0.2">
      <c r="A449" s="347">
        <f t="shared" ca="1" si="180"/>
        <v>0.1</v>
      </c>
      <c r="B449" s="304">
        <f t="shared" ca="1" si="181"/>
        <v>8.4999999999999432</v>
      </c>
      <c r="D449" s="306">
        <f t="shared" ca="1" si="182"/>
        <v>-2.3967245570327611</v>
      </c>
      <c r="E449" s="307">
        <f t="shared" ca="1" si="183"/>
        <v>-18.596798608132477</v>
      </c>
      <c r="F449" s="304">
        <f t="shared" ca="1" si="184"/>
        <v>18.750605512188717</v>
      </c>
      <c r="G449" s="306">
        <f t="shared" ca="1" si="185"/>
        <v>31.591215168969814</v>
      </c>
      <c r="H449" s="307">
        <f t="shared" ca="1" si="186"/>
        <v>114.8377513293474</v>
      </c>
      <c r="I449" s="304">
        <f t="shared" ca="1" si="187"/>
        <v>119.10379509584561</v>
      </c>
      <c r="J449" s="306">
        <f t="shared" ca="1" si="188"/>
        <v>369.34445376957984</v>
      </c>
      <c r="K449" s="307">
        <f t="shared" ca="1" si="189"/>
        <v>1736.3940575468671</v>
      </c>
      <c r="L449" s="304">
        <f t="shared" ca="1" si="174"/>
        <v>1775.2407297643952</v>
      </c>
      <c r="M449" s="306">
        <f t="shared" ca="1" si="190"/>
        <v>1.3023424128009748</v>
      </c>
      <c r="N449" s="304">
        <f t="shared" ca="1" si="191"/>
        <v>74.618723734380296</v>
      </c>
      <c r="P449" s="310">
        <f t="shared" ca="1" si="192"/>
        <v>23</v>
      </c>
      <c r="Q449" s="304">
        <f t="shared" ca="1" si="193"/>
        <v>0</v>
      </c>
      <c r="R449" s="306">
        <f t="shared" ca="1" si="194"/>
        <v>0</v>
      </c>
      <c r="S449" s="307">
        <f t="shared" ca="1" si="195"/>
        <v>5.0829999999999913</v>
      </c>
      <c r="T449" s="304">
        <f t="shared" ca="1" si="175"/>
        <v>49.864229999999914</v>
      </c>
      <c r="U449" s="311">
        <f t="shared" ca="1" si="176"/>
        <v>0</v>
      </c>
      <c r="V449" s="306">
        <f t="shared" ca="1" si="177"/>
        <v>1.0292837542544102</v>
      </c>
      <c r="W449" s="304">
        <f t="shared" ca="1" si="178"/>
        <v>44.832169597268461</v>
      </c>
      <c r="Y449" s="314" t="str">
        <f t="shared" ca="1" si="196"/>
        <v/>
      </c>
      <c r="Z449" s="315" t="str">
        <f t="shared" ca="1" si="197"/>
        <v/>
      </c>
      <c r="AA449" s="316" t="str">
        <f t="shared" ca="1" si="198"/>
        <v/>
      </c>
      <c r="AC449" s="310" t="e">
        <f t="shared" ca="1" si="199"/>
        <v>#N/A</v>
      </c>
      <c r="AD449" s="323" t="e">
        <f t="shared" ca="1" si="200"/>
        <v>#N/A</v>
      </c>
      <c r="AE449" s="324">
        <f t="shared" ca="1" si="179"/>
        <v>1736.3940575468671</v>
      </c>
      <c r="AG449" s="306">
        <f t="shared" ca="1" si="201"/>
        <v>-18.572049592334892</v>
      </c>
      <c r="AH449" s="304">
        <f t="shared" ca="1" si="202"/>
        <v>-9.1078053548680273</v>
      </c>
    </row>
    <row r="450" spans="1:34" x14ac:dyDescent="0.2">
      <c r="A450" s="347">
        <f t="shared" ca="1" si="180"/>
        <v>0.1</v>
      </c>
      <c r="B450" s="304">
        <f t="shared" ca="1" si="181"/>
        <v>8.5999999999999428</v>
      </c>
      <c r="D450" s="306">
        <f t="shared" ca="1" si="182"/>
        <v>-2.3394317428852274</v>
      </c>
      <c r="E450" s="307">
        <f t="shared" ca="1" si="183"/>
        <v>-18.314107211593416</v>
      </c>
      <c r="F450" s="304">
        <f t="shared" ca="1" si="184"/>
        <v>18.46292132457258</v>
      </c>
      <c r="G450" s="306">
        <f t="shared" ca="1" si="185"/>
        <v>31.357271994681291</v>
      </c>
      <c r="H450" s="307">
        <f t="shared" ca="1" si="186"/>
        <v>113.00634060818805</v>
      </c>
      <c r="I450" s="304">
        <f t="shared" ca="1" si="187"/>
        <v>117.27621892183528</v>
      </c>
      <c r="J450" s="306">
        <f t="shared" ca="1" si="188"/>
        <v>372.49187812776239</v>
      </c>
      <c r="K450" s="307">
        <f t="shared" ca="1" si="189"/>
        <v>1747.7862621437439</v>
      </c>
      <c r="L450" s="304">
        <f t="shared" ca="1" si="174"/>
        <v>1787.0386166531343</v>
      </c>
      <c r="M450" s="306">
        <f t="shared" ca="1" si="190"/>
        <v>1.3001237048498269</v>
      </c>
      <c r="N450" s="304">
        <f t="shared" ca="1" si="191"/>
        <v>74.491601132807403</v>
      </c>
      <c r="P450" s="310">
        <f t="shared" ca="1" si="192"/>
        <v>23</v>
      </c>
      <c r="Q450" s="304">
        <f t="shared" ca="1" si="193"/>
        <v>0</v>
      </c>
      <c r="R450" s="306">
        <f t="shared" ca="1" si="194"/>
        <v>0</v>
      </c>
      <c r="S450" s="307">
        <f t="shared" ca="1" si="195"/>
        <v>5.0829999999999913</v>
      </c>
      <c r="T450" s="304">
        <f t="shared" ca="1" si="175"/>
        <v>49.864229999999914</v>
      </c>
      <c r="U450" s="311">
        <f t="shared" ca="1" si="176"/>
        <v>0</v>
      </c>
      <c r="V450" s="306">
        <f t="shared" ca="1" si="177"/>
        <v>1.0281028863978694</v>
      </c>
      <c r="W450" s="304">
        <f t="shared" ca="1" si="178"/>
        <v>43.417011636380742</v>
      </c>
      <c r="Y450" s="314" t="str">
        <f t="shared" ca="1" si="196"/>
        <v/>
      </c>
      <c r="Z450" s="315" t="str">
        <f t="shared" ca="1" si="197"/>
        <v/>
      </c>
      <c r="AA450" s="316" t="str">
        <f t="shared" ca="1" si="198"/>
        <v/>
      </c>
      <c r="AC450" s="310" t="e">
        <f t="shared" ca="1" si="199"/>
        <v>#N/A</v>
      </c>
      <c r="AD450" s="323" t="e">
        <f t="shared" ca="1" si="200"/>
        <v>#N/A</v>
      </c>
      <c r="AE450" s="324">
        <f t="shared" ca="1" si="179"/>
        <v>1747.7862621437439</v>
      </c>
      <c r="AG450" s="306">
        <f t="shared" ca="1" si="201"/>
        <v>-18.278648296594156</v>
      </c>
      <c r="AH450" s="304">
        <f t="shared" ca="1" si="202"/>
        <v>-8.8200215615322719</v>
      </c>
    </row>
    <row r="451" spans="1:34" x14ac:dyDescent="0.2">
      <c r="A451" s="347">
        <f t="shared" ca="1" si="180"/>
        <v>0.1</v>
      </c>
      <c r="B451" s="304">
        <f t="shared" ca="1" si="181"/>
        <v>8.6999999999999424</v>
      </c>
      <c r="D451" s="306">
        <f t="shared" ca="1" si="182"/>
        <v>-2.2838529404904802</v>
      </c>
      <c r="E451" s="307">
        <f t="shared" ca="1" si="183"/>
        <v>-18.040622336530276</v>
      </c>
      <c r="F451" s="304">
        <f t="shared" ca="1" si="184"/>
        <v>18.184609936512306</v>
      </c>
      <c r="G451" s="306">
        <f t="shared" ca="1" si="185"/>
        <v>31.128886700632243</v>
      </c>
      <c r="H451" s="307">
        <f t="shared" ca="1" si="186"/>
        <v>111.20227837453503</v>
      </c>
      <c r="I451" s="304">
        <f t="shared" ca="1" si="187"/>
        <v>115.47707262876203</v>
      </c>
      <c r="J451" s="306">
        <f t="shared" ca="1" si="188"/>
        <v>375.61618606252807</v>
      </c>
      <c r="K451" s="307">
        <f t="shared" ca="1" si="189"/>
        <v>1758.9966930928802</v>
      </c>
      <c r="L451" s="304">
        <f t="shared" ca="1" si="174"/>
        <v>1798.654187314462</v>
      </c>
      <c r="M451" s="306">
        <f t="shared" ca="1" si="190"/>
        <v>1.2978522613816572</v>
      </c>
      <c r="N451" s="304">
        <f t="shared" ca="1" si="191"/>
        <v>74.361457008678713</v>
      </c>
      <c r="P451" s="310">
        <f t="shared" ca="1" si="192"/>
        <v>23</v>
      </c>
      <c r="Q451" s="304">
        <f t="shared" ca="1" si="193"/>
        <v>0</v>
      </c>
      <c r="R451" s="306">
        <f t="shared" ca="1" si="194"/>
        <v>0</v>
      </c>
      <c r="S451" s="307">
        <f t="shared" ca="1" si="195"/>
        <v>5.0829999999999913</v>
      </c>
      <c r="T451" s="304">
        <f t="shared" ca="1" si="175"/>
        <v>49.864229999999914</v>
      </c>
      <c r="U451" s="311">
        <f t="shared" ca="1" si="176"/>
        <v>0</v>
      </c>
      <c r="V451" s="306">
        <f t="shared" ca="1" si="177"/>
        <v>1.0269420675106053</v>
      </c>
      <c r="W451" s="304">
        <f t="shared" ca="1" si="178"/>
        <v>42.047571217991532</v>
      </c>
      <c r="Y451" s="314" t="str">
        <f t="shared" ca="1" si="196"/>
        <v/>
      </c>
      <c r="Z451" s="315" t="str">
        <f t="shared" ca="1" si="197"/>
        <v/>
      </c>
      <c r="AA451" s="316" t="str">
        <f t="shared" ca="1" si="198"/>
        <v/>
      </c>
      <c r="AC451" s="310" t="e">
        <f t="shared" ca="1" si="199"/>
        <v>#N/A</v>
      </c>
      <c r="AD451" s="323" t="e">
        <f t="shared" ca="1" si="200"/>
        <v>#N/A</v>
      </c>
      <c r="AE451" s="324">
        <f t="shared" ca="1" si="179"/>
        <v>1758.9966930928802</v>
      </c>
      <c r="AG451" s="306">
        <f t="shared" ca="1" si="201"/>
        <v>-17.994441923498307</v>
      </c>
      <c r="AH451" s="304">
        <f t="shared" ca="1" si="202"/>
        <v>-8.5416115751290214</v>
      </c>
    </row>
    <row r="452" spans="1:34" x14ac:dyDescent="0.2">
      <c r="A452" s="347">
        <f t="shared" ca="1" si="180"/>
        <v>0.1</v>
      </c>
      <c r="B452" s="304">
        <f t="shared" ca="1" si="181"/>
        <v>8.7999999999999421</v>
      </c>
      <c r="D452" s="306">
        <f t="shared" ca="1" si="182"/>
        <v>-2.2299166384904705</v>
      </c>
      <c r="E452" s="307">
        <f t="shared" ca="1" si="183"/>
        <v>-17.775971066366093</v>
      </c>
      <c r="F452" s="304">
        <f t="shared" ca="1" si="184"/>
        <v>17.915291668485366</v>
      </c>
      <c r="G452" s="306">
        <f t="shared" ca="1" si="185"/>
        <v>30.905895036783196</v>
      </c>
      <c r="H452" s="307">
        <f t="shared" ca="1" si="186"/>
        <v>109.42468126789842</v>
      </c>
      <c r="I452" s="304">
        <f t="shared" ca="1" si="187"/>
        <v>113.7054757635085</v>
      </c>
      <c r="J452" s="306">
        <f t="shared" ca="1" si="188"/>
        <v>378.71792514939887</v>
      </c>
      <c r="K452" s="307">
        <f t="shared" ca="1" si="189"/>
        <v>1770.0280410750017</v>
      </c>
      <c r="L452" s="304">
        <f t="shared" ref="L452:L515" ca="1" si="203">SQRT(pos_x^2+pos_z^2)</f>
        <v>1810.0902002445275</v>
      </c>
      <c r="M452" s="306">
        <f t="shared" ca="1" si="190"/>
        <v>1.2955265498723429</v>
      </c>
      <c r="N452" s="304">
        <f t="shared" ca="1" si="191"/>
        <v>74.228203554830017</v>
      </c>
      <c r="P452" s="310">
        <f t="shared" ca="1" si="192"/>
        <v>23</v>
      </c>
      <c r="Q452" s="304">
        <f t="shared" ca="1" si="193"/>
        <v>0</v>
      </c>
      <c r="R452" s="306">
        <f t="shared" ca="1" si="194"/>
        <v>0</v>
      </c>
      <c r="S452" s="307">
        <f t="shared" ca="1" si="195"/>
        <v>5.0829999999999913</v>
      </c>
      <c r="T452" s="304">
        <f t="shared" ref="T452:T515" ca="1" si="204">m*g</f>
        <v>49.864229999999914</v>
      </c>
      <c r="U452" s="311">
        <f t="shared" ref="U452:U515" ca="1" si="205">IF(pos_xz&lt;L_rampe,Poids*COS(Beta),0)</f>
        <v>0</v>
      </c>
      <c r="V452" s="306">
        <f t="shared" ref="V452:V515" ca="1" si="206">Rho_moyen*(20000-Alt_rampe-pos_z)/(20000+Alt_rampe+pos_z)</f>
        <v>1.0258009593533066</v>
      </c>
      <c r="W452" s="304">
        <f t="shared" ref="W452:W515" ca="1" si="207">1/2*Rho*Sref*Cx*vit_xz^2</f>
        <v>40.722018676394867</v>
      </c>
      <c r="Y452" s="314" t="str">
        <f t="shared" ca="1" si="196"/>
        <v/>
      </c>
      <c r="Z452" s="315" t="str">
        <f t="shared" ca="1" si="197"/>
        <v/>
      </c>
      <c r="AA452" s="316" t="str">
        <f t="shared" ca="1" si="198"/>
        <v/>
      </c>
      <c r="AC452" s="310" t="e">
        <f t="shared" ca="1" si="199"/>
        <v>#N/A</v>
      </c>
      <c r="AD452" s="323" t="e">
        <f t="shared" ca="1" si="200"/>
        <v>#N/A</v>
      </c>
      <c r="AE452" s="324">
        <f t="shared" ref="AE452:AE515" ca="1" si="208">IF(t&lt;T_para, pos_z, NA())</f>
        <v>1770.0280410750017</v>
      </c>
      <c r="AG452" s="306">
        <f t="shared" ca="1" si="201"/>
        <v>-17.719043778232319</v>
      </c>
      <c r="AH452" s="304">
        <f t="shared" ca="1" si="202"/>
        <v>-8.2721957934274251</v>
      </c>
    </row>
    <row r="453" spans="1:34" x14ac:dyDescent="0.2">
      <c r="A453" s="347">
        <f t="shared" ref="A453:A516" ca="1" si="209">IF(B452+0.01&lt;=T_ini+ROUNDUP(Temps_fin_propu,0), 0.01, IF(K452&gt;0, 0.1, 0.0001))</f>
        <v>0.1</v>
      </c>
      <c r="B453" s="304">
        <f t="shared" ref="B453:B516" ca="1" si="210">B452+pas</f>
        <v>8.8999999999999417</v>
      </c>
      <c r="D453" s="306">
        <f t="shared" ref="D453:D516" ca="1" si="211">IF(AND(L452&lt;L_rampe,Poussee&lt;Poids*SIN(M452)),0,(-W452+Poussee)/m*COS(M452)-U452/m*SIN(M452))</f>
        <v>-2.1775550078787269</v>
      </c>
      <c r="E453" s="307">
        <f t="shared" ref="E453:E516" ca="1" si="212">IF(AND(L452&lt;L_rampe,Poussee&lt;Poids*SIN(M452)),0,(-W452+Poussee)/m*SIN(M452)+U452/m*COS(M452)-Poids/m)</f>
        <v>-17.519799777578182</v>
      </c>
      <c r="F453" s="304">
        <f t="shared" ref="F453:F516" ca="1" si="213">SQRT(acc_x^2+acc_z^2)</f>
        <v>17.654606482693584</v>
      </c>
      <c r="G453" s="306">
        <f t="shared" ref="G453:G516" ca="1" si="214">G452+acc_x*pas</f>
        <v>30.688139535995322</v>
      </c>
      <c r="H453" s="307">
        <f t="shared" ref="H453:H516" ca="1" si="215">H452+acc_z*pas</f>
        <v>107.67270129014061</v>
      </c>
      <c r="I453" s="304">
        <f t="shared" ref="I453:I516" ca="1" si="216">SQRT(vit_x^2+vit_z^2)</f>
        <v>111.96058463270262</v>
      </c>
      <c r="J453" s="306">
        <f t="shared" ref="J453:J516" ca="1" si="217">J452+0.5*(vit_x+G452)*pas*(K452&gt;=0)</f>
        <v>381.79762687803782</v>
      </c>
      <c r="K453" s="307">
        <f t="shared" ref="K453:K516" ca="1" si="218">K452+0.5*(vit_z+H452)*pas</f>
        <v>1780.8829102029038</v>
      </c>
      <c r="L453" s="304">
        <f t="shared" ca="1" si="203"/>
        <v>1821.3493261157962</v>
      </c>
      <c r="M453" s="306">
        <f t="shared" ref="M453:M516" ca="1" si="219">IF(AND(L452&gt;L_rampe,G453&gt;0),ATAN2(G453,H453),$M$4)</f>
        <v>1.2931449751839006</v>
      </c>
      <c r="N453" s="304">
        <f t="shared" ref="N453:N516" ca="1" si="220">DEGREES(Beta)</f>
        <v>74.091749376587074</v>
      </c>
      <c r="P453" s="310">
        <f t="shared" ref="P453:P516" ca="1" si="221">MATCH(t-pas/2-T_ini,CdP_t)</f>
        <v>23</v>
      </c>
      <c r="Q453" s="304">
        <f t="shared" ref="Q453:Q516" ca="1" si="222">(INDEX(CdP,2,i_P+1)-INDEX(CdP,2,i_P+0))/(INDEX(CdP,1,i_P+1)-INDEX(CdP,1,i_P+0))*(t-pas/2-T_ini-INDEX(CdP,1,i_P+0))+INDEX(CdP,2,i_P+0)</f>
        <v>0</v>
      </c>
      <c r="R453" s="306">
        <f t="shared" ref="R453:R516" ca="1" si="223">Poussee/(g*ISP)</f>
        <v>0</v>
      </c>
      <c r="S453" s="307">
        <f t="shared" ref="S453:S516" ca="1" si="224">S452-Débit*pas</f>
        <v>5.0829999999999913</v>
      </c>
      <c r="T453" s="304">
        <f t="shared" ca="1" si="204"/>
        <v>49.864229999999914</v>
      </c>
      <c r="U453" s="311">
        <f t="shared" ca="1" si="205"/>
        <v>0</v>
      </c>
      <c r="V453" s="306">
        <f t="shared" ca="1" si="206"/>
        <v>1.0246792348599763</v>
      </c>
      <c r="W453" s="304">
        <f t="shared" ca="1" si="207"/>
        <v>39.438618079652436</v>
      </c>
      <c r="Y453" s="314" t="str">
        <f t="shared" ref="Y453:Y516" ca="1" si="225">IF(AND(pos_z&lt;=0,K452&gt;0),"Impact balistique","") &amp; IF(AND(H454&lt;0,vit_z&gt;=0),"Apogée","") &amp; IF(AND(Poussee=0,Q452&gt;0),"Fin de propulsion","") &amp; IF(AND(L454&gt;L_rampe,pos_xz&lt;=L_rampe),"Sortie de rampe","")</f>
        <v/>
      </c>
      <c r="Z453" s="315" t="str">
        <f t="shared" ref="Z453:Z516" ca="1" si="226">IF(ABS(t-T_para)&lt;pas/2,"Para","")</f>
        <v/>
      </c>
      <c r="AA453" s="316" t="str">
        <f t="shared" ref="AA453:AA516" ca="1" si="227">IF(ABS(t-T_satellite)&lt;pas/2,"Satellite","")</f>
        <v/>
      </c>
      <c r="AC453" s="310" t="e">
        <f t="shared" ref="AC453:AC516" ca="1" si="228">IF(ABS(t-ROUND(t,0))&lt;0.001,t,NA())</f>
        <v>#N/A</v>
      </c>
      <c r="AD453" s="323" t="e">
        <f t="shared" ref="AD453:AD516" ca="1" si="229">IF(ABS(t-ROUND(t,0))&lt;0.001,pos_x,NA())</f>
        <v>#N/A</v>
      </c>
      <c r="AE453" s="324">
        <f t="shared" ca="1" si="208"/>
        <v>1780.8829102029038</v>
      </c>
      <c r="AG453" s="306">
        <f t="shared" ref="AG453:AG516" ca="1" si="230">IF(AND(L452&lt;L_rampe,Poussee&lt;Poids*SIN(M452)),0,(-W452+Poussee)/m-Poids*SIN(M452)/m)</f>
        <v>-17.452086451636525</v>
      </c>
      <c r="AH453" s="304">
        <f t="shared" ref="AH453:AH516" ca="1" si="231">IF(AND(L452&lt;L_rampe,Poussee&lt;Poids*SIN(M452)), g*SIN(M452), (-W452+Poussee)/m)</f>
        <v>-8.0114142585864521</v>
      </c>
    </row>
    <row r="454" spans="1:34" x14ac:dyDescent="0.2">
      <c r="A454" s="347">
        <f t="shared" ca="1" si="209"/>
        <v>0.1</v>
      </c>
      <c r="B454" s="304">
        <f t="shared" ca="1" si="210"/>
        <v>8.9999999999999414</v>
      </c>
      <c r="D454" s="306">
        <f t="shared" ca="1" si="211"/>
        <v>-2.1267036765177694</v>
      </c>
      <c r="E454" s="307">
        <f t="shared" ca="1" si="212"/>
        <v>-17.271772957130644</v>
      </c>
      <c r="F454" s="304">
        <f t="shared" ca="1" si="213"/>
        <v>17.402212779137706</v>
      </c>
      <c r="G454" s="306">
        <f t="shared" ca="1" si="214"/>
        <v>30.475469168343544</v>
      </c>
      <c r="H454" s="307">
        <f t="shared" ca="1" si="215"/>
        <v>105.94552399442755</v>
      </c>
      <c r="I454" s="304">
        <f t="shared" ca="1" si="216"/>
        <v>110.24159049779934</v>
      </c>
      <c r="J454" s="306">
        <f t="shared" ca="1" si="217"/>
        <v>384.85580731325479</v>
      </c>
      <c r="K454" s="307">
        <f t="shared" ca="1" si="218"/>
        <v>1791.5638214671321</v>
      </c>
      <c r="L454" s="304">
        <f t="shared" ca="1" si="203"/>
        <v>1832.4341512896585</v>
      </c>
      <c r="M454" s="306">
        <f t="shared" ca="1" si="219"/>
        <v>1.2907058765090067</v>
      </c>
      <c r="N454" s="304">
        <f t="shared" ca="1" si="220"/>
        <v>73.951999316699712</v>
      </c>
      <c r="P454" s="310">
        <f t="shared" ca="1" si="221"/>
        <v>23</v>
      </c>
      <c r="Q454" s="304">
        <f t="shared" ca="1" si="222"/>
        <v>0</v>
      </c>
      <c r="R454" s="306">
        <f t="shared" ca="1" si="223"/>
        <v>0</v>
      </c>
      <c r="S454" s="307">
        <f t="shared" ca="1" si="224"/>
        <v>5.0829999999999913</v>
      </c>
      <c r="T454" s="304">
        <f t="shared" ca="1" si="204"/>
        <v>49.864229999999914</v>
      </c>
      <c r="U454" s="311">
        <f t="shared" ca="1" si="205"/>
        <v>0</v>
      </c>
      <c r="V454" s="306">
        <f t="shared" ca="1" si="206"/>
        <v>1.023576577681383</v>
      </c>
      <c r="W454" s="304">
        <f t="shared" ca="1" si="207"/>
        <v>38.195721546690379</v>
      </c>
      <c r="Y454" s="314" t="str">
        <f t="shared" ca="1" si="225"/>
        <v/>
      </c>
      <c r="Z454" s="315" t="str">
        <f t="shared" ca="1" si="226"/>
        <v/>
      </c>
      <c r="AA454" s="316" t="str">
        <f t="shared" ca="1" si="227"/>
        <v/>
      </c>
      <c r="AC454" s="310">
        <f t="shared" ca="1" si="228"/>
        <v>8.9999999999999414</v>
      </c>
      <c r="AD454" s="323">
        <f t="shared" ca="1" si="229"/>
        <v>384.85580731325479</v>
      </c>
      <c r="AE454" s="324">
        <f t="shared" ca="1" si="208"/>
        <v>1791.5638214671321</v>
      </c>
      <c r="AG454" s="306">
        <f t="shared" ca="1" si="230"/>
        <v>-17.19322059505113</v>
      </c>
      <c r="AH454" s="304">
        <f t="shared" ca="1" si="231"/>
        <v>-7.758925453403994</v>
      </c>
    </row>
    <row r="455" spans="1:34" x14ac:dyDescent="0.2">
      <c r="A455" s="347">
        <f t="shared" ca="1" si="209"/>
        <v>0.1</v>
      </c>
      <c r="B455" s="304">
        <f t="shared" ca="1" si="210"/>
        <v>9.099999999999941</v>
      </c>
      <c r="D455" s="306">
        <f t="shared" ca="1" si="211"/>
        <v>-2.0773015197610998</v>
      </c>
      <c r="E455" s="307">
        <f t="shared" ca="1" si="212"/>
        <v>-17.03157210410135</v>
      </c>
      <c r="F455" s="304">
        <f t="shared" ca="1" si="213"/>
        <v>17.157786277407848</v>
      </c>
      <c r="G455" s="306">
        <f t="shared" ca="1" si="214"/>
        <v>30.267739016367432</v>
      </c>
      <c r="H455" s="307">
        <f t="shared" ca="1" si="215"/>
        <v>104.24236678401741</v>
      </c>
      <c r="I455" s="304">
        <f t="shared" ca="1" si="216"/>
        <v>108.54771788433209</v>
      </c>
      <c r="J455" s="306">
        <f t="shared" ca="1" si="217"/>
        <v>387.89296772249031</v>
      </c>
      <c r="K455" s="307">
        <f t="shared" ca="1" si="218"/>
        <v>1802.0732160060543</v>
      </c>
      <c r="L455" s="304">
        <f t="shared" ca="1" si="203"/>
        <v>1843.3471811503562</v>
      </c>
      <c r="M455" s="306">
        <f t="shared" ca="1" si="219"/>
        <v>1.2882075241378301</v>
      </c>
      <c r="N455" s="304">
        <f t="shared" ca="1" si="220"/>
        <v>73.808854270094784</v>
      </c>
      <c r="P455" s="310">
        <f t="shared" ca="1" si="221"/>
        <v>23</v>
      </c>
      <c r="Q455" s="304">
        <f t="shared" ca="1" si="222"/>
        <v>0</v>
      </c>
      <c r="R455" s="306">
        <f t="shared" ca="1" si="223"/>
        <v>0</v>
      </c>
      <c r="S455" s="307">
        <f t="shared" ca="1" si="224"/>
        <v>5.0829999999999913</v>
      </c>
      <c r="T455" s="304">
        <f t="shared" ca="1" si="204"/>
        <v>49.864229999999914</v>
      </c>
      <c r="U455" s="311">
        <f t="shared" ca="1" si="205"/>
        <v>0</v>
      </c>
      <c r="V455" s="306">
        <f t="shared" ca="1" si="206"/>
        <v>1.022492681752234</v>
      </c>
      <c r="W455" s="304">
        <f t="shared" ca="1" si="207"/>
        <v>36.991763964982908</v>
      </c>
      <c r="Y455" s="314" t="str">
        <f t="shared" ca="1" si="225"/>
        <v/>
      </c>
      <c r="Z455" s="315" t="str">
        <f t="shared" ca="1" si="226"/>
        <v/>
      </c>
      <c r="AA455" s="316" t="str">
        <f t="shared" ca="1" si="227"/>
        <v/>
      </c>
      <c r="AC455" s="310" t="e">
        <f t="shared" ca="1" si="228"/>
        <v>#N/A</v>
      </c>
      <c r="AD455" s="323" t="e">
        <f t="shared" ca="1" si="229"/>
        <v>#N/A</v>
      </c>
      <c r="AE455" s="324">
        <f t="shared" ca="1" si="208"/>
        <v>1802.0732160060543</v>
      </c>
      <c r="AG455" s="306">
        <f t="shared" ca="1" si="230"/>
        <v>-16.942113779408949</v>
      </c>
      <c r="AH455" s="304">
        <f t="shared" ca="1" si="231"/>
        <v>-7.5144051832953851</v>
      </c>
    </row>
    <row r="456" spans="1:34" x14ac:dyDescent="0.2">
      <c r="A456" s="347">
        <f t="shared" ca="1" si="209"/>
        <v>0.1</v>
      </c>
      <c r="B456" s="304">
        <f t="shared" ca="1" si="210"/>
        <v>9.1999999999999407</v>
      </c>
      <c r="D456" s="306">
        <f t="shared" ca="1" si="211"/>
        <v>-2.0292904658836077</v>
      </c>
      <c r="E456" s="307">
        <f t="shared" ca="1" si="212"/>
        <v>-16.798894708704815</v>
      </c>
      <c r="F456" s="304">
        <f t="shared" ca="1" si="213"/>
        <v>16.921018977268382</v>
      </c>
      <c r="G456" s="306">
        <f t="shared" ca="1" si="214"/>
        <v>30.064809969779073</v>
      </c>
      <c r="H456" s="307">
        <f t="shared" ca="1" si="215"/>
        <v>102.56247731314693</v>
      </c>
      <c r="I456" s="304">
        <f t="shared" ca="1" si="216"/>
        <v>106.87822299761868</v>
      </c>
      <c r="J456" s="306">
        <f t="shared" ca="1" si="217"/>
        <v>390.90959517179766</v>
      </c>
      <c r="K456" s="307">
        <f t="shared" ca="1" si="218"/>
        <v>1812.4134582109125</v>
      </c>
      <c r="L456" s="304">
        <f t="shared" ca="1" si="203"/>
        <v>1854.0908432710135</v>
      </c>
      <c r="M456" s="306">
        <f t="shared" ca="1" si="219"/>
        <v>1.285648116035522</v>
      </c>
      <c r="N456" s="304">
        <f t="shared" ca="1" si="220"/>
        <v>73.662210987780952</v>
      </c>
      <c r="P456" s="310">
        <f t="shared" ca="1" si="221"/>
        <v>23</v>
      </c>
      <c r="Q456" s="304">
        <f t="shared" ca="1" si="222"/>
        <v>0</v>
      </c>
      <c r="R456" s="306">
        <f t="shared" ca="1" si="223"/>
        <v>0</v>
      </c>
      <c r="S456" s="307">
        <f t="shared" ca="1" si="224"/>
        <v>5.0829999999999913</v>
      </c>
      <c r="T456" s="304">
        <f t="shared" ca="1" si="204"/>
        <v>49.864229999999914</v>
      </c>
      <c r="U456" s="311">
        <f t="shared" ca="1" si="205"/>
        <v>0</v>
      </c>
      <c r="V456" s="306">
        <f t="shared" ca="1" si="206"/>
        <v>1.0214272508806121</v>
      </c>
      <c r="W456" s="304">
        <f t="shared" ca="1" si="207"/>
        <v>35.825258076815828</v>
      </c>
      <c r="Y456" s="314" t="str">
        <f t="shared" ca="1" si="225"/>
        <v/>
      </c>
      <c r="Z456" s="315" t="str">
        <f t="shared" ca="1" si="226"/>
        <v/>
      </c>
      <c r="AA456" s="316" t="str">
        <f t="shared" ca="1" si="227"/>
        <v/>
      </c>
      <c r="AC456" s="310" t="e">
        <f t="shared" ca="1" si="228"/>
        <v>#N/A</v>
      </c>
      <c r="AD456" s="323" t="e">
        <f t="shared" ca="1" si="229"/>
        <v>#N/A</v>
      </c>
      <c r="AE456" s="324">
        <f t="shared" ca="1" si="208"/>
        <v>1812.4134582109125</v>
      </c>
      <c r="AG456" s="306">
        <f t="shared" ca="1" si="230"/>
        <v>-16.698449431540691</v>
      </c>
      <c r="AH456" s="304">
        <f t="shared" ca="1" si="231"/>
        <v>-7.2775455370810489</v>
      </c>
    </row>
    <row r="457" spans="1:34" x14ac:dyDescent="0.2">
      <c r="A457" s="347">
        <f t="shared" ca="1" si="209"/>
        <v>0.1</v>
      </c>
      <c r="B457" s="304">
        <f t="shared" ca="1" si="210"/>
        <v>9.2999999999999403</v>
      </c>
      <c r="D457" s="306">
        <f t="shared" ca="1" si="211"/>
        <v>-1.9826153151413177</v>
      </c>
      <c r="E457" s="307">
        <f t="shared" ca="1" si="212"/>
        <v>-16.573453302524676</v>
      </c>
      <c r="F457" s="304">
        <f t="shared" ca="1" si="213"/>
        <v>16.691618191739199</v>
      </c>
      <c r="G457" s="306">
        <f t="shared" ca="1" si="214"/>
        <v>29.866548438264942</v>
      </c>
      <c r="H457" s="307">
        <f t="shared" ca="1" si="215"/>
        <v>100.90513198289446</v>
      </c>
      <c r="I457" s="304">
        <f t="shared" ca="1" si="216"/>
        <v>105.23239223784935</v>
      </c>
      <c r="J457" s="306">
        <f t="shared" ca="1" si="217"/>
        <v>393.90616309219985</v>
      </c>
      <c r="K457" s="307">
        <f t="shared" ca="1" si="218"/>
        <v>1822.5868386757145</v>
      </c>
      <c r="L457" s="304">
        <f t="shared" ca="1" si="203"/>
        <v>1864.6674904218055</v>
      </c>
      <c r="M457" s="306">
        <f t="shared" ca="1" si="219"/>
        <v>1.2830257742178646</v>
      </c>
      <c r="N457" s="304">
        <f t="shared" ca="1" si="220"/>
        <v>73.511961869188511</v>
      </c>
      <c r="P457" s="310">
        <f t="shared" ca="1" si="221"/>
        <v>23</v>
      </c>
      <c r="Q457" s="304">
        <f t="shared" ca="1" si="222"/>
        <v>0</v>
      </c>
      <c r="R457" s="306">
        <f t="shared" ca="1" si="223"/>
        <v>0</v>
      </c>
      <c r="S457" s="307">
        <f t="shared" ca="1" si="224"/>
        <v>5.0829999999999913</v>
      </c>
      <c r="T457" s="304">
        <f t="shared" ca="1" si="204"/>
        <v>49.864229999999914</v>
      </c>
      <c r="U457" s="311">
        <f t="shared" ca="1" si="205"/>
        <v>0</v>
      </c>
      <c r="V457" s="306">
        <f t="shared" ca="1" si="206"/>
        <v>1.0203799983583213</v>
      </c>
      <c r="W457" s="304">
        <f t="shared" ca="1" si="207"/>
        <v>34.694789904979501</v>
      </c>
      <c r="Y457" s="314" t="str">
        <f t="shared" ca="1" si="225"/>
        <v/>
      </c>
      <c r="Z457" s="315" t="str">
        <f t="shared" ca="1" si="226"/>
        <v/>
      </c>
      <c r="AA457" s="316" t="str">
        <f t="shared" ca="1" si="227"/>
        <v/>
      </c>
      <c r="AC457" s="310" t="e">
        <f t="shared" ca="1" si="228"/>
        <v>#N/A</v>
      </c>
      <c r="AD457" s="323" t="e">
        <f t="shared" ca="1" si="229"/>
        <v>#N/A</v>
      </c>
      <c r="AE457" s="324">
        <f t="shared" ca="1" si="208"/>
        <v>1822.5868386757145</v>
      </c>
      <c r="AG457" s="306">
        <f t="shared" ca="1" si="230"/>
        <v>-16.461925841270634</v>
      </c>
      <c r="AH457" s="304">
        <f t="shared" ca="1" si="231"/>
        <v>-7.0480539202864234</v>
      </c>
    </row>
    <row r="458" spans="1:34" x14ac:dyDescent="0.2">
      <c r="A458" s="347">
        <f t="shared" ca="1" si="209"/>
        <v>0.1</v>
      </c>
      <c r="B458" s="304">
        <f t="shared" ca="1" si="210"/>
        <v>9.39999999999994</v>
      </c>
      <c r="D458" s="306">
        <f t="shared" ca="1" si="211"/>
        <v>-1.9372235713869979</v>
      </c>
      <c r="E458" s="307">
        <f t="shared" ca="1" si="212"/>
        <v>-16.354974574321286</v>
      </c>
      <c r="F458" s="304">
        <f t="shared" ca="1" si="213"/>
        <v>16.469305646937066</v>
      </c>
      <c r="G458" s="306">
        <f t="shared" ca="1" si="214"/>
        <v>29.672826081126242</v>
      </c>
      <c r="H458" s="307">
        <f t="shared" ca="1" si="215"/>
        <v>99.269634525462337</v>
      </c>
      <c r="I458" s="304">
        <f t="shared" ca="1" si="216"/>
        <v>103.60954080807244</v>
      </c>
      <c r="J458" s="306">
        <f t="shared" ca="1" si="217"/>
        <v>396.88313181816943</v>
      </c>
      <c r="K458" s="307">
        <f t="shared" ca="1" si="218"/>
        <v>1832.5955770011324</v>
      </c>
      <c r="L458" s="304">
        <f t="shared" ca="1" si="203"/>
        <v>1875.0794034296018</v>
      </c>
      <c r="M458" s="306">
        <f t="shared" ca="1" si="219"/>
        <v>1.2803385409116697</v>
      </c>
      <c r="N458" s="304">
        <f t="shared" ca="1" si="220"/>
        <v>73.357994742176558</v>
      </c>
      <c r="P458" s="310">
        <f t="shared" ca="1" si="221"/>
        <v>23</v>
      </c>
      <c r="Q458" s="304">
        <f t="shared" ca="1" si="222"/>
        <v>0</v>
      </c>
      <c r="R458" s="306">
        <f t="shared" ca="1" si="223"/>
        <v>0</v>
      </c>
      <c r="S458" s="307">
        <f t="shared" ca="1" si="224"/>
        <v>5.0829999999999913</v>
      </c>
      <c r="T458" s="304">
        <f t="shared" ca="1" si="204"/>
        <v>49.864229999999914</v>
      </c>
      <c r="U458" s="311">
        <f t="shared" ca="1" si="205"/>
        <v>0</v>
      </c>
      <c r="V458" s="306">
        <f t="shared" ca="1" si="206"/>
        <v>1.0193506465908948</v>
      </c>
      <c r="W458" s="304">
        <f t="shared" ca="1" si="207"/>
        <v>33.599014491316296</v>
      </c>
      <c r="Y458" s="314" t="str">
        <f t="shared" ca="1" si="225"/>
        <v/>
      </c>
      <c r="Z458" s="315" t="str">
        <f t="shared" ca="1" si="226"/>
        <v/>
      </c>
      <c r="AA458" s="316" t="str">
        <f t="shared" ca="1" si="227"/>
        <v/>
      </c>
      <c r="AC458" s="310" t="e">
        <f t="shared" ca="1" si="228"/>
        <v>#N/A</v>
      </c>
      <c r="AD458" s="323" t="e">
        <f t="shared" ca="1" si="229"/>
        <v>#N/A</v>
      </c>
      <c r="AE458" s="324">
        <f t="shared" ca="1" si="208"/>
        <v>1832.5955770011324</v>
      </c>
      <c r="AG458" s="306">
        <f t="shared" ca="1" si="230"/>
        <v>-16.232255233431541</v>
      </c>
      <c r="AH458" s="304">
        <f t="shared" ca="1" si="231"/>
        <v>-6.8256521552192719</v>
      </c>
    </row>
    <row r="459" spans="1:34" x14ac:dyDescent="0.2">
      <c r="A459" s="347">
        <f t="shared" ca="1" si="209"/>
        <v>0.1</v>
      </c>
      <c r="B459" s="304">
        <f t="shared" ca="1" si="210"/>
        <v>9.4999999999999396</v>
      </c>
      <c r="D459" s="306">
        <f t="shared" ca="1" si="211"/>
        <v>-1.8930652852634153</v>
      </c>
      <c r="E459" s="307">
        <f t="shared" ca="1" si="212"/>
        <v>-16.143198546277684</v>
      </c>
      <c r="F459" s="304">
        <f t="shared" ca="1" si="213"/>
        <v>16.253816643447514</v>
      </c>
      <c r="G459" s="306">
        <f t="shared" ca="1" si="214"/>
        <v>29.483519552599901</v>
      </c>
      <c r="H459" s="307">
        <f t="shared" ca="1" si="215"/>
        <v>97.655314670834571</v>
      </c>
      <c r="I459" s="304">
        <f t="shared" ca="1" si="216"/>
        <v>102.00901140913119</v>
      </c>
      <c r="J459" s="306">
        <f t="shared" ca="1" si="217"/>
        <v>399.84094909985572</v>
      </c>
      <c r="K459" s="307">
        <f t="shared" ca="1" si="218"/>
        <v>1842.4418244609471</v>
      </c>
      <c r="L459" s="304">
        <f t="shared" ca="1" si="203"/>
        <v>1885.3287938977799</v>
      </c>
      <c r="M459" s="306">
        <f t="shared" ca="1" si="219"/>
        <v>1.2775843744855426</v>
      </c>
      <c r="N459" s="304">
        <f t="shared" ca="1" si="220"/>
        <v>73.200192629882849</v>
      </c>
      <c r="P459" s="310">
        <f t="shared" ca="1" si="221"/>
        <v>23</v>
      </c>
      <c r="Q459" s="304">
        <f t="shared" ca="1" si="222"/>
        <v>0</v>
      </c>
      <c r="R459" s="306">
        <f t="shared" ca="1" si="223"/>
        <v>0</v>
      </c>
      <c r="S459" s="307">
        <f t="shared" ca="1" si="224"/>
        <v>5.0829999999999913</v>
      </c>
      <c r="T459" s="304">
        <f t="shared" ca="1" si="204"/>
        <v>49.864229999999914</v>
      </c>
      <c r="U459" s="311">
        <f t="shared" ca="1" si="205"/>
        <v>0</v>
      </c>
      <c r="V459" s="306">
        <f t="shared" ca="1" si="206"/>
        <v>1.0183389267460841</v>
      </c>
      <c r="W459" s="304">
        <f t="shared" ca="1" si="207"/>
        <v>32.536651923870238</v>
      </c>
      <c r="Y459" s="314" t="str">
        <f t="shared" ca="1" si="225"/>
        <v/>
      </c>
      <c r="Z459" s="315" t="str">
        <f t="shared" ca="1" si="226"/>
        <v/>
      </c>
      <c r="AA459" s="316" t="str">
        <f t="shared" ca="1" si="227"/>
        <v/>
      </c>
      <c r="AC459" s="310" t="e">
        <f t="shared" ca="1" si="228"/>
        <v>#N/A</v>
      </c>
      <c r="AD459" s="323" t="e">
        <f t="shared" ca="1" si="229"/>
        <v>#N/A</v>
      </c>
      <c r="AE459" s="324">
        <f t="shared" ca="1" si="208"/>
        <v>1842.4418244609471</v>
      </c>
      <c r="AG459" s="306">
        <f t="shared" ca="1" si="230"/>
        <v>-16.009162899422545</v>
      </c>
      <c r="AH459" s="304">
        <f t="shared" ca="1" si="231"/>
        <v>-6.6100756425961746</v>
      </c>
    </row>
    <row r="460" spans="1:34" x14ac:dyDescent="0.2">
      <c r="A460" s="347">
        <f t="shared" ca="1" si="209"/>
        <v>0.1</v>
      </c>
      <c r="B460" s="304">
        <f t="shared" ca="1" si="210"/>
        <v>9.5999999999999392</v>
      </c>
      <c r="D460" s="306">
        <f t="shared" ca="1" si="211"/>
        <v>-1.8500929080818749</v>
      </c>
      <c r="E460" s="307">
        <f t="shared" ca="1" si="212"/>
        <v>-15.937877805995623</v>
      </c>
      <c r="F460" s="304">
        <f t="shared" ca="1" si="213"/>
        <v>16.044899274454256</v>
      </c>
      <c r="G460" s="306">
        <f t="shared" ca="1" si="214"/>
        <v>29.298510261791712</v>
      </c>
      <c r="H460" s="307">
        <f t="shared" ca="1" si="215"/>
        <v>96.061526890235015</v>
      </c>
      <c r="I460" s="304">
        <f t="shared" ca="1" si="216"/>
        <v>100.43017301609939</v>
      </c>
      <c r="J460" s="306">
        <f t="shared" ca="1" si="217"/>
        <v>402.78005059057529</v>
      </c>
      <c r="K460" s="307">
        <f t="shared" ca="1" si="218"/>
        <v>1852.1276665390005</v>
      </c>
      <c r="L460" s="304">
        <f t="shared" ca="1" si="203"/>
        <v>1895.4178067943092</v>
      </c>
      <c r="M460" s="306">
        <f t="shared" ca="1" si="219"/>
        <v>1.2747611451355705</v>
      </c>
      <c r="N460" s="304">
        <f t="shared" ca="1" si="220"/>
        <v>73.038433503531976</v>
      </c>
      <c r="P460" s="310">
        <f t="shared" ca="1" si="221"/>
        <v>23</v>
      </c>
      <c r="Q460" s="304">
        <f t="shared" ca="1" si="222"/>
        <v>0</v>
      </c>
      <c r="R460" s="306">
        <f t="shared" ca="1" si="223"/>
        <v>0</v>
      </c>
      <c r="S460" s="307">
        <f t="shared" ca="1" si="224"/>
        <v>5.0829999999999913</v>
      </c>
      <c r="T460" s="304">
        <f t="shared" ca="1" si="204"/>
        <v>49.864229999999914</v>
      </c>
      <c r="U460" s="311">
        <f t="shared" ca="1" si="205"/>
        <v>0</v>
      </c>
      <c r="V460" s="306">
        <f t="shared" ca="1" si="206"/>
        <v>1.0173445784197526</v>
      </c>
      <c r="W460" s="304">
        <f t="shared" ca="1" si="207"/>
        <v>31.506483630488425</v>
      </c>
      <c r="Y460" s="314" t="str">
        <f t="shared" ca="1" si="225"/>
        <v/>
      </c>
      <c r="Z460" s="315" t="str">
        <f t="shared" ca="1" si="226"/>
        <v/>
      </c>
      <c r="AA460" s="316" t="str">
        <f t="shared" ca="1" si="227"/>
        <v/>
      </c>
      <c r="AC460" s="310" t="e">
        <f t="shared" ca="1" si="228"/>
        <v>#N/A</v>
      </c>
      <c r="AD460" s="323" t="e">
        <f t="shared" ca="1" si="229"/>
        <v>#N/A</v>
      </c>
      <c r="AE460" s="324">
        <f t="shared" ca="1" si="208"/>
        <v>1852.1276665390005</v>
      </c>
      <c r="AG460" s="306">
        <f t="shared" ca="1" si="230"/>
        <v>-15.792386383377575</v>
      </c>
      <c r="AH460" s="304">
        <f t="shared" ca="1" si="231"/>
        <v>-6.4010725799469395</v>
      </c>
    </row>
    <row r="461" spans="1:34" x14ac:dyDescent="0.2">
      <c r="A461" s="347">
        <f t="shared" ca="1" si="209"/>
        <v>0.1</v>
      </c>
      <c r="B461" s="304">
        <f t="shared" ca="1" si="210"/>
        <v>9.6999999999999389</v>
      </c>
      <c r="D461" s="306">
        <f t="shared" ca="1" si="211"/>
        <v>-1.808261155571554</v>
      </c>
      <c r="E461" s="307">
        <f t="shared" ca="1" si="212"/>
        <v>-15.738776789959612</v>
      </c>
      <c r="F461" s="304">
        <f t="shared" ca="1" si="213"/>
        <v>15.842313696266729</v>
      </c>
      <c r="G461" s="306">
        <f t="shared" ca="1" si="214"/>
        <v>29.117684146234556</v>
      </c>
      <c r="H461" s="307">
        <f t="shared" ca="1" si="215"/>
        <v>94.487649211239059</v>
      </c>
      <c r="I461" s="304">
        <f t="shared" ca="1" si="216"/>
        <v>98.872419731217477</v>
      </c>
      <c r="J461" s="306">
        <f t="shared" ca="1" si="217"/>
        <v>405.70086031097662</v>
      </c>
      <c r="K461" s="307">
        <f t="shared" ca="1" si="218"/>
        <v>1861.6551253440741</v>
      </c>
      <c r="L461" s="304">
        <f t="shared" ca="1" si="203"/>
        <v>1905.3485229156704</v>
      </c>
      <c r="M461" s="306">
        <f t="shared" ca="1" si="219"/>
        <v>1.2718666303093602</v>
      </c>
      <c r="N461" s="304">
        <f t="shared" ca="1" si="220"/>
        <v>72.87259002025209</v>
      </c>
      <c r="P461" s="310">
        <f t="shared" ca="1" si="221"/>
        <v>23</v>
      </c>
      <c r="Q461" s="304">
        <f t="shared" ca="1" si="222"/>
        <v>0</v>
      </c>
      <c r="R461" s="306">
        <f t="shared" ca="1" si="223"/>
        <v>0</v>
      </c>
      <c r="S461" s="307">
        <f t="shared" ca="1" si="224"/>
        <v>5.0829999999999913</v>
      </c>
      <c r="T461" s="304">
        <f t="shared" ca="1" si="204"/>
        <v>49.864229999999914</v>
      </c>
      <c r="U461" s="311">
        <f t="shared" ca="1" si="205"/>
        <v>0</v>
      </c>
      <c r="V461" s="306">
        <f t="shared" ca="1" si="206"/>
        <v>1.0163673493181502</v>
      </c>
      <c r="W461" s="304">
        <f t="shared" ca="1" si="207"/>
        <v>30.507348918622107</v>
      </c>
      <c r="Y461" s="314" t="str">
        <f t="shared" ca="1" si="225"/>
        <v/>
      </c>
      <c r="Z461" s="315" t="str">
        <f t="shared" ca="1" si="226"/>
        <v/>
      </c>
      <c r="AA461" s="316" t="str">
        <f t="shared" ca="1" si="227"/>
        <v/>
      </c>
      <c r="AC461" s="310" t="e">
        <f t="shared" ca="1" si="228"/>
        <v>#N/A</v>
      </c>
      <c r="AD461" s="323" t="e">
        <f t="shared" ca="1" si="229"/>
        <v>#N/A</v>
      </c>
      <c r="AE461" s="324">
        <f t="shared" ca="1" si="208"/>
        <v>1861.6551253440741</v>
      </c>
      <c r="AG461" s="306">
        <f t="shared" ca="1" si="230"/>
        <v>-15.581674718411259</v>
      </c>
      <c r="AH461" s="304">
        <f t="shared" ca="1" si="231"/>
        <v>-6.1984032324392047</v>
      </c>
    </row>
    <row r="462" spans="1:34" x14ac:dyDescent="0.2">
      <c r="A462" s="347">
        <f t="shared" ca="1" si="209"/>
        <v>0.1</v>
      </c>
      <c r="B462" s="304">
        <f t="shared" ca="1" si="210"/>
        <v>9.7999999999999385</v>
      </c>
      <c r="D462" s="306">
        <f t="shared" ca="1" si="211"/>
        <v>-1.7675268807553624</v>
      </c>
      <c r="E462" s="307">
        <f t="shared" ca="1" si="212"/>
        <v>-15.545671114553445</v>
      </c>
      <c r="F462" s="304">
        <f t="shared" ca="1" si="213"/>
        <v>15.645831447259495</v>
      </c>
      <c r="G462" s="306">
        <f t="shared" ca="1" si="214"/>
        <v>28.940931458159021</v>
      </c>
      <c r="H462" s="307">
        <f t="shared" ca="1" si="215"/>
        <v>92.933082099783718</v>
      </c>
      <c r="I462" s="304">
        <f t="shared" ca="1" si="216"/>
        <v>97.335169708749149</v>
      </c>
      <c r="J462" s="306">
        <f t="shared" ca="1" si="217"/>
        <v>408.60379109119629</v>
      </c>
      <c r="K462" s="307">
        <f t="shared" ca="1" si="218"/>
        <v>1871.0261619096252</v>
      </c>
      <c r="L462" s="304">
        <f t="shared" ca="1" si="203"/>
        <v>1915.1229612336542</v>
      </c>
      <c r="M462" s="306">
        <f t="shared" ca="1" si="219"/>
        <v>1.26889850985063</v>
      </c>
      <c r="N462" s="304">
        <f t="shared" ca="1" si="220"/>
        <v>72.702529244880409</v>
      </c>
      <c r="P462" s="310">
        <f t="shared" ca="1" si="221"/>
        <v>23</v>
      </c>
      <c r="Q462" s="304">
        <f t="shared" ca="1" si="222"/>
        <v>0</v>
      </c>
      <c r="R462" s="306">
        <f t="shared" ca="1" si="223"/>
        <v>0</v>
      </c>
      <c r="S462" s="307">
        <f t="shared" ca="1" si="224"/>
        <v>5.0829999999999913</v>
      </c>
      <c r="T462" s="304">
        <f t="shared" ca="1" si="204"/>
        <v>49.864229999999914</v>
      </c>
      <c r="U462" s="311">
        <f t="shared" ca="1" si="205"/>
        <v>0</v>
      </c>
      <c r="V462" s="306">
        <f t="shared" ca="1" si="206"/>
        <v>1.0154069949556344</v>
      </c>
      <c r="W462" s="304">
        <f t="shared" ca="1" si="207"/>
        <v>29.538141742796245</v>
      </c>
      <c r="Y462" s="314" t="str">
        <f t="shared" ca="1" si="225"/>
        <v/>
      </c>
      <c r="Z462" s="315" t="str">
        <f t="shared" ca="1" si="226"/>
        <v/>
      </c>
      <c r="AA462" s="316" t="str">
        <f t="shared" ca="1" si="227"/>
        <v/>
      </c>
      <c r="AC462" s="310" t="e">
        <f t="shared" ca="1" si="228"/>
        <v>#N/A</v>
      </c>
      <c r="AD462" s="323" t="e">
        <f t="shared" ca="1" si="229"/>
        <v>#N/A</v>
      </c>
      <c r="AE462" s="324">
        <f t="shared" ca="1" si="208"/>
        <v>1871.0261619096252</v>
      </c>
      <c r="AG462" s="306">
        <f t="shared" ca="1" si="230"/>
        <v>-15.376787708766946</v>
      </c>
      <c r="AH462" s="304">
        <f t="shared" ca="1" si="231"/>
        <v>-6.0018392521389252</v>
      </c>
    </row>
    <row r="463" spans="1:34" x14ac:dyDescent="0.2">
      <c r="A463" s="347">
        <f t="shared" ca="1" si="209"/>
        <v>0.1</v>
      </c>
      <c r="B463" s="304">
        <f t="shared" ca="1" si="210"/>
        <v>9.8999999999999382</v>
      </c>
      <c r="D463" s="306">
        <f t="shared" ca="1" si="211"/>
        <v>-1.7278489552719032</v>
      </c>
      <c r="E463" s="307">
        <f t="shared" ca="1" si="212"/>
        <v>-15.358346951046048</v>
      </c>
      <c r="F463" s="304">
        <f t="shared" ca="1" si="213"/>
        <v>15.455234811575643</v>
      </c>
      <c r="G463" s="306">
        <f t="shared" ca="1" si="214"/>
        <v>28.768146562631831</v>
      </c>
      <c r="H463" s="307">
        <f t="shared" ca="1" si="215"/>
        <v>91.397247404679106</v>
      </c>
      <c r="I463" s="304">
        <f t="shared" ca="1" si="216"/>
        <v>95.817864147564819</v>
      </c>
      <c r="J463" s="306">
        <f t="shared" ca="1" si="217"/>
        <v>411.48924499223585</v>
      </c>
      <c r="K463" s="307">
        <f t="shared" ca="1" si="218"/>
        <v>1880.2426783848484</v>
      </c>
      <c r="L463" s="304">
        <f t="shared" ca="1" si="203"/>
        <v>1924.7430811316374</v>
      </c>
      <c r="M463" s="306">
        <f t="shared" ca="1" si="219"/>
        <v>1.2658543608452484</v>
      </c>
      <c r="N463" s="304">
        <f t="shared" ca="1" si="220"/>
        <v>72.528112354663094</v>
      </c>
      <c r="P463" s="310">
        <f t="shared" ca="1" si="221"/>
        <v>23</v>
      </c>
      <c r="Q463" s="304">
        <f t="shared" ca="1" si="222"/>
        <v>0</v>
      </c>
      <c r="R463" s="306">
        <f t="shared" ca="1" si="223"/>
        <v>0</v>
      </c>
      <c r="S463" s="307">
        <f t="shared" ca="1" si="224"/>
        <v>5.0829999999999913</v>
      </c>
      <c r="T463" s="304">
        <f t="shared" ca="1" si="204"/>
        <v>49.864229999999914</v>
      </c>
      <c r="U463" s="311">
        <f t="shared" ca="1" si="205"/>
        <v>0</v>
      </c>
      <c r="V463" s="306">
        <f t="shared" ca="1" si="206"/>
        <v>1.0144632783669414</v>
      </c>
      <c r="W463" s="304">
        <f t="shared" ca="1" si="207"/>
        <v>28.597807682774604</v>
      </c>
      <c r="Y463" s="314" t="str">
        <f t="shared" ca="1" si="225"/>
        <v/>
      </c>
      <c r="Z463" s="315" t="str">
        <f t="shared" ca="1" si="226"/>
        <v/>
      </c>
      <c r="AA463" s="316" t="str">
        <f t="shared" ca="1" si="227"/>
        <v/>
      </c>
      <c r="AC463" s="310" t="e">
        <f t="shared" ca="1" si="228"/>
        <v>#N/A</v>
      </c>
      <c r="AD463" s="323" t="e">
        <f t="shared" ca="1" si="229"/>
        <v>#N/A</v>
      </c>
      <c r="AE463" s="324">
        <f t="shared" ca="1" si="208"/>
        <v>1880.2426783848484</v>
      </c>
      <c r="AG463" s="306">
        <f t="shared" ca="1" si="230"/>
        <v>-15.177495254013113</v>
      </c>
      <c r="AH463" s="304">
        <f t="shared" ca="1" si="231"/>
        <v>-5.8111630420610458</v>
      </c>
    </row>
    <row r="464" spans="1:34" x14ac:dyDescent="0.2">
      <c r="A464" s="347">
        <f t="shared" ca="1" si="209"/>
        <v>0.1</v>
      </c>
      <c r="B464" s="304">
        <f t="shared" ca="1" si="210"/>
        <v>9.9999999999999378</v>
      </c>
      <c r="D464" s="306">
        <f t="shared" ca="1" si="211"/>
        <v>-1.6891881585208202</v>
      </c>
      <c r="E464" s="307">
        <f t="shared" ca="1" si="212"/>
        <v>-15.176600441264497</v>
      </c>
      <c r="F464" s="304">
        <f t="shared" ca="1" si="213"/>
        <v>15.270316224252747</v>
      </c>
      <c r="G464" s="306">
        <f t="shared" ca="1" si="214"/>
        <v>28.59922774677975</v>
      </c>
      <c r="H464" s="307">
        <f t="shared" ca="1" si="215"/>
        <v>89.879587360552662</v>
      </c>
      <c r="I464" s="304">
        <f t="shared" ca="1" si="216"/>
        <v>94.319966347615889</v>
      </c>
      <c r="J464" s="306">
        <f t="shared" ca="1" si="217"/>
        <v>414.35761370770643</v>
      </c>
      <c r="K464" s="307">
        <f t="shared" ca="1" si="218"/>
        <v>1889.30652012311</v>
      </c>
      <c r="L464" s="304">
        <f t="shared" ca="1" si="203"/>
        <v>1934.2107845364837</v>
      </c>
      <c r="M464" s="306">
        <f t="shared" ca="1" si="219"/>
        <v>1.2627316521481891</v>
      </c>
      <c r="N464" s="304">
        <f t="shared" ca="1" si="220"/>
        <v>72.349194325672798</v>
      </c>
      <c r="P464" s="310">
        <f t="shared" ca="1" si="221"/>
        <v>23</v>
      </c>
      <c r="Q464" s="304">
        <f t="shared" ca="1" si="222"/>
        <v>0</v>
      </c>
      <c r="R464" s="306">
        <f t="shared" ca="1" si="223"/>
        <v>0</v>
      </c>
      <c r="S464" s="307">
        <f t="shared" ca="1" si="224"/>
        <v>5.0829999999999913</v>
      </c>
      <c r="T464" s="304">
        <f t="shared" ca="1" si="204"/>
        <v>49.864229999999914</v>
      </c>
      <c r="U464" s="311">
        <f t="shared" ca="1" si="205"/>
        <v>0</v>
      </c>
      <c r="V464" s="306">
        <f t="shared" ca="1" si="206"/>
        <v>1.0135359698332012</v>
      </c>
      <c r="W464" s="304">
        <f t="shared" ca="1" si="207"/>
        <v>27.68534111686256</v>
      </c>
      <c r="Y464" s="314" t="str">
        <f t="shared" ca="1" si="225"/>
        <v/>
      </c>
      <c r="Z464" s="315" t="str">
        <f t="shared" ca="1" si="226"/>
        <v/>
      </c>
      <c r="AA464" s="316" t="str">
        <f t="shared" ca="1" si="227"/>
        <v/>
      </c>
      <c r="AC464" s="310">
        <f t="shared" ca="1" si="228"/>
        <v>9.9999999999999378</v>
      </c>
      <c r="AD464" s="323">
        <f t="shared" ca="1" si="229"/>
        <v>414.35761370770643</v>
      </c>
      <c r="AE464" s="324">
        <f t="shared" ca="1" si="208"/>
        <v>1889.30652012311</v>
      </c>
      <c r="AG464" s="306">
        <f t="shared" ca="1" si="230"/>
        <v>-14.983576711722081</v>
      </c>
      <c r="AH464" s="304">
        <f t="shared" ca="1" si="231"/>
        <v>-5.626167161671189</v>
      </c>
    </row>
    <row r="465" spans="1:34" x14ac:dyDescent="0.2">
      <c r="A465" s="347">
        <f t="shared" ca="1" si="209"/>
        <v>0.1</v>
      </c>
      <c r="B465" s="304">
        <f t="shared" ca="1" si="210"/>
        <v>10.099999999999937</v>
      </c>
      <c r="D465" s="306">
        <f t="shared" ca="1" si="211"/>
        <v>-1.651507074061451</v>
      </c>
      <c r="E465" s="307">
        <f t="shared" ca="1" si="212"/>
        <v>-15.000237150945125</v>
      </c>
      <c r="F465" s="304">
        <f t="shared" ca="1" si="213"/>
        <v>15.090877714707959</v>
      </c>
      <c r="G465" s="306">
        <f t="shared" ca="1" si="214"/>
        <v>28.434077039373605</v>
      </c>
      <c r="H465" s="307">
        <f t="shared" ca="1" si="215"/>
        <v>88.379563645458148</v>
      </c>
      <c r="I465" s="304">
        <f t="shared" ca="1" si="216"/>
        <v>92.840960826795737</v>
      </c>
      <c r="J465" s="306">
        <f t="shared" ca="1" si="217"/>
        <v>417.20927894701413</v>
      </c>
      <c r="K465" s="307">
        <f t="shared" ca="1" si="218"/>
        <v>1898.2194776734104</v>
      </c>
      <c r="L465" s="304">
        <f t="shared" ca="1" si="203"/>
        <v>1943.527917951837</v>
      </c>
      <c r="M465" s="306">
        <f t="shared" ca="1" si="219"/>
        <v>1.2595277385693628</v>
      </c>
      <c r="N465" s="304">
        <f t="shared" ca="1" si="220"/>
        <v>72.16562359968141</v>
      </c>
      <c r="P465" s="310">
        <f t="shared" ca="1" si="221"/>
        <v>23</v>
      </c>
      <c r="Q465" s="304">
        <f t="shared" ca="1" si="222"/>
        <v>0</v>
      </c>
      <c r="R465" s="306">
        <f t="shared" ca="1" si="223"/>
        <v>0</v>
      </c>
      <c r="S465" s="307">
        <f t="shared" ca="1" si="224"/>
        <v>5.0829999999999913</v>
      </c>
      <c r="T465" s="304">
        <f t="shared" ca="1" si="204"/>
        <v>49.864229999999914</v>
      </c>
      <c r="U465" s="311">
        <f t="shared" ca="1" si="205"/>
        <v>0</v>
      </c>
      <c r="V465" s="306">
        <f t="shared" ca="1" si="206"/>
        <v>1.0126248466209105</v>
      </c>
      <c r="W465" s="304">
        <f t="shared" ca="1" si="207"/>
        <v>26.799782576073383</v>
      </c>
      <c r="Y465" s="314" t="str">
        <f t="shared" ca="1" si="225"/>
        <v/>
      </c>
      <c r="Z465" s="315" t="str">
        <f t="shared" ca="1" si="226"/>
        <v/>
      </c>
      <c r="AA465" s="316" t="str">
        <f t="shared" ca="1" si="227"/>
        <v/>
      </c>
      <c r="AC465" s="310" t="e">
        <f t="shared" ca="1" si="228"/>
        <v>#N/A</v>
      </c>
      <c r="AD465" s="323" t="e">
        <f t="shared" ca="1" si="229"/>
        <v>#N/A</v>
      </c>
      <c r="AE465" s="324">
        <f t="shared" ca="1" si="208"/>
        <v>1898.2194776734104</v>
      </c>
      <c r="AG465" s="306">
        <f t="shared" ca="1" si="230"/>
        <v>-14.794820295322907</v>
      </c>
      <c r="AH465" s="304">
        <f t="shared" ca="1" si="231"/>
        <v>-5.4466537707776128</v>
      </c>
    </row>
    <row r="466" spans="1:34" x14ac:dyDescent="0.2">
      <c r="A466" s="347">
        <f t="shared" ca="1" si="209"/>
        <v>0.1</v>
      </c>
      <c r="B466" s="304">
        <f t="shared" ca="1" si="210"/>
        <v>10.199999999999937</v>
      </c>
      <c r="D466" s="306">
        <f t="shared" ca="1" si="211"/>
        <v>-1.6147699927423196</v>
      </c>
      <c r="E466" s="307">
        <f t="shared" ca="1" si="212"/>
        <v>-14.829071558001582</v>
      </c>
      <c r="F466" s="304">
        <f t="shared" ca="1" si="213"/>
        <v>14.91673038577129</v>
      </c>
      <c r="G466" s="306">
        <f t="shared" ca="1" si="214"/>
        <v>28.272600040099373</v>
      </c>
      <c r="H466" s="307">
        <f t="shared" ca="1" si="215"/>
        <v>86.896656489657985</v>
      </c>
      <c r="I466" s="304">
        <f t="shared" ca="1" si="216"/>
        <v>91.380352494992309</v>
      </c>
      <c r="J466" s="306">
        <f t="shared" ca="1" si="217"/>
        <v>420.04461280098775</v>
      </c>
      <c r="K466" s="307">
        <f t="shared" ca="1" si="218"/>
        <v>1906.9832886801662</v>
      </c>
      <c r="L466" s="304">
        <f t="shared" ca="1" si="203"/>
        <v>1952.6962743981856</v>
      </c>
      <c r="M466" s="306">
        <f t="shared" ca="1" si="219"/>
        <v>1.2562398546946412</v>
      </c>
      <c r="N466" s="304">
        <f t="shared" ca="1" si="220"/>
        <v>71.977241730130729</v>
      </c>
      <c r="P466" s="310">
        <f t="shared" ca="1" si="221"/>
        <v>23</v>
      </c>
      <c r="Q466" s="304">
        <f t="shared" ca="1" si="222"/>
        <v>0</v>
      </c>
      <c r="R466" s="306">
        <f t="shared" ca="1" si="223"/>
        <v>0</v>
      </c>
      <c r="S466" s="307">
        <f t="shared" ca="1" si="224"/>
        <v>5.0829999999999913</v>
      </c>
      <c r="T466" s="304">
        <f t="shared" ca="1" si="204"/>
        <v>49.864229999999914</v>
      </c>
      <c r="U466" s="311">
        <f t="shared" ca="1" si="205"/>
        <v>0</v>
      </c>
      <c r="V466" s="306">
        <f t="shared" ca="1" si="206"/>
        <v>1.0117296927331574</v>
      </c>
      <c r="W466" s="304">
        <f t="shared" ca="1" si="207"/>
        <v>25.94021626605193</v>
      </c>
      <c r="Y466" s="314" t="str">
        <f t="shared" ca="1" si="225"/>
        <v/>
      </c>
      <c r="Z466" s="315" t="str">
        <f t="shared" ca="1" si="226"/>
        <v/>
      </c>
      <c r="AA466" s="316" t="str">
        <f t="shared" ca="1" si="227"/>
        <v/>
      </c>
      <c r="AC466" s="310" t="e">
        <f t="shared" ca="1" si="228"/>
        <v>#N/A</v>
      </c>
      <c r="AD466" s="323" t="e">
        <f t="shared" ca="1" si="229"/>
        <v>#N/A</v>
      </c>
      <c r="AE466" s="324">
        <f t="shared" ca="1" si="208"/>
        <v>1906.9832886801662</v>
      </c>
      <c r="AG466" s="306">
        <f t="shared" ca="1" si="230"/>
        <v>-14.611022504050222</v>
      </c>
      <c r="AH466" s="304">
        <f t="shared" ca="1" si="231"/>
        <v>-5.2724341090051992</v>
      </c>
    </row>
    <row r="467" spans="1:34" x14ac:dyDescent="0.2">
      <c r="A467" s="347">
        <f t="shared" ca="1" si="209"/>
        <v>0.1</v>
      </c>
      <c r="B467" s="304">
        <f t="shared" ca="1" si="210"/>
        <v>10.299999999999937</v>
      </c>
      <c r="D467" s="306">
        <f t="shared" ca="1" si="211"/>
        <v>-1.578942822082549</v>
      </c>
      <c r="E467" s="307">
        <f t="shared" ca="1" si="212"/>
        <v>-14.662926573173994</v>
      </c>
      <c r="F467" s="304">
        <f t="shared" ca="1" si="213"/>
        <v>14.7476939256854</v>
      </c>
      <c r="G467" s="306">
        <f t="shared" ca="1" si="214"/>
        <v>28.114705757891119</v>
      </c>
      <c r="H467" s="307">
        <f t="shared" ca="1" si="215"/>
        <v>85.430363832340589</v>
      </c>
      <c r="I467" s="304">
        <f t="shared" ca="1" si="216"/>
        <v>89.937665882425947</v>
      </c>
      <c r="J467" s="306">
        <f t="shared" ca="1" si="217"/>
        <v>422.86397809088726</v>
      </c>
      <c r="K467" s="307">
        <f t="shared" ca="1" si="218"/>
        <v>1915.5996396962662</v>
      </c>
      <c r="L467" s="304">
        <f t="shared" ca="1" si="203"/>
        <v>1961.7175952647503</v>
      </c>
      <c r="M467" s="306">
        <f t="shared" ca="1" si="219"/>
        <v>1.2528651083166333</v>
      </c>
      <c r="N467" s="304">
        <f t="shared" ca="1" si="220"/>
        <v>71.783883005743832</v>
      </c>
      <c r="P467" s="310">
        <f t="shared" ca="1" si="221"/>
        <v>23</v>
      </c>
      <c r="Q467" s="304">
        <f t="shared" ca="1" si="222"/>
        <v>0</v>
      </c>
      <c r="R467" s="306">
        <f t="shared" ca="1" si="223"/>
        <v>0</v>
      </c>
      <c r="S467" s="307">
        <f t="shared" ca="1" si="224"/>
        <v>5.0829999999999913</v>
      </c>
      <c r="T467" s="304">
        <f t="shared" ca="1" si="204"/>
        <v>49.864229999999914</v>
      </c>
      <c r="U467" s="311">
        <f t="shared" ca="1" si="205"/>
        <v>0</v>
      </c>
      <c r="V467" s="306">
        <f t="shared" ca="1" si="206"/>
        <v>1.0108502986724166</v>
      </c>
      <c r="W467" s="304">
        <f t="shared" ca="1" si="207"/>
        <v>25.105767744711351</v>
      </c>
      <c r="Y467" s="314" t="str">
        <f t="shared" ca="1" si="225"/>
        <v/>
      </c>
      <c r="Z467" s="315" t="str">
        <f t="shared" ca="1" si="226"/>
        <v/>
      </c>
      <c r="AA467" s="316" t="str">
        <f t="shared" ca="1" si="227"/>
        <v/>
      </c>
      <c r="AC467" s="310" t="e">
        <f t="shared" ca="1" si="228"/>
        <v>#N/A</v>
      </c>
      <c r="AD467" s="323" t="e">
        <f t="shared" ca="1" si="229"/>
        <v>#N/A</v>
      </c>
      <c r="AE467" s="324">
        <f t="shared" ca="1" si="208"/>
        <v>1915.5996396962662</v>
      </c>
      <c r="AG467" s="306">
        <f t="shared" ca="1" si="230"/>
        <v>-14.431987582115918</v>
      </c>
      <c r="AH467" s="304">
        <f t="shared" ca="1" si="231"/>
        <v>-5.1033280082730617</v>
      </c>
    </row>
    <row r="468" spans="1:34" x14ac:dyDescent="0.2">
      <c r="A468" s="347">
        <f t="shared" ca="1" si="209"/>
        <v>0.1</v>
      </c>
      <c r="B468" s="304">
        <f t="shared" ca="1" si="210"/>
        <v>10.399999999999936</v>
      </c>
      <c r="D468" s="306">
        <f t="shared" ca="1" si="211"/>
        <v>-1.5439930014658358</v>
      </c>
      <c r="E468" s="307">
        <f t="shared" ca="1" si="212"/>
        <v>-14.501633090728388</v>
      </c>
      <c r="F468" s="304">
        <f t="shared" ca="1" si="213"/>
        <v>14.583596150699048</v>
      </c>
      <c r="G468" s="306">
        <f t="shared" ca="1" si="214"/>
        <v>27.960306457744537</v>
      </c>
      <c r="H468" s="307">
        <f t="shared" ca="1" si="215"/>
        <v>83.980200523267754</v>
      </c>
      <c r="I468" s="304">
        <f t="shared" ca="1" si="216"/>
        <v>88.512444419636566</v>
      </c>
      <c r="J468" s="306">
        <f t="shared" ca="1" si="217"/>
        <v>425.66772870166903</v>
      </c>
      <c r="K468" s="307">
        <f t="shared" ca="1" si="218"/>
        <v>1924.0701679140466</v>
      </c>
      <c r="L468" s="304">
        <f t="shared" ca="1" si="203"/>
        <v>1970.5935720779221</v>
      </c>
      <c r="M468" s="306">
        <f t="shared" ca="1" si="219"/>
        <v>1.2494004734478872</v>
      </c>
      <c r="N468" s="304">
        <f t="shared" ca="1" si="220"/>
        <v>71.585374050210802</v>
      </c>
      <c r="P468" s="310">
        <f t="shared" ca="1" si="221"/>
        <v>23</v>
      </c>
      <c r="Q468" s="304">
        <f t="shared" ca="1" si="222"/>
        <v>0</v>
      </c>
      <c r="R468" s="306">
        <f t="shared" ca="1" si="223"/>
        <v>0</v>
      </c>
      <c r="S468" s="307">
        <f t="shared" ca="1" si="224"/>
        <v>5.0829999999999913</v>
      </c>
      <c r="T468" s="304">
        <f t="shared" ca="1" si="204"/>
        <v>49.864229999999914</v>
      </c>
      <c r="U468" s="311">
        <f t="shared" ca="1" si="205"/>
        <v>0</v>
      </c>
      <c r="V468" s="306">
        <f t="shared" ca="1" si="206"/>
        <v>1.0099864612142901</v>
      </c>
      <c r="W468" s="304">
        <f t="shared" ca="1" si="207"/>
        <v>24.295601744505788</v>
      </c>
      <c r="Y468" s="314" t="str">
        <f t="shared" ca="1" si="225"/>
        <v/>
      </c>
      <c r="Z468" s="315" t="str">
        <f t="shared" ca="1" si="226"/>
        <v/>
      </c>
      <c r="AA468" s="316" t="str">
        <f t="shared" ca="1" si="227"/>
        <v/>
      </c>
      <c r="AC468" s="310" t="e">
        <f t="shared" ca="1" si="228"/>
        <v>#N/A</v>
      </c>
      <c r="AD468" s="323" t="e">
        <f t="shared" ca="1" si="229"/>
        <v>#N/A</v>
      </c>
      <c r="AE468" s="324">
        <f t="shared" ca="1" si="208"/>
        <v>1924.0701679140466</v>
      </c>
      <c r="AG468" s="306">
        <f t="shared" ca="1" si="230"/>
        <v>-14.257527004412214</v>
      </c>
      <c r="AH468" s="304">
        <f t="shared" ca="1" si="231"/>
        <v>-4.9391634359062353</v>
      </c>
    </row>
    <row r="469" spans="1:34" x14ac:dyDescent="0.2">
      <c r="A469" s="347">
        <f t="shared" ca="1" si="209"/>
        <v>0.1</v>
      </c>
      <c r="B469" s="304">
        <f t="shared" ca="1" si="210"/>
        <v>10.499999999999936</v>
      </c>
      <c r="D469" s="306">
        <f t="shared" ca="1" si="211"/>
        <v>-1.5098894227437849</v>
      </c>
      <c r="E469" s="307">
        <f t="shared" ca="1" si="212"/>
        <v>-14.345029567061928</v>
      </c>
      <c r="F469" s="304">
        <f t="shared" ca="1" si="213"/>
        <v>14.42427257607102</v>
      </c>
      <c r="G469" s="306">
        <f t="shared" ca="1" si="214"/>
        <v>27.809317515470159</v>
      </c>
      <c r="H469" s="307">
        <f t="shared" ca="1" si="215"/>
        <v>82.545697566561557</v>
      </c>
      <c r="I469" s="304">
        <f t="shared" ca="1" si="216"/>
        <v>87.104249766739173</v>
      </c>
      <c r="J469" s="306">
        <f t="shared" ca="1" si="217"/>
        <v>428.45620990032978</v>
      </c>
      <c r="K469" s="307">
        <f t="shared" ca="1" si="218"/>
        <v>1932.3964628185381</v>
      </c>
      <c r="L469" s="304">
        <f t="shared" ca="1" si="203"/>
        <v>1979.3258481906796</v>
      </c>
      <c r="M469" s="306">
        <f t="shared" ca="1" si="219"/>
        <v>1.2458427828871619</v>
      </c>
      <c r="N469" s="304">
        <f t="shared" ca="1" si="220"/>
        <v>71.381533396267713</v>
      </c>
      <c r="P469" s="310">
        <f t="shared" ca="1" si="221"/>
        <v>23</v>
      </c>
      <c r="Q469" s="304">
        <f t="shared" ca="1" si="222"/>
        <v>0</v>
      </c>
      <c r="R469" s="306">
        <f t="shared" ca="1" si="223"/>
        <v>0</v>
      </c>
      <c r="S469" s="307">
        <f t="shared" ca="1" si="224"/>
        <v>5.0829999999999913</v>
      </c>
      <c r="T469" s="304">
        <f t="shared" ca="1" si="204"/>
        <v>49.864229999999914</v>
      </c>
      <c r="U469" s="311">
        <f t="shared" ca="1" si="205"/>
        <v>0</v>
      </c>
      <c r="V469" s="306">
        <f t="shared" ca="1" si="206"/>
        <v>1.0091379831916005</v>
      </c>
      <c r="W469" s="304">
        <f t="shared" ca="1" si="207"/>
        <v>23.508920129143593</v>
      </c>
      <c r="Y469" s="314" t="str">
        <f t="shared" ca="1" si="225"/>
        <v/>
      </c>
      <c r="Z469" s="315" t="str">
        <f t="shared" ca="1" si="226"/>
        <v/>
      </c>
      <c r="AA469" s="316" t="str">
        <f t="shared" ca="1" si="227"/>
        <v/>
      </c>
      <c r="AC469" s="310" t="e">
        <f t="shared" ca="1" si="228"/>
        <v>#N/A</v>
      </c>
      <c r="AD469" s="323" t="e">
        <f t="shared" ca="1" si="229"/>
        <v>#N/A</v>
      </c>
      <c r="AE469" s="324">
        <f t="shared" ca="1" si="208"/>
        <v>1932.3964628185381</v>
      </c>
      <c r="AG469" s="306">
        <f t="shared" ca="1" si="230"/>
        <v>-14.087458986215271</v>
      </c>
      <c r="AH469" s="304">
        <f t="shared" ca="1" si="231"/>
        <v>-4.7797760662022091</v>
      </c>
    </row>
    <row r="470" spans="1:34" x14ac:dyDescent="0.2">
      <c r="A470" s="347">
        <f t="shared" ca="1" si="209"/>
        <v>0.1</v>
      </c>
      <c r="B470" s="304">
        <f t="shared" ca="1" si="210"/>
        <v>10.599999999999936</v>
      </c>
      <c r="D470" s="306">
        <f t="shared" ca="1" si="211"/>
        <v>-1.4766023558784007</v>
      </c>
      <c r="E470" s="307">
        <f t="shared" ca="1" si="212"/>
        <v>-14.192961625239658</v>
      </c>
      <c r="F470" s="304">
        <f t="shared" ca="1" si="213"/>
        <v>14.269566013474662</v>
      </c>
      <c r="G470" s="306">
        <f t="shared" ca="1" si="214"/>
        <v>27.66165727988232</v>
      </c>
      <c r="H470" s="307">
        <f t="shared" ca="1" si="215"/>
        <v>81.126401404037594</v>
      </c>
      <c r="I470" s="304">
        <f t="shared" ca="1" si="216"/>
        <v>85.712661189807307</v>
      </c>
      <c r="J470" s="306">
        <f t="shared" ca="1" si="217"/>
        <v>431.22975864009743</v>
      </c>
      <c r="K470" s="307">
        <f t="shared" ca="1" si="218"/>
        <v>1940.5800677670682</v>
      </c>
      <c r="L470" s="304">
        <f t="shared" ca="1" si="203"/>
        <v>1987.9160203971483</v>
      </c>
      <c r="M470" s="306">
        <f t="shared" ca="1" si="219"/>
        <v>1.2421887203072459</v>
      </c>
      <c r="N470" s="304">
        <f t="shared" ca="1" si="220"/>
        <v>71.172171032361845</v>
      </c>
      <c r="P470" s="310">
        <f t="shared" ca="1" si="221"/>
        <v>23</v>
      </c>
      <c r="Q470" s="304">
        <f t="shared" ca="1" si="222"/>
        <v>0</v>
      </c>
      <c r="R470" s="306">
        <f t="shared" ca="1" si="223"/>
        <v>0</v>
      </c>
      <c r="S470" s="307">
        <f t="shared" ca="1" si="224"/>
        <v>5.0829999999999913</v>
      </c>
      <c r="T470" s="304">
        <f t="shared" ca="1" si="204"/>
        <v>49.864229999999914</v>
      </c>
      <c r="U470" s="311">
        <f t="shared" ca="1" si="205"/>
        <v>0</v>
      </c>
      <c r="V470" s="306">
        <f t="shared" ca="1" si="206"/>
        <v>1.0083046732882857</v>
      </c>
      <c r="W470" s="304">
        <f t="shared" ca="1" si="207"/>
        <v>22.744959975349651</v>
      </c>
      <c r="Y470" s="314" t="str">
        <f t="shared" ca="1" si="225"/>
        <v/>
      </c>
      <c r="Z470" s="315" t="str">
        <f t="shared" ca="1" si="226"/>
        <v/>
      </c>
      <c r="AA470" s="316" t="str">
        <f t="shared" ca="1" si="227"/>
        <v/>
      </c>
      <c r="AC470" s="310" t="e">
        <f t="shared" ca="1" si="228"/>
        <v>#N/A</v>
      </c>
      <c r="AD470" s="323" t="e">
        <f t="shared" ca="1" si="229"/>
        <v>#N/A</v>
      </c>
      <c r="AE470" s="324">
        <f t="shared" ca="1" si="208"/>
        <v>1940.5800677670682</v>
      </c>
      <c r="AG470" s="306">
        <f t="shared" ca="1" si="230"/>
        <v>-13.921608014499018</v>
      </c>
      <c r="AH470" s="304">
        <f t="shared" ca="1" si="231"/>
        <v>-4.6250088784465149</v>
      </c>
    </row>
    <row r="471" spans="1:34" x14ac:dyDescent="0.2">
      <c r="A471" s="347">
        <f t="shared" ca="1" si="209"/>
        <v>0.1</v>
      </c>
      <c r="B471" s="304">
        <f t="shared" ca="1" si="210"/>
        <v>10.699999999999935</v>
      </c>
      <c r="D471" s="306">
        <f t="shared" ca="1" si="211"/>
        <v>-1.4441033792837534</v>
      </c>
      <c r="E471" s="307">
        <f t="shared" ca="1" si="212"/>
        <v>-14.045281683643189</v>
      </c>
      <c r="F471" s="304">
        <f t="shared" ca="1" si="213"/>
        <v>14.119326192950627</v>
      </c>
      <c r="G471" s="306">
        <f t="shared" ca="1" si="214"/>
        <v>27.517246941953946</v>
      </c>
      <c r="H471" s="307">
        <f t="shared" ca="1" si="215"/>
        <v>79.721873235673272</v>
      </c>
      <c r="I471" s="304">
        <f t="shared" ca="1" si="216"/>
        <v>84.337274982472792</v>
      </c>
      <c r="J471" s="306">
        <f t="shared" ca="1" si="217"/>
        <v>433.98870385118926</v>
      </c>
      <c r="K471" s="307">
        <f t="shared" ca="1" si="218"/>
        <v>1948.6224814990537</v>
      </c>
      <c r="L471" s="304">
        <f t="shared" ca="1" si="203"/>
        <v>1996.3656404762044</v>
      </c>
      <c r="M471" s="306">
        <f t="shared" ca="1" si="219"/>
        <v>1.2384348118304647</v>
      </c>
      <c r="N471" s="304">
        <f t="shared" ca="1" si="220"/>
        <v>70.957087919963897</v>
      </c>
      <c r="P471" s="310">
        <f t="shared" ca="1" si="221"/>
        <v>23</v>
      </c>
      <c r="Q471" s="304">
        <f t="shared" ca="1" si="222"/>
        <v>0</v>
      </c>
      <c r="R471" s="306">
        <f t="shared" ca="1" si="223"/>
        <v>0</v>
      </c>
      <c r="S471" s="307">
        <f t="shared" ca="1" si="224"/>
        <v>5.0829999999999913</v>
      </c>
      <c r="T471" s="304">
        <f t="shared" ca="1" si="204"/>
        <v>49.864229999999914</v>
      </c>
      <c r="U471" s="311">
        <f t="shared" ca="1" si="205"/>
        <v>0</v>
      </c>
      <c r="V471" s="306">
        <f t="shared" ca="1" si="206"/>
        <v>1.0074863458425747</v>
      </c>
      <c r="W471" s="304">
        <f t="shared" ca="1" si="207"/>
        <v>22.002991771019595</v>
      </c>
      <c r="Y471" s="314" t="str">
        <f t="shared" ca="1" si="225"/>
        <v/>
      </c>
      <c r="Z471" s="315" t="str">
        <f t="shared" ca="1" si="226"/>
        <v/>
      </c>
      <c r="AA471" s="316" t="str">
        <f t="shared" ca="1" si="227"/>
        <v/>
      </c>
      <c r="AC471" s="310" t="e">
        <f t="shared" ca="1" si="228"/>
        <v>#N/A</v>
      </c>
      <c r="AD471" s="323" t="e">
        <f t="shared" ca="1" si="229"/>
        <v>#N/A</v>
      </c>
      <c r="AE471" s="324">
        <f t="shared" ca="1" si="208"/>
        <v>1948.6224814990537</v>
      </c>
      <c r="AG471" s="306">
        <f t="shared" ca="1" si="230"/>
        <v>-13.75980439859136</v>
      </c>
      <c r="AH471" s="304">
        <f t="shared" ca="1" si="231"/>
        <v>-4.474711779529744</v>
      </c>
    </row>
    <row r="472" spans="1:34" x14ac:dyDescent="0.2">
      <c r="A472" s="347">
        <f t="shared" ca="1" si="209"/>
        <v>0.1</v>
      </c>
      <c r="B472" s="304">
        <f t="shared" ca="1" si="210"/>
        <v>10.799999999999935</v>
      </c>
      <c r="D472" s="306">
        <f t="shared" ca="1" si="211"/>
        <v>-1.412365314554521</v>
      </c>
      <c r="E472" s="307">
        <f t="shared" ca="1" si="212"/>
        <v>-13.901848607053351</v>
      </c>
      <c r="F472" s="304">
        <f t="shared" ca="1" si="213"/>
        <v>13.973409407699606</v>
      </c>
      <c r="G472" s="306">
        <f t="shared" ca="1" si="214"/>
        <v>27.376010410498495</v>
      </c>
      <c r="H472" s="307">
        <f t="shared" ca="1" si="215"/>
        <v>78.331688374967939</v>
      </c>
      <c r="I472" s="304">
        <f t="shared" ca="1" si="216"/>
        <v>82.977703931048907</v>
      </c>
      <c r="J472" s="306">
        <f t="shared" ca="1" si="217"/>
        <v>436.73336671881185</v>
      </c>
      <c r="K472" s="307">
        <f t="shared" ca="1" si="218"/>
        <v>1956.5251595795858</v>
      </c>
      <c r="L472" s="304">
        <f t="shared" ca="1" si="203"/>
        <v>2004.6762166677868</v>
      </c>
      <c r="M472" s="306">
        <f t="shared" ca="1" si="219"/>
        <v>1.234577417055539</v>
      </c>
      <c r="N472" s="304">
        <f t="shared" ca="1" si="220"/>
        <v>70.73607547944485</v>
      </c>
      <c r="P472" s="310">
        <f t="shared" ca="1" si="221"/>
        <v>23</v>
      </c>
      <c r="Q472" s="304">
        <f t="shared" ca="1" si="222"/>
        <v>0</v>
      </c>
      <c r="R472" s="306">
        <f t="shared" ca="1" si="223"/>
        <v>0</v>
      </c>
      <c r="S472" s="307">
        <f t="shared" ca="1" si="224"/>
        <v>5.0829999999999913</v>
      </c>
      <c r="T472" s="304">
        <f t="shared" ca="1" si="204"/>
        <v>49.864229999999914</v>
      </c>
      <c r="U472" s="311">
        <f t="shared" ca="1" si="205"/>
        <v>0</v>
      </c>
      <c r="V472" s="306">
        <f t="shared" ca="1" si="206"/>
        <v>1.0066828206589604</v>
      </c>
      <c r="W472" s="304">
        <f t="shared" ca="1" si="207"/>
        <v>21.28231772177962</v>
      </c>
      <c r="Y472" s="314" t="str">
        <f t="shared" ca="1" si="225"/>
        <v/>
      </c>
      <c r="Z472" s="315" t="str">
        <f t="shared" ca="1" si="226"/>
        <v/>
      </c>
      <c r="AA472" s="316" t="str">
        <f t="shared" ca="1" si="227"/>
        <v/>
      </c>
      <c r="AC472" s="310" t="e">
        <f t="shared" ca="1" si="228"/>
        <v>#N/A</v>
      </c>
      <c r="AD472" s="323" t="e">
        <f t="shared" ca="1" si="229"/>
        <v>#N/A</v>
      </c>
      <c r="AE472" s="324">
        <f t="shared" ca="1" si="208"/>
        <v>1956.5251595795858</v>
      </c>
      <c r="AG472" s="306">
        <f t="shared" ca="1" si="230"/>
        <v>-13.601883838009687</v>
      </c>
      <c r="AH472" s="304">
        <f t="shared" ca="1" si="231"/>
        <v>-4.3287412494628432</v>
      </c>
    </row>
    <row r="473" spans="1:34" x14ac:dyDescent="0.2">
      <c r="A473" s="347">
        <f t="shared" ca="1" si="209"/>
        <v>0.1</v>
      </c>
      <c r="B473" s="304">
        <f t="shared" ca="1" si="210"/>
        <v>10.899999999999935</v>
      </c>
      <c r="D473" s="306">
        <f t="shared" ca="1" si="211"/>
        <v>-1.381362165294475</v>
      </c>
      <c r="E473" s="307">
        <f t="shared" ca="1" si="212"/>
        <v>-13.762527378617675</v>
      </c>
      <c r="F473" s="304">
        <f t="shared" ca="1" si="213"/>
        <v>13.831678180138089</v>
      </c>
      <c r="G473" s="306">
        <f t="shared" ca="1" si="214"/>
        <v>27.237874193969049</v>
      </c>
      <c r="H473" s="307">
        <f t="shared" ca="1" si="215"/>
        <v>76.955435637106177</v>
      </c>
      <c r="I473" s="304">
        <f t="shared" ca="1" si="216"/>
        <v>81.63357682169314</v>
      </c>
      <c r="J473" s="306">
        <f t="shared" ca="1" si="217"/>
        <v>439.46406094903523</v>
      </c>
      <c r="K473" s="307">
        <f t="shared" ca="1" si="218"/>
        <v>1964.2895157801895</v>
      </c>
      <c r="L473" s="304">
        <f t="shared" ca="1" si="203"/>
        <v>2012.8492150853697</v>
      </c>
      <c r="M473" s="306">
        <f t="shared" ca="1" si="219"/>
        <v>1.2306127194967957</v>
      </c>
      <c r="N473" s="304">
        <f t="shared" ca="1" si="220"/>
        <v>70.508915042283036</v>
      </c>
      <c r="P473" s="310">
        <f t="shared" ca="1" si="221"/>
        <v>23</v>
      </c>
      <c r="Q473" s="304">
        <f t="shared" ca="1" si="222"/>
        <v>0</v>
      </c>
      <c r="R473" s="306">
        <f t="shared" ca="1" si="223"/>
        <v>0</v>
      </c>
      <c r="S473" s="307">
        <f t="shared" ca="1" si="224"/>
        <v>5.0829999999999913</v>
      </c>
      <c r="T473" s="304">
        <f t="shared" ca="1" si="204"/>
        <v>49.864229999999914</v>
      </c>
      <c r="U473" s="311">
        <f t="shared" ca="1" si="205"/>
        <v>0</v>
      </c>
      <c r="V473" s="306">
        <f t="shared" ca="1" si="206"/>
        <v>1.0058939228285106</v>
      </c>
      <c r="W473" s="304">
        <f t="shared" ca="1" si="207"/>
        <v>20.582270158578901</v>
      </c>
      <c r="Y473" s="314" t="str">
        <f t="shared" ca="1" si="225"/>
        <v/>
      </c>
      <c r="Z473" s="315" t="str">
        <f t="shared" ca="1" si="226"/>
        <v/>
      </c>
      <c r="AA473" s="316" t="str">
        <f t="shared" ca="1" si="227"/>
        <v/>
      </c>
      <c r="AC473" s="310" t="e">
        <f t="shared" ca="1" si="228"/>
        <v>#N/A</v>
      </c>
      <c r="AD473" s="323" t="e">
        <f t="shared" ca="1" si="229"/>
        <v>#N/A</v>
      </c>
      <c r="AE473" s="324">
        <f t="shared" ca="1" si="208"/>
        <v>1964.2895157801895</v>
      </c>
      <c r="AG473" s="306">
        <f t="shared" ca="1" si="230"/>
        <v>-13.447687005401438</v>
      </c>
      <c r="AH473" s="304">
        <f t="shared" ca="1" si="231"/>
        <v>-4.1869600082194882</v>
      </c>
    </row>
    <row r="474" spans="1:34" x14ac:dyDescent="0.2">
      <c r="A474" s="347">
        <f t="shared" ca="1" si="209"/>
        <v>0.1</v>
      </c>
      <c r="B474" s="304">
        <f t="shared" ca="1" si="210"/>
        <v>10.999999999999934</v>
      </c>
      <c r="D474" s="306">
        <f t="shared" ca="1" si="211"/>
        <v>-1.3510690597813344</v>
      </c>
      <c r="E474" s="307">
        <f t="shared" ca="1" si="212"/>
        <v>-13.627188791271726</v>
      </c>
      <c r="F474" s="304">
        <f t="shared" ca="1" si="213"/>
        <v>13.694000947760307</v>
      </c>
      <c r="G474" s="306">
        <f t="shared" ca="1" si="214"/>
        <v>27.102767287990915</v>
      </c>
      <c r="H474" s="307">
        <f t="shared" ca="1" si="215"/>
        <v>75.592716757979005</v>
      </c>
      <c r="I474" s="304">
        <f t="shared" ca="1" si="216"/>
        <v>80.304537988329344</v>
      </c>
      <c r="J474" s="306">
        <f t="shared" ca="1" si="217"/>
        <v>442.1810930231332</v>
      </c>
      <c r="K474" s="307">
        <f t="shared" ca="1" si="218"/>
        <v>1971.9169233999437</v>
      </c>
      <c r="L474" s="304">
        <f t="shared" ca="1" si="203"/>
        <v>2020.8860610678257</v>
      </c>
      <c r="M474" s="306">
        <f t="shared" ca="1" si="219"/>
        <v>1.2265367163938961</v>
      </c>
      <c r="N474" s="304">
        <f t="shared" ca="1" si="220"/>
        <v>70.275377267204647</v>
      </c>
      <c r="P474" s="310">
        <f t="shared" ca="1" si="221"/>
        <v>23</v>
      </c>
      <c r="Q474" s="304">
        <f t="shared" ca="1" si="222"/>
        <v>0</v>
      </c>
      <c r="R474" s="306">
        <f t="shared" ca="1" si="223"/>
        <v>0</v>
      </c>
      <c r="S474" s="307">
        <f t="shared" ca="1" si="224"/>
        <v>5.0829999999999913</v>
      </c>
      <c r="T474" s="304">
        <f t="shared" ca="1" si="204"/>
        <v>49.864229999999914</v>
      </c>
      <c r="U474" s="311">
        <f t="shared" ca="1" si="205"/>
        <v>0</v>
      </c>
      <c r="V474" s="306">
        <f t="shared" ca="1" si="206"/>
        <v>1.0051194825570879</v>
      </c>
      <c r="W474" s="304">
        <f t="shared" ca="1" si="207"/>
        <v>19.902210039503309</v>
      </c>
      <c r="Y474" s="314" t="str">
        <f t="shared" ca="1" si="225"/>
        <v/>
      </c>
      <c r="Z474" s="315" t="str">
        <f t="shared" ca="1" si="226"/>
        <v/>
      </c>
      <c r="AA474" s="316" t="str">
        <f t="shared" ca="1" si="227"/>
        <v/>
      </c>
      <c r="AC474" s="310">
        <f t="shared" ca="1" si="228"/>
        <v>10.999999999999934</v>
      </c>
      <c r="AD474" s="323">
        <f t="shared" ca="1" si="229"/>
        <v>442.1810930231332</v>
      </c>
      <c r="AE474" s="324">
        <f t="shared" ca="1" si="208"/>
        <v>1971.9169233999437</v>
      </c>
      <c r="AG474" s="306">
        <f t="shared" ca="1" si="230"/>
        <v>-13.297059142588481</v>
      </c>
      <c r="AH474" s="304">
        <f t="shared" ca="1" si="231"/>
        <v>-4.0492367024550333</v>
      </c>
    </row>
    <row r="475" spans="1:34" x14ac:dyDescent="0.2">
      <c r="A475" s="347">
        <f t="shared" ca="1" si="209"/>
        <v>0.1</v>
      </c>
      <c r="B475" s="304">
        <f t="shared" ca="1" si="210"/>
        <v>11.099999999999934</v>
      </c>
      <c r="D475" s="306">
        <f t="shared" ca="1" si="211"/>
        <v>-1.3214621972259</v>
      </c>
      <c r="E475" s="307">
        <f t="shared" ca="1" si="212"/>
        <v>-13.495709157290964</v>
      </c>
      <c r="F475" s="304">
        <f t="shared" ca="1" si="213"/>
        <v>13.560251767459345</v>
      </c>
      <c r="G475" s="306">
        <f t="shared" ca="1" si="214"/>
        <v>26.970621068268326</v>
      </c>
      <c r="H475" s="307">
        <f t="shared" ca="1" si="215"/>
        <v>74.243145842249902</v>
      </c>
      <c r="I475" s="304">
        <f t="shared" ca="1" si="216"/>
        <v>78.990246900245282</v>
      </c>
      <c r="J475" s="306">
        <f t="shared" ca="1" si="217"/>
        <v>444.88476244094619</v>
      </c>
      <c r="K475" s="307">
        <f t="shared" ca="1" si="218"/>
        <v>1979.4087165299552</v>
      </c>
      <c r="L475" s="304">
        <f t="shared" ca="1" si="203"/>
        <v>2028.7881404737414</v>
      </c>
      <c r="M475" s="306">
        <f t="shared" ca="1" si="219"/>
        <v>1.2223452078472408</v>
      </c>
      <c r="N475" s="304">
        <f t="shared" ca="1" si="220"/>
        <v>70.035221517688285</v>
      </c>
      <c r="P475" s="310">
        <f t="shared" ca="1" si="221"/>
        <v>23</v>
      </c>
      <c r="Q475" s="304">
        <f t="shared" ca="1" si="222"/>
        <v>0</v>
      </c>
      <c r="R475" s="306">
        <f t="shared" ca="1" si="223"/>
        <v>0</v>
      </c>
      <c r="S475" s="307">
        <f t="shared" ca="1" si="224"/>
        <v>5.0829999999999913</v>
      </c>
      <c r="T475" s="304">
        <f t="shared" ca="1" si="204"/>
        <v>49.864229999999914</v>
      </c>
      <c r="U475" s="311">
        <f t="shared" ca="1" si="205"/>
        <v>0</v>
      </c>
      <c r="V475" s="306">
        <f t="shared" ca="1" si="206"/>
        <v>1.0043593350010724</v>
      </c>
      <c r="W475" s="304">
        <f t="shared" ca="1" si="207"/>
        <v>19.241525539513098</v>
      </c>
      <c r="Y475" s="314" t="str">
        <f t="shared" ca="1" si="225"/>
        <v/>
      </c>
      <c r="Z475" s="315" t="str">
        <f t="shared" ca="1" si="226"/>
        <v/>
      </c>
      <c r="AA475" s="316" t="str">
        <f t="shared" ca="1" si="227"/>
        <v/>
      </c>
      <c r="AC475" s="310" t="e">
        <f t="shared" ca="1" si="228"/>
        <v>#N/A</v>
      </c>
      <c r="AD475" s="323" t="e">
        <f t="shared" ca="1" si="229"/>
        <v>#N/A</v>
      </c>
      <c r="AE475" s="324">
        <f t="shared" ca="1" si="208"/>
        <v>1979.4087165299552</v>
      </c>
      <c r="AG475" s="306">
        <f t="shared" ca="1" si="230"/>
        <v>-13.149849667772417</v>
      </c>
      <c r="AH475" s="304">
        <f t="shared" ca="1" si="231"/>
        <v>-3.9154456107620192</v>
      </c>
    </row>
    <row r="476" spans="1:34" x14ac:dyDescent="0.2">
      <c r="A476" s="347">
        <f t="shared" ca="1" si="209"/>
        <v>0.1</v>
      </c>
      <c r="B476" s="304">
        <f t="shared" ca="1" si="210"/>
        <v>11.199999999999934</v>
      </c>
      <c r="D476" s="306">
        <f t="shared" ca="1" si="211"/>
        <v>-1.2925187974031611</v>
      </c>
      <c r="E476" s="307">
        <f t="shared" ca="1" si="212"/>
        <v>-13.367970034748392</v>
      </c>
      <c r="F476" s="304">
        <f t="shared" ca="1" si="213"/>
        <v>13.430310037060629</v>
      </c>
      <c r="G476" s="306">
        <f t="shared" ca="1" si="214"/>
        <v>26.841369188528009</v>
      </c>
      <c r="H476" s="307">
        <f t="shared" ca="1" si="215"/>
        <v>72.90634883877506</v>
      </c>
      <c r="I476" s="304">
        <f t="shared" ca="1" si="216"/>
        <v>77.690377788475317</v>
      </c>
      <c r="J476" s="306">
        <f t="shared" ca="1" si="217"/>
        <v>447.575361953786</v>
      </c>
      <c r="K476" s="307">
        <f t="shared" ca="1" si="218"/>
        <v>1986.7661912640065</v>
      </c>
      <c r="L476" s="304">
        <f t="shared" ca="1" si="203"/>
        <v>2036.5568009210422</v>
      </c>
      <c r="M476" s="306">
        <f t="shared" ca="1" si="219"/>
        <v>1.2180337852310121</v>
      </c>
      <c r="N476" s="304">
        <f t="shared" ca="1" si="220"/>
        <v>69.788195198081141</v>
      </c>
      <c r="P476" s="310">
        <f t="shared" ca="1" si="221"/>
        <v>23</v>
      </c>
      <c r="Q476" s="304">
        <f t="shared" ca="1" si="222"/>
        <v>0</v>
      </c>
      <c r="R476" s="306">
        <f t="shared" ca="1" si="223"/>
        <v>0</v>
      </c>
      <c r="S476" s="307">
        <f t="shared" ca="1" si="224"/>
        <v>5.0829999999999913</v>
      </c>
      <c r="T476" s="304">
        <f t="shared" ca="1" si="204"/>
        <v>49.864229999999914</v>
      </c>
      <c r="U476" s="311">
        <f t="shared" ca="1" si="205"/>
        <v>0</v>
      </c>
      <c r="V476" s="306">
        <f t="shared" ca="1" si="206"/>
        <v>1.0036133201102193</v>
      </c>
      <c r="W476" s="304">
        <f t="shared" ca="1" si="207"/>
        <v>18.599630722279194</v>
      </c>
      <c r="Y476" s="314" t="str">
        <f t="shared" ca="1" si="225"/>
        <v/>
      </c>
      <c r="Z476" s="315" t="str">
        <f t="shared" ca="1" si="226"/>
        <v/>
      </c>
      <c r="AA476" s="316" t="str">
        <f t="shared" ca="1" si="227"/>
        <v/>
      </c>
      <c r="AC476" s="310" t="e">
        <f t="shared" ca="1" si="228"/>
        <v>#N/A</v>
      </c>
      <c r="AD476" s="323" t="e">
        <f t="shared" ca="1" si="229"/>
        <v>#N/A</v>
      </c>
      <c r="AE476" s="324">
        <f t="shared" ca="1" si="208"/>
        <v>1986.7661912640065</v>
      </c>
      <c r="AG476" s="306">
        <f t="shared" ca="1" si="230"/>
        <v>-13.005911792001701</v>
      </c>
      <c r="AH476" s="304">
        <f t="shared" ca="1" si="231"/>
        <v>-3.7854663662233192</v>
      </c>
    </row>
    <row r="477" spans="1:34" x14ac:dyDescent="0.2">
      <c r="A477" s="347">
        <f t="shared" ca="1" si="209"/>
        <v>0.1</v>
      </c>
      <c r="B477" s="304">
        <f t="shared" ca="1" si="210"/>
        <v>11.299999999999933</v>
      </c>
      <c r="D477" s="306">
        <f t="shared" ca="1" si="211"/>
        <v>-1.2642170534514339</v>
      </c>
      <c r="E477" s="307">
        <f t="shared" ca="1" si="212"/>
        <v>-13.243857969743651</v>
      </c>
      <c r="F477" s="304">
        <f t="shared" ca="1" si="213"/>
        <v>13.304060232913102</v>
      </c>
      <c r="G477" s="306">
        <f t="shared" ca="1" si="214"/>
        <v>26.714947483182865</v>
      </c>
      <c r="H477" s="307">
        <f t="shared" ca="1" si="215"/>
        <v>71.581963041800691</v>
      </c>
      <c r="I477" s="304">
        <f t="shared" ca="1" si="216"/>
        <v>76.404619310267748</v>
      </c>
      <c r="J477" s="306">
        <f t="shared" ca="1" si="217"/>
        <v>450.25317778737156</v>
      </c>
      <c r="K477" s="307">
        <f t="shared" ca="1" si="218"/>
        <v>1993.9906068580353</v>
      </c>
      <c r="L477" s="304">
        <f t="shared" ca="1" si="203"/>
        <v>2044.1933529746402</v>
      </c>
      <c r="M477" s="306">
        <f t="shared" ca="1" si="219"/>
        <v>1.2135978188324303</v>
      </c>
      <c r="N477" s="304">
        <f t="shared" ca="1" si="220"/>
        <v>69.534033045380554</v>
      </c>
      <c r="P477" s="310">
        <f t="shared" ca="1" si="221"/>
        <v>23</v>
      </c>
      <c r="Q477" s="304">
        <f t="shared" ca="1" si="222"/>
        <v>0</v>
      </c>
      <c r="R477" s="306">
        <f t="shared" ca="1" si="223"/>
        <v>0</v>
      </c>
      <c r="S477" s="307">
        <f t="shared" ca="1" si="224"/>
        <v>5.0829999999999913</v>
      </c>
      <c r="T477" s="304">
        <f t="shared" ca="1" si="204"/>
        <v>49.864229999999914</v>
      </c>
      <c r="U477" s="311">
        <f t="shared" ca="1" si="205"/>
        <v>0</v>
      </c>
      <c r="V477" s="306">
        <f t="shared" ca="1" si="206"/>
        <v>1.0028812824772744</v>
      </c>
      <c r="W477" s="304">
        <f t="shared" ca="1" si="207"/>
        <v>17.975964288724359</v>
      </c>
      <c r="Y477" s="314" t="str">
        <f t="shared" ca="1" si="225"/>
        <v/>
      </c>
      <c r="Z477" s="315" t="str">
        <f t="shared" ca="1" si="226"/>
        <v/>
      </c>
      <c r="AA477" s="316" t="str">
        <f t="shared" ca="1" si="227"/>
        <v/>
      </c>
      <c r="AC477" s="310" t="e">
        <f t="shared" ca="1" si="228"/>
        <v>#N/A</v>
      </c>
      <c r="AD477" s="323" t="e">
        <f t="shared" ca="1" si="229"/>
        <v>#N/A</v>
      </c>
      <c r="AE477" s="324">
        <f t="shared" ca="1" si="208"/>
        <v>1993.9906068580353</v>
      </c>
      <c r="AG477" s="306">
        <f t="shared" ca="1" si="230"/>
        <v>-12.865102143031553</v>
      </c>
      <c r="AH477" s="304">
        <f t="shared" ca="1" si="231"/>
        <v>-3.6591836951169046</v>
      </c>
    </row>
    <row r="478" spans="1:34" x14ac:dyDescent="0.2">
      <c r="A478" s="347">
        <f t="shared" ca="1" si="209"/>
        <v>0.1</v>
      </c>
      <c r="B478" s="304">
        <f t="shared" ca="1" si="210"/>
        <v>11.399999999999933</v>
      </c>
      <c r="D478" s="306">
        <f t="shared" ca="1" si="211"/>
        <v>-1.2365360876524896</v>
      </c>
      <c r="E478" s="307">
        <f t="shared" ca="1" si="212"/>
        <v>-13.123264253351534</v>
      </c>
      <c r="F478" s="304">
        <f t="shared" ca="1" si="213"/>
        <v>13.18139166246725</v>
      </c>
      <c r="G478" s="306">
        <f t="shared" ca="1" si="214"/>
        <v>26.591293874417616</v>
      </c>
      <c r="H478" s="307">
        <f t="shared" ca="1" si="215"/>
        <v>70.269636616465533</v>
      </c>
      <c r="I478" s="304">
        <f t="shared" ca="1" si="216"/>
        <v>75.132674251125621</v>
      </c>
      <c r="J478" s="306">
        <f t="shared" ca="1" si="217"/>
        <v>452.91848985525161</v>
      </c>
      <c r="K478" s="307">
        <f t="shared" ca="1" si="218"/>
        <v>2001.0831868409487</v>
      </c>
      <c r="L478" s="304">
        <f t="shared" ca="1" si="203"/>
        <v>2051.6990712846487</v>
      </c>
      <c r="M478" s="306">
        <f t="shared" ca="1" si="219"/>
        <v>1.2090324446622454</v>
      </c>
      <c r="N478" s="304">
        <f t="shared" ca="1" si="220"/>
        <v>69.272456373530915</v>
      </c>
      <c r="P478" s="310">
        <f t="shared" ca="1" si="221"/>
        <v>23</v>
      </c>
      <c r="Q478" s="304">
        <f t="shared" ca="1" si="222"/>
        <v>0</v>
      </c>
      <c r="R478" s="306">
        <f t="shared" ca="1" si="223"/>
        <v>0</v>
      </c>
      <c r="S478" s="307">
        <f t="shared" ca="1" si="224"/>
        <v>5.0829999999999913</v>
      </c>
      <c r="T478" s="304">
        <f t="shared" ca="1" si="204"/>
        <v>49.864229999999914</v>
      </c>
      <c r="U478" s="311">
        <f t="shared" ca="1" si="205"/>
        <v>0</v>
      </c>
      <c r="V478" s="306">
        <f t="shared" ca="1" si="206"/>
        <v>1.002163071194029</v>
      </c>
      <c r="W478" s="304">
        <f t="shared" ca="1" si="207"/>
        <v>17.369988397273282</v>
      </c>
      <c r="Y478" s="314" t="str">
        <f t="shared" ca="1" si="225"/>
        <v/>
      </c>
      <c r="Z478" s="315" t="str">
        <f t="shared" ca="1" si="226"/>
        <v/>
      </c>
      <c r="AA478" s="316" t="str">
        <f t="shared" ca="1" si="227"/>
        <v/>
      </c>
      <c r="AC478" s="310" t="e">
        <f t="shared" ca="1" si="228"/>
        <v>#N/A</v>
      </c>
      <c r="AD478" s="323" t="e">
        <f t="shared" ca="1" si="229"/>
        <v>#N/A</v>
      </c>
      <c r="AE478" s="324">
        <f t="shared" ca="1" si="208"/>
        <v>2001.0831868409487</v>
      </c>
      <c r="AG478" s="306">
        <f t="shared" ca="1" si="230"/>
        <v>-12.727280394723593</v>
      </c>
      <c r="AH478" s="304">
        <f t="shared" ca="1" si="231"/>
        <v>-3.5364871707110743</v>
      </c>
    </row>
    <row r="479" spans="1:34" x14ac:dyDescent="0.2">
      <c r="A479" s="347">
        <f t="shared" ca="1" si="209"/>
        <v>0.1</v>
      </c>
      <c r="B479" s="304">
        <f t="shared" ca="1" si="210"/>
        <v>11.499999999999932</v>
      </c>
      <c r="D479" s="306">
        <f t="shared" ca="1" si="211"/>
        <v>-1.2094559100214288</v>
      </c>
      <c r="E479" s="307">
        <f t="shared" ca="1" si="212"/>
        <v>-13.006084692313747</v>
      </c>
      <c r="F479" s="304">
        <f t="shared" ca="1" si="213"/>
        <v>13.062198230846283</v>
      </c>
      <c r="G479" s="306">
        <f t="shared" ca="1" si="214"/>
        <v>26.470348283415472</v>
      </c>
      <c r="H479" s="307">
        <f t="shared" ca="1" si="215"/>
        <v>68.969028147234155</v>
      </c>
      <c r="I479" s="304">
        <f t="shared" ca="1" si="216"/>
        <v>73.874259264098839</v>
      </c>
      <c r="J479" s="306">
        <f t="shared" ca="1" si="217"/>
        <v>455.57157196314324</v>
      </c>
      <c r="K479" s="307">
        <f t="shared" ca="1" si="218"/>
        <v>2008.0451200791335</v>
      </c>
      <c r="L479" s="304">
        <f t="shared" ca="1" si="203"/>
        <v>2059.0751956775621</v>
      </c>
      <c r="M479" s="306">
        <f t="shared" ca="1" si="219"/>
        <v>1.2043325503777451</v>
      </c>
      <c r="N479" s="304">
        <f t="shared" ca="1" si="220"/>
        <v>69.003172266871388</v>
      </c>
      <c r="P479" s="310">
        <f t="shared" ca="1" si="221"/>
        <v>23</v>
      </c>
      <c r="Q479" s="304">
        <f t="shared" ca="1" si="222"/>
        <v>0</v>
      </c>
      <c r="R479" s="306">
        <f t="shared" ca="1" si="223"/>
        <v>0</v>
      </c>
      <c r="S479" s="307">
        <f t="shared" ca="1" si="224"/>
        <v>5.0829999999999913</v>
      </c>
      <c r="T479" s="304">
        <f t="shared" ca="1" si="204"/>
        <v>49.864229999999914</v>
      </c>
      <c r="U479" s="311">
        <f t="shared" ca="1" si="205"/>
        <v>0</v>
      </c>
      <c r="V479" s="306">
        <f t="shared" ca="1" si="206"/>
        <v>1.0014585397134907</v>
      </c>
      <c r="W479" s="304">
        <f t="shared" ca="1" si="207"/>
        <v>16.78118755117994</v>
      </c>
      <c r="Y479" s="314" t="str">
        <f t="shared" ca="1" si="225"/>
        <v/>
      </c>
      <c r="Z479" s="315" t="str">
        <f t="shared" ca="1" si="226"/>
        <v/>
      </c>
      <c r="AA479" s="316" t="str">
        <f t="shared" ca="1" si="227"/>
        <v/>
      </c>
      <c r="AC479" s="310" t="e">
        <f t="shared" ca="1" si="228"/>
        <v>#N/A</v>
      </c>
      <c r="AD479" s="323" t="e">
        <f t="shared" ca="1" si="229"/>
        <v>#N/A</v>
      </c>
      <c r="AE479" s="324">
        <f t="shared" ca="1" si="208"/>
        <v>2008.0451200791335</v>
      </c>
      <c r="AG479" s="306">
        <f t="shared" ca="1" si="230"/>
        <v>-12.592308900135002</v>
      </c>
      <c r="AH479" s="304">
        <f t="shared" ca="1" si="231"/>
        <v>-3.4172709811672854</v>
      </c>
    </row>
    <row r="480" spans="1:34" x14ac:dyDescent="0.2">
      <c r="A480" s="347">
        <f t="shared" ca="1" si="209"/>
        <v>0.1</v>
      </c>
      <c r="B480" s="304">
        <f t="shared" ca="1" si="210"/>
        <v>11.599999999999932</v>
      </c>
      <c r="D480" s="306">
        <f t="shared" ca="1" si="211"/>
        <v>-1.1829573795496942</v>
      </c>
      <c r="E480" s="307">
        <f t="shared" ca="1" si="212"/>
        <v>-12.89221939256683</v>
      </c>
      <c r="F480" s="304">
        <f t="shared" ca="1" si="213"/>
        <v>12.946378220487277</v>
      </c>
      <c r="G480" s="306">
        <f t="shared" ca="1" si="214"/>
        <v>26.352052545460502</v>
      </c>
      <c r="H480" s="307">
        <f t="shared" ca="1" si="215"/>
        <v>67.679806207977478</v>
      </c>
      <c r="I480" s="304">
        <f t="shared" ca="1" si="216"/>
        <v>72.629104646196055</v>
      </c>
      <c r="J480" s="306">
        <f t="shared" ca="1" si="217"/>
        <v>458.21269200458704</v>
      </c>
      <c r="K480" s="307">
        <f t="shared" ca="1" si="218"/>
        <v>2014.877561796894</v>
      </c>
      <c r="L480" s="304">
        <f t="shared" ca="1" si="203"/>
        <v>2066.3229322026814</v>
      </c>
      <c r="M480" s="306">
        <f t="shared" ca="1" si="219"/>
        <v>1.1994927602556658</v>
      </c>
      <c r="N480" s="304">
        <f t="shared" ca="1" si="220"/>
        <v>68.725872719147134</v>
      </c>
      <c r="P480" s="310">
        <f t="shared" ca="1" si="221"/>
        <v>23</v>
      </c>
      <c r="Q480" s="304">
        <f t="shared" ca="1" si="222"/>
        <v>0</v>
      </c>
      <c r="R480" s="306">
        <f t="shared" ca="1" si="223"/>
        <v>0</v>
      </c>
      <c r="S480" s="307">
        <f t="shared" ca="1" si="224"/>
        <v>5.0829999999999913</v>
      </c>
      <c r="T480" s="304">
        <f t="shared" ca="1" si="204"/>
        <v>49.864229999999914</v>
      </c>
      <c r="U480" s="311">
        <f t="shared" ca="1" si="205"/>
        <v>0</v>
      </c>
      <c r="V480" s="306">
        <f t="shared" ca="1" si="206"/>
        <v>1.0007675457178664</v>
      </c>
      <c r="W480" s="304">
        <f t="shared" ca="1" si="207"/>
        <v>16.209067548635876</v>
      </c>
      <c r="Y480" s="314" t="str">
        <f t="shared" ca="1" si="225"/>
        <v/>
      </c>
      <c r="Z480" s="315" t="str">
        <f t="shared" ca="1" si="226"/>
        <v/>
      </c>
      <c r="AA480" s="316" t="str">
        <f t="shared" ca="1" si="227"/>
        <v/>
      </c>
      <c r="AC480" s="310" t="e">
        <f t="shared" ca="1" si="228"/>
        <v>#N/A</v>
      </c>
      <c r="AD480" s="323" t="e">
        <f t="shared" ca="1" si="229"/>
        <v>#N/A</v>
      </c>
      <c r="AE480" s="324">
        <f t="shared" ca="1" si="208"/>
        <v>2014.877561796894</v>
      </c>
      <c r="AG480" s="306">
        <f t="shared" ca="1" si="230"/>
        <v>-12.460052326436074</v>
      </c>
      <c r="AH480" s="304">
        <f t="shared" ca="1" si="231"/>
        <v>-3.3014337106393801</v>
      </c>
    </row>
    <row r="481" spans="1:34" x14ac:dyDescent="0.2">
      <c r="A481" s="347">
        <f t="shared" ca="1" si="209"/>
        <v>0.1</v>
      </c>
      <c r="B481" s="304">
        <f t="shared" ca="1" si="210"/>
        <v>11.699999999999932</v>
      </c>
      <c r="D481" s="306">
        <f t="shared" ca="1" si="211"/>
        <v>-1.1570221679582977</v>
      </c>
      <c r="E481" s="307">
        <f t="shared" ca="1" si="212"/>
        <v>-12.781572554762571</v>
      </c>
      <c r="F481" s="304">
        <f t="shared" ca="1" si="213"/>
        <v>12.833834082993542</v>
      </c>
      <c r="G481" s="306">
        <f t="shared" ca="1" si="214"/>
        <v>26.236350328664674</v>
      </c>
      <c r="H481" s="307">
        <f t="shared" ca="1" si="215"/>
        <v>66.401648952501219</v>
      </c>
      <c r="I481" s="304">
        <f t="shared" ca="1" si="216"/>
        <v>71.396954151977866</v>
      </c>
      <c r="J481" s="306">
        <f t="shared" ca="1" si="217"/>
        <v>460.84211214829332</v>
      </c>
      <c r="K481" s="307">
        <f t="shared" ca="1" si="218"/>
        <v>2021.5816345549181</v>
      </c>
      <c r="L481" s="304">
        <f t="shared" ca="1" si="203"/>
        <v>2073.4434541359055</v>
      </c>
      <c r="M481" s="306">
        <f t="shared" ca="1" si="219"/>
        <v>1.1945074191483407</v>
      </c>
      <c r="N481" s="304">
        <f t="shared" ca="1" si="220"/>
        <v>68.440233714264338</v>
      </c>
      <c r="P481" s="310">
        <f t="shared" ca="1" si="221"/>
        <v>23</v>
      </c>
      <c r="Q481" s="304">
        <f t="shared" ca="1" si="222"/>
        <v>0</v>
      </c>
      <c r="R481" s="306">
        <f t="shared" ca="1" si="223"/>
        <v>0</v>
      </c>
      <c r="S481" s="307">
        <f t="shared" ca="1" si="224"/>
        <v>5.0829999999999913</v>
      </c>
      <c r="T481" s="304">
        <f t="shared" ca="1" si="204"/>
        <v>49.864229999999914</v>
      </c>
      <c r="U481" s="311">
        <f t="shared" ca="1" si="205"/>
        <v>0</v>
      </c>
      <c r="V481" s="306">
        <f t="shared" ca="1" si="206"/>
        <v>1.0000899509920851</v>
      </c>
      <c r="W481" s="304">
        <f t="shared" ca="1" si="207"/>
        <v>15.653154491671676</v>
      </c>
      <c r="Y481" s="314" t="str">
        <f t="shared" ca="1" si="225"/>
        <v/>
      </c>
      <c r="Z481" s="315" t="str">
        <f t="shared" ca="1" si="226"/>
        <v/>
      </c>
      <c r="AA481" s="316" t="str">
        <f t="shared" ca="1" si="227"/>
        <v/>
      </c>
      <c r="AC481" s="310" t="e">
        <f t="shared" ca="1" si="228"/>
        <v>#N/A</v>
      </c>
      <c r="AD481" s="323" t="e">
        <f t="shared" ca="1" si="229"/>
        <v>#N/A</v>
      </c>
      <c r="AE481" s="324">
        <f t="shared" ca="1" si="208"/>
        <v>2021.5816345549181</v>
      </c>
      <c r="AG481" s="306">
        <f t="shared" ca="1" si="230"/>
        <v>-12.330377289770681</v>
      </c>
      <c r="AH481" s="304">
        <f t="shared" ca="1" si="231"/>
        <v>-3.1888781327239628</v>
      </c>
    </row>
    <row r="482" spans="1:34" x14ac:dyDescent="0.2">
      <c r="A482" s="347">
        <f t="shared" ca="1" si="209"/>
        <v>0.1</v>
      </c>
      <c r="B482" s="304">
        <f t="shared" ca="1" si="210"/>
        <v>11.799999999999931</v>
      </c>
      <c r="D482" s="306">
        <f t="shared" ca="1" si="211"/>
        <v>-1.1316327258311927</v>
      </c>
      <c r="E482" s="307">
        <f t="shared" ca="1" si="212"/>
        <v>-12.67405228099534</v>
      </c>
      <c r="F482" s="304">
        <f t="shared" ca="1" si="213"/>
        <v>12.724472242398713</v>
      </c>
      <c r="G482" s="306">
        <f t="shared" ca="1" si="214"/>
        <v>26.123187056081555</v>
      </c>
      <c r="H482" s="307">
        <f t="shared" ca="1" si="215"/>
        <v>65.134243724401685</v>
      </c>
      <c r="I482" s="304">
        <f t="shared" ca="1" si="216"/>
        <v>70.177564844591089</v>
      </c>
      <c r="J482" s="306">
        <f t="shared" ca="1" si="217"/>
        <v>463.46008901753066</v>
      </c>
      <c r="K482" s="307">
        <f t="shared" ca="1" si="218"/>
        <v>2028.1584291887632</v>
      </c>
      <c r="L482" s="304">
        <f t="shared" ca="1" si="203"/>
        <v>2080.4379029429283</v>
      </c>
      <c r="M482" s="306">
        <f t="shared" ca="1" si="219"/>
        <v>1.1893705753522781</v>
      </c>
      <c r="N482" s="304">
        <f t="shared" ca="1" si="220"/>
        <v>68.145914244731983</v>
      </c>
      <c r="P482" s="310">
        <f t="shared" ca="1" si="221"/>
        <v>23</v>
      </c>
      <c r="Q482" s="304">
        <f t="shared" ca="1" si="222"/>
        <v>0</v>
      </c>
      <c r="R482" s="306">
        <f t="shared" ca="1" si="223"/>
        <v>0</v>
      </c>
      <c r="S482" s="307">
        <f t="shared" ca="1" si="224"/>
        <v>5.0829999999999913</v>
      </c>
      <c r="T482" s="304">
        <f t="shared" ca="1" si="204"/>
        <v>49.864229999999914</v>
      </c>
      <c r="U482" s="311">
        <f t="shared" ca="1" si="205"/>
        <v>0</v>
      </c>
      <c r="V482" s="306">
        <f t="shared" ca="1" si="206"/>
        <v>0.99942562130258561</v>
      </c>
      <c r="W482" s="304">
        <f t="shared" ca="1" si="207"/>
        <v>15.112993850147737</v>
      </c>
      <c r="Y482" s="314" t="str">
        <f t="shared" ca="1" si="225"/>
        <v/>
      </c>
      <c r="Z482" s="315" t="str">
        <f t="shared" ca="1" si="226"/>
        <v/>
      </c>
      <c r="AA482" s="316" t="str">
        <f t="shared" ca="1" si="227"/>
        <v/>
      </c>
      <c r="AC482" s="310" t="e">
        <f t="shared" ca="1" si="228"/>
        <v>#N/A</v>
      </c>
      <c r="AD482" s="323" t="e">
        <f t="shared" ca="1" si="229"/>
        <v>#N/A</v>
      </c>
      <c r="AE482" s="324">
        <f t="shared" ca="1" si="208"/>
        <v>2028.1584291887632</v>
      </c>
      <c r="AG482" s="306">
        <f t="shared" ca="1" si="230"/>
        <v>-12.203151988136353</v>
      </c>
      <c r="AH482" s="304">
        <f t="shared" ca="1" si="231"/>
        <v>-3.0795110154774155</v>
      </c>
    </row>
    <row r="483" spans="1:34" x14ac:dyDescent="0.2">
      <c r="A483" s="347">
        <f t="shared" ca="1" si="209"/>
        <v>0.1</v>
      </c>
      <c r="B483" s="304">
        <f t="shared" ca="1" si="210"/>
        <v>11.899999999999931</v>
      </c>
      <c r="D483" s="306">
        <f t="shared" ca="1" si="211"/>
        <v>-1.1067722510107354</v>
      </c>
      <c r="E483" s="307">
        <f t="shared" ca="1" si="212"/>
        <v>-12.569570392003737</v>
      </c>
      <c r="F483" s="304">
        <f t="shared" ca="1" si="213"/>
        <v>12.618202909097013</v>
      </c>
      <c r="G483" s="306">
        <f t="shared" ca="1" si="214"/>
        <v>26.012509830980481</v>
      </c>
      <c r="H483" s="307">
        <f t="shared" ca="1" si="215"/>
        <v>63.877286685201312</v>
      </c>
      <c r="I483" s="304">
        <f t="shared" ca="1" si="216"/>
        <v>68.970706984706581</v>
      </c>
      <c r="J483" s="306">
        <f t="shared" ca="1" si="217"/>
        <v>466.06687386188378</v>
      </c>
      <c r="K483" s="307">
        <f t="shared" ca="1" si="218"/>
        <v>2034.6090057092433</v>
      </c>
      <c r="L483" s="304">
        <f t="shared" ca="1" si="203"/>
        <v>2087.3073892037428</v>
      </c>
      <c r="M483" s="306">
        <f t="shared" ca="1" si="219"/>
        <v>1.1840759623141111</v>
      </c>
      <c r="N483" s="304">
        <f t="shared" ca="1" si="220"/>
        <v>67.842555263490084</v>
      </c>
      <c r="P483" s="310">
        <f t="shared" ca="1" si="221"/>
        <v>23</v>
      </c>
      <c r="Q483" s="304">
        <f t="shared" ca="1" si="222"/>
        <v>0</v>
      </c>
      <c r="R483" s="306">
        <f t="shared" ca="1" si="223"/>
        <v>0</v>
      </c>
      <c r="S483" s="307">
        <f t="shared" ca="1" si="224"/>
        <v>5.0829999999999913</v>
      </c>
      <c r="T483" s="304">
        <f t="shared" ca="1" si="204"/>
        <v>49.864229999999914</v>
      </c>
      <c r="U483" s="311">
        <f t="shared" ca="1" si="205"/>
        <v>0</v>
      </c>
      <c r="V483" s="306">
        <f t="shared" ca="1" si="206"/>
        <v>0.99877442628112578</v>
      </c>
      <c r="W483" s="304">
        <f t="shared" ca="1" si="207"/>
        <v>14.588149577392127</v>
      </c>
      <c r="Y483" s="314" t="str">
        <f t="shared" ca="1" si="225"/>
        <v/>
      </c>
      <c r="Z483" s="315" t="str">
        <f t="shared" ca="1" si="226"/>
        <v/>
      </c>
      <c r="AA483" s="316" t="str">
        <f t="shared" ca="1" si="227"/>
        <v/>
      </c>
      <c r="AC483" s="310" t="e">
        <f t="shared" ca="1" si="228"/>
        <v>#N/A</v>
      </c>
      <c r="AD483" s="323" t="e">
        <f t="shared" ca="1" si="229"/>
        <v>#N/A</v>
      </c>
      <c r="AE483" s="324">
        <f t="shared" ca="1" si="208"/>
        <v>2034.6090057092433</v>
      </c>
      <c r="AG483" s="306">
        <f t="shared" ca="1" si="230"/>
        <v>-12.078245830309097</v>
      </c>
      <c r="AH483" s="304">
        <f t="shared" ca="1" si="231"/>
        <v>-2.9732429372708564</v>
      </c>
    </row>
    <row r="484" spans="1:34" x14ac:dyDescent="0.2">
      <c r="A484" s="347">
        <f t="shared" ca="1" si="209"/>
        <v>0.1</v>
      </c>
      <c r="B484" s="304">
        <f t="shared" ca="1" si="210"/>
        <v>11.999999999999931</v>
      </c>
      <c r="D484" s="306">
        <f t="shared" ca="1" si="211"/>
        <v>-1.0824246591486058</v>
      </c>
      <c r="E484" s="307">
        <f t="shared" ca="1" si="212"/>
        <v>-12.468042254162626</v>
      </c>
      <c r="F484" s="304">
        <f t="shared" ca="1" si="213"/>
        <v>12.514939903743752</v>
      </c>
      <c r="G484" s="306">
        <f t="shared" ca="1" si="214"/>
        <v>25.904267365065621</v>
      </c>
      <c r="H484" s="307">
        <f t="shared" ca="1" si="215"/>
        <v>62.63048245978505</v>
      </c>
      <c r="I484" s="304">
        <f t="shared" ca="1" si="216"/>
        <v>67.77616395803355</v>
      </c>
      <c r="J484" s="306">
        <f t="shared" ca="1" si="217"/>
        <v>468.66271272168609</v>
      </c>
      <c r="K484" s="307">
        <f t="shared" ca="1" si="218"/>
        <v>2040.9343941664927</v>
      </c>
      <c r="L484" s="304">
        <f t="shared" ca="1" si="203"/>
        <v>2094.0529935002596</v>
      </c>
      <c r="M484" s="306">
        <f t="shared" ca="1" si="219"/>
        <v>1.1786169790946261</v>
      </c>
      <c r="N484" s="304">
        <f t="shared" ca="1" si="220"/>
        <v>67.529778564580852</v>
      </c>
      <c r="P484" s="310">
        <f t="shared" ca="1" si="221"/>
        <v>23</v>
      </c>
      <c r="Q484" s="304">
        <f t="shared" ca="1" si="222"/>
        <v>0</v>
      </c>
      <c r="R484" s="306">
        <f t="shared" ca="1" si="223"/>
        <v>0</v>
      </c>
      <c r="S484" s="307">
        <f t="shared" ca="1" si="224"/>
        <v>5.0829999999999913</v>
      </c>
      <c r="T484" s="304">
        <f t="shared" ca="1" si="204"/>
        <v>49.864229999999914</v>
      </c>
      <c r="U484" s="311">
        <f t="shared" ca="1" si="205"/>
        <v>0</v>
      </c>
      <c r="V484" s="306">
        <f t="shared" ca="1" si="206"/>
        <v>0.99813623931336981</v>
      </c>
      <c r="W484" s="304">
        <f t="shared" ca="1" si="207"/>
        <v>14.078203274284281</v>
      </c>
      <c r="Y484" s="314" t="str">
        <f t="shared" ca="1" si="225"/>
        <v/>
      </c>
      <c r="Z484" s="315" t="str">
        <f t="shared" ca="1" si="226"/>
        <v/>
      </c>
      <c r="AA484" s="316" t="str">
        <f t="shared" ca="1" si="227"/>
        <v/>
      </c>
      <c r="AC484" s="310">
        <f t="shared" ca="1" si="228"/>
        <v>11.999999999999931</v>
      </c>
      <c r="AD484" s="323">
        <f t="shared" ca="1" si="229"/>
        <v>468.66271272168609</v>
      </c>
      <c r="AE484" s="324">
        <f t="shared" ca="1" si="208"/>
        <v>2040.9343941664927</v>
      </c>
      <c r="AG484" s="306">
        <f t="shared" ca="1" si="230"/>
        <v>-11.955529058772578</v>
      </c>
      <c r="AH484" s="304">
        <f t="shared" ca="1" si="231"/>
        <v>-2.8699881128058533</v>
      </c>
    </row>
    <row r="485" spans="1:34" x14ac:dyDescent="0.2">
      <c r="A485" s="347">
        <f t="shared" ca="1" si="209"/>
        <v>0.1</v>
      </c>
      <c r="B485" s="304">
        <f t="shared" ca="1" si="210"/>
        <v>12.09999999999993</v>
      </c>
      <c r="D485" s="306">
        <f t="shared" ca="1" si="211"/>
        <v>-1.0585745563162834</v>
      </c>
      <c r="E485" s="307">
        <f t="shared" ca="1" si="212"/>
        <v>-12.369386615625823</v>
      </c>
      <c r="F485" s="304">
        <f t="shared" ca="1" si="213"/>
        <v>12.414600490475054</v>
      </c>
      <c r="G485" s="306">
        <f t="shared" ca="1" si="214"/>
        <v>25.798409909433992</v>
      </c>
      <c r="H485" s="307">
        <f t="shared" ca="1" si="215"/>
        <v>61.393543798222467</v>
      </c>
      <c r="I485" s="304">
        <f t="shared" ca="1" si="216"/>
        <v>66.593732242302224</v>
      </c>
      <c r="J485" s="306">
        <f t="shared" ca="1" si="217"/>
        <v>471.24784658541108</v>
      </c>
      <c r="K485" s="307">
        <f t="shared" ca="1" si="218"/>
        <v>2047.135595479393</v>
      </c>
      <c r="L485" s="304">
        <f t="shared" ca="1" si="203"/>
        <v>2100.6757672687509</v>
      </c>
      <c r="M485" s="306">
        <f t="shared" ca="1" si="219"/>
        <v>1.1729866695073545</v>
      </c>
      <c r="N485" s="304">
        <f t="shared" ca="1" si="220"/>
        <v>67.207185587878143</v>
      </c>
      <c r="P485" s="310">
        <f t="shared" ca="1" si="221"/>
        <v>23</v>
      </c>
      <c r="Q485" s="304">
        <f t="shared" ca="1" si="222"/>
        <v>0</v>
      </c>
      <c r="R485" s="306">
        <f t="shared" ca="1" si="223"/>
        <v>0</v>
      </c>
      <c r="S485" s="307">
        <f t="shared" ca="1" si="224"/>
        <v>5.0829999999999913</v>
      </c>
      <c r="T485" s="304">
        <f t="shared" ca="1" si="204"/>
        <v>49.864229999999914</v>
      </c>
      <c r="U485" s="311">
        <f t="shared" ca="1" si="205"/>
        <v>0</v>
      </c>
      <c r="V485" s="306">
        <f t="shared" ca="1" si="206"/>
        <v>0.99751093743203068</v>
      </c>
      <c r="W485" s="304">
        <f t="shared" ca="1" si="207"/>
        <v>13.582753398805876</v>
      </c>
      <c r="Y485" s="314" t="str">
        <f t="shared" ca="1" si="225"/>
        <v/>
      </c>
      <c r="Z485" s="315" t="str">
        <f t="shared" ca="1" si="226"/>
        <v/>
      </c>
      <c r="AA485" s="316" t="str">
        <f t="shared" ca="1" si="227"/>
        <v/>
      </c>
      <c r="AC485" s="310" t="e">
        <f t="shared" ca="1" si="228"/>
        <v>#N/A</v>
      </c>
      <c r="AD485" s="323" t="e">
        <f t="shared" ca="1" si="229"/>
        <v>#N/A</v>
      </c>
      <c r="AE485" s="324">
        <f t="shared" ca="1" si="208"/>
        <v>2047.135595479393</v>
      </c>
      <c r="AG485" s="306">
        <f t="shared" ca="1" si="230"/>
        <v>-11.834872364532069</v>
      </c>
      <c r="AH485" s="304">
        <f t="shared" ca="1" si="231"/>
        <v>-2.7696642286610871</v>
      </c>
    </row>
    <row r="486" spans="1:34" x14ac:dyDescent="0.2">
      <c r="A486" s="347">
        <f t="shared" ca="1" si="209"/>
        <v>0.1</v>
      </c>
      <c r="B486" s="304">
        <f t="shared" ca="1" si="210"/>
        <v>12.19999999999993</v>
      </c>
      <c r="D486" s="306">
        <f t="shared" ca="1" si="211"/>
        <v>-1.0352072135895005</v>
      </c>
      <c r="E486" s="307">
        <f t="shared" ca="1" si="212"/>
        <v>-12.273525451020218</v>
      </c>
      <c r="F486" s="304">
        <f t="shared" ca="1" si="213"/>
        <v>12.317105218837289</v>
      </c>
      <c r="G486" s="306">
        <f t="shared" ca="1" si="214"/>
        <v>25.694889188075042</v>
      </c>
      <c r="H486" s="307">
        <f t="shared" ca="1" si="215"/>
        <v>60.166191253120445</v>
      </c>
      <c r="I486" s="304">
        <f t="shared" ca="1" si="216"/>
        <v>65.423221414834984</v>
      </c>
      <c r="J486" s="306">
        <f t="shared" ca="1" si="217"/>
        <v>473.82251154028654</v>
      </c>
      <c r="K486" s="307">
        <f t="shared" ca="1" si="218"/>
        <v>2053.2135822319601</v>
      </c>
      <c r="L486" s="304">
        <f t="shared" ca="1" si="203"/>
        <v>2107.1767336187399</v>
      </c>
      <c r="M486" s="306">
        <f t="shared" ca="1" si="219"/>
        <v>1.1671776998441665</v>
      </c>
      <c r="N486" s="304">
        <f t="shared" ca="1" si="220"/>
        <v>66.874356142857948</v>
      </c>
      <c r="P486" s="310">
        <f t="shared" ca="1" si="221"/>
        <v>23</v>
      </c>
      <c r="Q486" s="304">
        <f t="shared" ca="1" si="222"/>
        <v>0</v>
      </c>
      <c r="R486" s="306">
        <f t="shared" ca="1" si="223"/>
        <v>0</v>
      </c>
      <c r="S486" s="307">
        <f t="shared" ca="1" si="224"/>
        <v>5.0829999999999913</v>
      </c>
      <c r="T486" s="304">
        <f t="shared" ca="1" si="204"/>
        <v>49.864229999999914</v>
      </c>
      <c r="U486" s="311">
        <f t="shared" ca="1" si="205"/>
        <v>0</v>
      </c>
      <c r="V486" s="306">
        <f t="shared" ca="1" si="206"/>
        <v>0.99689840121435991</v>
      </c>
      <c r="W486" s="304">
        <f t="shared" ca="1" si="207"/>
        <v>13.101414518285324</v>
      </c>
      <c r="Y486" s="314" t="str">
        <f t="shared" ca="1" si="225"/>
        <v/>
      </c>
      <c r="Z486" s="315" t="str">
        <f t="shared" ca="1" si="226"/>
        <v/>
      </c>
      <c r="AA486" s="316" t="str">
        <f t="shared" ca="1" si="227"/>
        <v/>
      </c>
      <c r="AC486" s="310" t="e">
        <f t="shared" ca="1" si="228"/>
        <v>#N/A</v>
      </c>
      <c r="AD486" s="323" t="e">
        <f t="shared" ca="1" si="229"/>
        <v>#N/A</v>
      </c>
      <c r="AE486" s="324">
        <f t="shared" ca="1" si="208"/>
        <v>2053.2135822319601</v>
      </c>
      <c r="AG486" s="306">
        <f t="shared" ca="1" si="230"/>
        <v>-11.716146491599908</v>
      </c>
      <c r="AH486" s="304">
        <f t="shared" ca="1" si="231"/>
        <v>-2.6721922877839659</v>
      </c>
    </row>
    <row r="487" spans="1:34" x14ac:dyDescent="0.2">
      <c r="A487" s="347">
        <f t="shared" ca="1" si="209"/>
        <v>0.1</v>
      </c>
      <c r="B487" s="304">
        <f t="shared" ca="1" si="210"/>
        <v>12.29999999999993</v>
      </c>
      <c r="D487" s="306">
        <f t="shared" ca="1" si="211"/>
        <v>-1.0123085435308663</v>
      </c>
      <c r="E487" s="307">
        <f t="shared" ca="1" si="212"/>
        <v>-12.18038381412879</v>
      </c>
      <c r="F487" s="304">
        <f t="shared" ca="1" si="213"/>
        <v>12.222377773853832</v>
      </c>
      <c r="G487" s="306">
        <f t="shared" ca="1" si="214"/>
        <v>25.593658333721955</v>
      </c>
      <c r="H487" s="307">
        <f t="shared" ca="1" si="215"/>
        <v>58.948152871707563</v>
      </c>
      <c r="I487" s="304">
        <f t="shared" ca="1" si="216"/>
        <v>64.264454202066474</v>
      </c>
      <c r="J487" s="306">
        <f t="shared" ca="1" si="217"/>
        <v>476.38693891637638</v>
      </c>
      <c r="K487" s="307">
        <f t="shared" ca="1" si="218"/>
        <v>2059.1692994382015</v>
      </c>
      <c r="L487" s="304">
        <f t="shared" ca="1" si="203"/>
        <v>2113.5568881198656</v>
      </c>
      <c r="M487" s="306">
        <f t="shared" ca="1" si="219"/>
        <v>1.1611823350965043</v>
      </c>
      <c r="N487" s="304">
        <f t="shared" ca="1" si="220"/>
        <v>66.530847046175381</v>
      </c>
      <c r="P487" s="310">
        <f t="shared" ca="1" si="221"/>
        <v>23</v>
      </c>
      <c r="Q487" s="304">
        <f t="shared" ca="1" si="222"/>
        <v>0</v>
      </c>
      <c r="R487" s="306">
        <f t="shared" ca="1" si="223"/>
        <v>0</v>
      </c>
      <c r="S487" s="307">
        <f t="shared" ca="1" si="224"/>
        <v>5.0829999999999913</v>
      </c>
      <c r="T487" s="304">
        <f t="shared" ca="1" si="204"/>
        <v>49.864229999999914</v>
      </c>
      <c r="U487" s="311">
        <f t="shared" ca="1" si="205"/>
        <v>0</v>
      </c>
      <c r="V487" s="306">
        <f t="shared" ca="1" si="206"/>
        <v>0.99629851468377462</v>
      </c>
      <c r="W487" s="304">
        <f t="shared" ca="1" si="207"/>
        <v>12.633816601751931</v>
      </c>
      <c r="Y487" s="314" t="str">
        <f t="shared" ca="1" si="225"/>
        <v/>
      </c>
      <c r="Z487" s="315" t="str">
        <f t="shared" ca="1" si="226"/>
        <v/>
      </c>
      <c r="AA487" s="316" t="str">
        <f t="shared" ca="1" si="227"/>
        <v/>
      </c>
      <c r="AC487" s="310" t="e">
        <f t="shared" ca="1" si="228"/>
        <v>#N/A</v>
      </c>
      <c r="AD487" s="323" t="e">
        <f t="shared" ca="1" si="229"/>
        <v>#N/A</v>
      </c>
      <c r="AE487" s="324">
        <f t="shared" ca="1" si="208"/>
        <v>2059.1692994382015</v>
      </c>
      <c r="AG487" s="306">
        <f t="shared" ca="1" si="230"/>
        <v>-11.59922182883184</v>
      </c>
      <c r="AH487" s="304">
        <f t="shared" ca="1" si="231"/>
        <v>-2.5774964623815357</v>
      </c>
    </row>
    <row r="488" spans="1:34" x14ac:dyDescent="0.2">
      <c r="A488" s="347">
        <f t="shared" ca="1" si="209"/>
        <v>0.1</v>
      </c>
      <c r="B488" s="304">
        <f t="shared" ca="1" si="210"/>
        <v>12.399999999999929</v>
      </c>
      <c r="D488" s="306">
        <f t="shared" ca="1" si="211"/>
        <v>-0.98986507850432615</v>
      </c>
      <c r="E488" s="307">
        <f t="shared" ca="1" si="212"/>
        <v>-12.089889698033341</v>
      </c>
      <c r="F488" s="304">
        <f t="shared" ca="1" si="213"/>
        <v>12.130344833691048</v>
      </c>
      <c r="G488" s="306">
        <f t="shared" ca="1" si="214"/>
        <v>25.494671825871521</v>
      </c>
      <c r="H488" s="307">
        <f t="shared" ca="1" si="215"/>
        <v>57.739163901904227</v>
      </c>
      <c r="I488" s="304">
        <f t="shared" ca="1" si="216"/>
        <v>63.117266572625333</v>
      </c>
      <c r="J488" s="306">
        <f t="shared" ca="1" si="217"/>
        <v>478.94135542435606</v>
      </c>
      <c r="K488" s="307">
        <f t="shared" ca="1" si="218"/>
        <v>2065.0036652768822</v>
      </c>
      <c r="L488" s="304">
        <f t="shared" ca="1" si="203"/>
        <v>2119.8171995581783</v>
      </c>
      <c r="M488" s="306">
        <f t="shared" ca="1" si="219"/>
        <v>1.1549924135775254</v>
      </c>
      <c r="N488" s="304">
        <f t="shared" ca="1" si="220"/>
        <v>66.176190667620688</v>
      </c>
      <c r="P488" s="310">
        <f t="shared" ca="1" si="221"/>
        <v>23</v>
      </c>
      <c r="Q488" s="304">
        <f t="shared" ca="1" si="222"/>
        <v>0</v>
      </c>
      <c r="R488" s="306">
        <f t="shared" ca="1" si="223"/>
        <v>0</v>
      </c>
      <c r="S488" s="307">
        <f t="shared" ca="1" si="224"/>
        <v>5.0829999999999913</v>
      </c>
      <c r="T488" s="304">
        <f t="shared" ca="1" si="204"/>
        <v>49.864229999999914</v>
      </c>
      <c r="U488" s="311">
        <f t="shared" ca="1" si="205"/>
        <v>0</v>
      </c>
      <c r="V488" s="306">
        <f t="shared" ca="1" si="206"/>
        <v>0.9957111652154409</v>
      </c>
      <c r="W488" s="304">
        <f t="shared" ca="1" si="207"/>
        <v>12.179604349990802</v>
      </c>
      <c r="Y488" s="314" t="str">
        <f t="shared" ca="1" si="225"/>
        <v/>
      </c>
      <c r="Z488" s="315" t="str">
        <f t="shared" ca="1" si="226"/>
        <v/>
      </c>
      <c r="AA488" s="316" t="str">
        <f t="shared" ca="1" si="227"/>
        <v/>
      </c>
      <c r="AC488" s="310" t="e">
        <f t="shared" ca="1" si="228"/>
        <v>#N/A</v>
      </c>
      <c r="AD488" s="323" t="e">
        <f t="shared" ca="1" si="229"/>
        <v>#N/A</v>
      </c>
      <c r="AE488" s="324">
        <f t="shared" ca="1" si="208"/>
        <v>2065.0036652768822</v>
      </c>
      <c r="AG488" s="306">
        <f t="shared" ca="1" si="230"/>
        <v>-11.483967986671907</v>
      </c>
      <c r="AH488" s="304">
        <f t="shared" ca="1" si="231"/>
        <v>-2.4855039547023319</v>
      </c>
    </row>
    <row r="489" spans="1:34" x14ac:dyDescent="0.2">
      <c r="A489" s="347">
        <f t="shared" ca="1" si="209"/>
        <v>0.1</v>
      </c>
      <c r="B489" s="304">
        <f t="shared" ca="1" si="210"/>
        <v>12.499999999999929</v>
      </c>
      <c r="D489" s="306">
        <f t="shared" ca="1" si="211"/>
        <v>-0.96786395076422749</v>
      </c>
      <c r="E489" s="307">
        <f t="shared" ca="1" si="212"/>
        <v>-12.001973902217898</v>
      </c>
      <c r="F489" s="304">
        <f t="shared" ca="1" si="213"/>
        <v>12.040935934415915</v>
      </c>
      <c r="G489" s="306">
        <f t="shared" ca="1" si="214"/>
        <v>25.3978854307951</v>
      </c>
      <c r="H489" s="307">
        <f t="shared" ca="1" si="215"/>
        <v>56.538966511682439</v>
      </c>
      <c r="I489" s="304">
        <f t="shared" ca="1" si="216"/>
        <v>61.981507875857154</v>
      </c>
      <c r="J489" s="306">
        <f t="shared" ca="1" si="217"/>
        <v>481.48598328718941</v>
      </c>
      <c r="K489" s="307">
        <f t="shared" ca="1" si="218"/>
        <v>2070.7175717975615</v>
      </c>
      <c r="L489" s="304">
        <f t="shared" ca="1" si="203"/>
        <v>2125.958610663251</v>
      </c>
      <c r="M489" s="306">
        <f t="shared" ca="1" si="219"/>
        <v>1.1485993198476712</v>
      </c>
      <c r="N489" s="304">
        <f t="shared" ca="1" si="220"/>
        <v>65.809893378868495</v>
      </c>
      <c r="P489" s="310">
        <f t="shared" ca="1" si="221"/>
        <v>23</v>
      </c>
      <c r="Q489" s="304">
        <f t="shared" ca="1" si="222"/>
        <v>0</v>
      </c>
      <c r="R489" s="306">
        <f t="shared" ca="1" si="223"/>
        <v>0</v>
      </c>
      <c r="S489" s="307">
        <f t="shared" ca="1" si="224"/>
        <v>5.0829999999999913</v>
      </c>
      <c r="T489" s="304">
        <f t="shared" ca="1" si="204"/>
        <v>49.864229999999914</v>
      </c>
      <c r="U489" s="311">
        <f t="shared" ca="1" si="205"/>
        <v>0</v>
      </c>
      <c r="V489" s="306">
        <f t="shared" ca="1" si="206"/>
        <v>0.99513624344562568</v>
      </c>
      <c r="W489" s="304">
        <f t="shared" ca="1" si="207"/>
        <v>11.738436561051479</v>
      </c>
      <c r="Y489" s="314" t="str">
        <f t="shared" ca="1" si="225"/>
        <v/>
      </c>
      <c r="Z489" s="315" t="str">
        <f t="shared" ca="1" si="226"/>
        <v/>
      </c>
      <c r="AA489" s="316" t="str">
        <f t="shared" ca="1" si="227"/>
        <v/>
      </c>
      <c r="AC489" s="310" t="e">
        <f t="shared" ca="1" si="228"/>
        <v>#N/A</v>
      </c>
      <c r="AD489" s="323" t="e">
        <f t="shared" ca="1" si="229"/>
        <v>#N/A</v>
      </c>
      <c r="AE489" s="324">
        <f t="shared" ca="1" si="208"/>
        <v>2070.7175717975615</v>
      </c>
      <c r="AG489" s="306">
        <f t="shared" ca="1" si="230"/>
        <v>-11.370253356228496</v>
      </c>
      <c r="AH489" s="304">
        <f t="shared" ca="1" si="231"/>
        <v>-2.396144865235259</v>
      </c>
    </row>
    <row r="490" spans="1:34" x14ac:dyDescent="0.2">
      <c r="A490" s="347">
        <f t="shared" ca="1" si="209"/>
        <v>0.1</v>
      </c>
      <c r="B490" s="304">
        <f t="shared" ca="1" si="210"/>
        <v>12.599999999999929</v>
      </c>
      <c r="D490" s="306">
        <f t="shared" ca="1" si="211"/>
        <v>-0.94629287427064079</v>
      </c>
      <c r="E490" s="307">
        <f t="shared" ca="1" si="212"/>
        <v>-11.916569906160749</v>
      </c>
      <c r="F490" s="304">
        <f t="shared" ca="1" si="213"/>
        <v>11.954083341365468</v>
      </c>
      <c r="G490" s="306">
        <f t="shared" ca="1" si="214"/>
        <v>25.303256143368035</v>
      </c>
      <c r="H490" s="307">
        <f t="shared" ca="1" si="215"/>
        <v>55.347309521066364</v>
      </c>
      <c r="I490" s="304">
        <f t="shared" ca="1" si="216"/>
        <v>60.857041027950217</v>
      </c>
      <c r="J490" s="306">
        <f t="shared" ca="1" si="217"/>
        <v>484.02104036589759</v>
      </c>
      <c r="K490" s="307">
        <f t="shared" ca="1" si="218"/>
        <v>2076.3118855991988</v>
      </c>
      <c r="L490" s="304">
        <f t="shared" ca="1" si="203"/>
        <v>2131.9820388074068</v>
      </c>
      <c r="M490" s="306">
        <f t="shared" ca="1" si="219"/>
        <v>1.1419939558443</v>
      </c>
      <c r="N490" s="304">
        <f t="shared" ca="1" si="220"/>
        <v>65.431433899327686</v>
      </c>
      <c r="P490" s="310">
        <f t="shared" ca="1" si="221"/>
        <v>23</v>
      </c>
      <c r="Q490" s="304">
        <f t="shared" ca="1" si="222"/>
        <v>0</v>
      </c>
      <c r="R490" s="306">
        <f t="shared" ca="1" si="223"/>
        <v>0</v>
      </c>
      <c r="S490" s="307">
        <f t="shared" ca="1" si="224"/>
        <v>5.0829999999999913</v>
      </c>
      <c r="T490" s="304">
        <f t="shared" ca="1" si="204"/>
        <v>49.864229999999914</v>
      </c>
      <c r="U490" s="311">
        <f t="shared" ca="1" si="205"/>
        <v>0</v>
      </c>
      <c r="V490" s="306">
        <f t="shared" ca="1" si="206"/>
        <v>0.99457364318464969</v>
      </c>
      <c r="W490" s="304">
        <f t="shared" ca="1" si="207"/>
        <v>11.309985529112959</v>
      </c>
      <c r="Y490" s="314" t="str">
        <f t="shared" ca="1" si="225"/>
        <v/>
      </c>
      <c r="Z490" s="315" t="str">
        <f t="shared" ca="1" si="226"/>
        <v/>
      </c>
      <c r="AA490" s="316" t="str">
        <f t="shared" ca="1" si="227"/>
        <v/>
      </c>
      <c r="AC490" s="310" t="e">
        <f t="shared" ca="1" si="228"/>
        <v>#N/A</v>
      </c>
      <c r="AD490" s="323" t="e">
        <f t="shared" ca="1" si="229"/>
        <v>#N/A</v>
      </c>
      <c r="AE490" s="324">
        <f t="shared" ca="1" si="208"/>
        <v>2076.3118855991988</v>
      </c>
      <c r="AG490" s="306">
        <f t="shared" ca="1" si="230"/>
        <v>-11.257944647956002</v>
      </c>
      <c r="AH490" s="304">
        <f t="shared" ca="1" si="231"/>
        <v>-2.3093520678834349</v>
      </c>
    </row>
    <row r="491" spans="1:34" x14ac:dyDescent="0.2">
      <c r="A491" s="347">
        <f t="shared" ca="1" si="209"/>
        <v>0.1</v>
      </c>
      <c r="B491" s="304">
        <f t="shared" ca="1" si="210"/>
        <v>12.699999999999928</v>
      </c>
      <c r="D491" s="306">
        <f t="shared" ca="1" si="211"/>
        <v>-0.92514012819122626</v>
      </c>
      <c r="E491" s="307">
        <f t="shared" ca="1" si="212"/>
        <v>-11.83361374896722</v>
      </c>
      <c r="F491" s="304">
        <f t="shared" ca="1" si="213"/>
        <v>11.869721926672742</v>
      </c>
      <c r="G491" s="306">
        <f t="shared" ca="1" si="214"/>
        <v>25.210742130548912</v>
      </c>
      <c r="H491" s="307">
        <f t="shared" ca="1" si="215"/>
        <v>54.163948146169645</v>
      </c>
      <c r="I491" s="304">
        <f t="shared" ca="1" si="216"/>
        <v>59.743742748123736</v>
      </c>
      <c r="J491" s="306">
        <f t="shared" ca="1" si="217"/>
        <v>486.54674027959345</v>
      </c>
      <c r="K491" s="307">
        <f t="shared" ca="1" si="218"/>
        <v>2081.7874484825606</v>
      </c>
      <c r="L491" s="304">
        <f t="shared" ca="1" si="203"/>
        <v>2137.8883766783119</v>
      </c>
      <c r="M491" s="306">
        <f t="shared" ca="1" si="219"/>
        <v>1.1351667101153269</v>
      </c>
      <c r="N491" s="304">
        <f t="shared" ca="1" si="220"/>
        <v>65.040261533358802</v>
      </c>
      <c r="P491" s="310">
        <f t="shared" ca="1" si="221"/>
        <v>23</v>
      </c>
      <c r="Q491" s="304">
        <f t="shared" ca="1" si="222"/>
        <v>0</v>
      </c>
      <c r="R491" s="306">
        <f t="shared" ca="1" si="223"/>
        <v>0</v>
      </c>
      <c r="S491" s="307">
        <f t="shared" ca="1" si="224"/>
        <v>5.0829999999999913</v>
      </c>
      <c r="T491" s="304">
        <f t="shared" ca="1" si="204"/>
        <v>49.864229999999914</v>
      </c>
      <c r="U491" s="311">
        <f t="shared" ca="1" si="205"/>
        <v>0</v>
      </c>
      <c r="V491" s="306">
        <f t="shared" ca="1" si="206"/>
        <v>0.99402326133327756</v>
      </c>
      <c r="W491" s="304">
        <f t="shared" ca="1" si="207"/>
        <v>10.893936474746241</v>
      </c>
      <c r="Y491" s="314" t="str">
        <f t="shared" ca="1" si="225"/>
        <v/>
      </c>
      <c r="Z491" s="315" t="str">
        <f t="shared" ca="1" si="226"/>
        <v/>
      </c>
      <c r="AA491" s="316" t="str">
        <f t="shared" ca="1" si="227"/>
        <v/>
      </c>
      <c r="AC491" s="310" t="e">
        <f t="shared" ca="1" si="228"/>
        <v>#N/A</v>
      </c>
      <c r="AD491" s="323" t="e">
        <f t="shared" ca="1" si="229"/>
        <v>#N/A</v>
      </c>
      <c r="AE491" s="324">
        <f t="shared" ca="1" si="208"/>
        <v>2081.7874484825606</v>
      </c>
      <c r="AG491" s="306">
        <f t="shared" ca="1" si="230"/>
        <v>-11.146906407056624</v>
      </c>
      <c r="AH491" s="304">
        <f t="shared" ca="1" si="231"/>
        <v>-2.2250610917003697</v>
      </c>
    </row>
    <row r="492" spans="1:34" x14ac:dyDescent="0.2">
      <c r="A492" s="347">
        <f t="shared" ca="1" si="209"/>
        <v>0.1</v>
      </c>
      <c r="B492" s="304">
        <f t="shared" ca="1" si="210"/>
        <v>12.799999999999928</v>
      </c>
      <c r="D492" s="306">
        <f t="shared" ca="1" si="211"/>
        <v>-0.90439454205844494</v>
      </c>
      <c r="E492" s="307">
        <f t="shared" ca="1" si="212"/>
        <v>-11.753043914616644</v>
      </c>
      <c r="F492" s="304">
        <f t="shared" ca="1" si="213"/>
        <v>11.787789052515846</v>
      </c>
      <c r="G492" s="306">
        <f t="shared" ca="1" si="214"/>
        <v>25.120302676343066</v>
      </c>
      <c r="H492" s="307">
        <f t="shared" ca="1" si="215"/>
        <v>52.988643754707979</v>
      </c>
      <c r="I492" s="304">
        <f t="shared" ca="1" si="216"/>
        <v>58.641503847654192</v>
      </c>
      <c r="J492" s="306">
        <f t="shared" ca="1" si="217"/>
        <v>489.06329251993805</v>
      </c>
      <c r="K492" s="307">
        <f t="shared" ca="1" si="218"/>
        <v>2087.1450780776045</v>
      </c>
      <c r="L492" s="304">
        <f t="shared" ca="1" si="203"/>
        <v>2143.6784929261225</v>
      </c>
      <c r="M492" s="306">
        <f t="shared" ca="1" si="219"/>
        <v>1.1281074250576957</v>
      </c>
      <c r="N492" s="304">
        <f t="shared" ca="1" si="220"/>
        <v>64.635794293176772</v>
      </c>
      <c r="P492" s="310">
        <f t="shared" ca="1" si="221"/>
        <v>23</v>
      </c>
      <c r="Q492" s="304">
        <f t="shared" ca="1" si="222"/>
        <v>0</v>
      </c>
      <c r="R492" s="306">
        <f t="shared" ca="1" si="223"/>
        <v>0</v>
      </c>
      <c r="S492" s="307">
        <f t="shared" ca="1" si="224"/>
        <v>5.0829999999999913</v>
      </c>
      <c r="T492" s="304">
        <f t="shared" ca="1" si="204"/>
        <v>49.864229999999914</v>
      </c>
      <c r="U492" s="311">
        <f t="shared" ca="1" si="205"/>
        <v>0</v>
      </c>
      <c r="V492" s="306">
        <f t="shared" ca="1" si="206"/>
        <v>0.99348499780238742</v>
      </c>
      <c r="W492" s="304">
        <f t="shared" ca="1" si="207"/>
        <v>10.489987004743707</v>
      </c>
      <c r="Y492" s="314" t="str">
        <f t="shared" ca="1" si="225"/>
        <v/>
      </c>
      <c r="Z492" s="315" t="str">
        <f t="shared" ca="1" si="226"/>
        <v/>
      </c>
      <c r="AA492" s="316" t="str">
        <f t="shared" ca="1" si="227"/>
        <v/>
      </c>
      <c r="AC492" s="310" t="e">
        <f t="shared" ca="1" si="228"/>
        <v>#N/A</v>
      </c>
      <c r="AD492" s="323" t="e">
        <f t="shared" ca="1" si="229"/>
        <v>#N/A</v>
      </c>
      <c r="AE492" s="324">
        <f t="shared" ca="1" si="208"/>
        <v>2087.1450780776045</v>
      </c>
      <c r="AG492" s="306">
        <f t="shared" ca="1" si="230"/>
        <v>-11.03700050254669</v>
      </c>
      <c r="AH492" s="304">
        <f t="shared" ca="1" si="231"/>
        <v>-2.1432100088031198</v>
      </c>
    </row>
    <row r="493" spans="1:34" x14ac:dyDescent="0.2">
      <c r="A493" s="347">
        <f t="shared" ca="1" si="209"/>
        <v>0.1</v>
      </c>
      <c r="B493" s="304">
        <f t="shared" ca="1" si="210"/>
        <v>12.899999999999928</v>
      </c>
      <c r="D493" s="306">
        <f t="shared" ca="1" si="211"/>
        <v>-0.88404548255927995</v>
      </c>
      <c r="E493" s="307">
        <f t="shared" ca="1" si="212"/>
        <v>-11.674801222415528</v>
      </c>
      <c r="F493" s="304">
        <f t="shared" ca="1" si="213"/>
        <v>11.70822445967571</v>
      </c>
      <c r="G493" s="306">
        <f t="shared" ca="1" si="214"/>
        <v>25.031898128087139</v>
      </c>
      <c r="H493" s="307">
        <f t="shared" ca="1" si="215"/>
        <v>51.82116363246643</v>
      </c>
      <c r="I493" s="304">
        <f t="shared" ca="1" si="216"/>
        <v>57.550229574848728</v>
      </c>
      <c r="J493" s="306">
        <f t="shared" ca="1" si="217"/>
        <v>491.57090256015954</v>
      </c>
      <c r="K493" s="307">
        <f t="shared" ca="1" si="218"/>
        <v>2092.3855684469631</v>
      </c>
      <c r="L493" s="304">
        <f t="shared" ca="1" si="203"/>
        <v>2149.3532327863027</v>
      </c>
      <c r="M493" s="306">
        <f t="shared" ca="1" si="219"/>
        <v>1.120805362064462</v>
      </c>
      <c r="N493" s="304">
        <f t="shared" ca="1" si="220"/>
        <v>64.217416901925816</v>
      </c>
      <c r="P493" s="310">
        <f t="shared" ca="1" si="221"/>
        <v>23</v>
      </c>
      <c r="Q493" s="304">
        <f t="shared" ca="1" si="222"/>
        <v>0</v>
      </c>
      <c r="R493" s="306">
        <f t="shared" ca="1" si="223"/>
        <v>0</v>
      </c>
      <c r="S493" s="307">
        <f t="shared" ca="1" si="224"/>
        <v>5.0829999999999913</v>
      </c>
      <c r="T493" s="304">
        <f t="shared" ca="1" si="204"/>
        <v>49.864229999999914</v>
      </c>
      <c r="U493" s="311">
        <f t="shared" ca="1" si="205"/>
        <v>0</v>
      </c>
      <c r="V493" s="306">
        <f t="shared" ca="1" si="206"/>
        <v>0.99295875543577949</v>
      </c>
      <c r="W493" s="304">
        <f t="shared" ca="1" si="207"/>
        <v>10.097846599803288</v>
      </c>
      <c r="Y493" s="314" t="str">
        <f t="shared" ca="1" si="225"/>
        <v/>
      </c>
      <c r="Z493" s="315" t="str">
        <f t="shared" ca="1" si="226"/>
        <v/>
      </c>
      <c r="AA493" s="316" t="str">
        <f t="shared" ca="1" si="227"/>
        <v/>
      </c>
      <c r="AC493" s="310" t="e">
        <f t="shared" ca="1" si="228"/>
        <v>#N/A</v>
      </c>
      <c r="AD493" s="323" t="e">
        <f t="shared" ca="1" si="229"/>
        <v>#N/A</v>
      </c>
      <c r="AE493" s="324">
        <f t="shared" ca="1" si="208"/>
        <v>2092.3855684469631</v>
      </c>
      <c r="AG493" s="306">
        <f t="shared" ca="1" si="230"/>
        <v>-10.928085586754332</v>
      </c>
      <c r="AH493" s="304">
        <f t="shared" ca="1" si="231"/>
        <v>-2.0637393281022476</v>
      </c>
    </row>
    <row r="494" spans="1:34" x14ac:dyDescent="0.2">
      <c r="A494" s="347">
        <f t="shared" ca="1" si="209"/>
        <v>0.1</v>
      </c>
      <c r="B494" s="304">
        <f t="shared" ca="1" si="210"/>
        <v>12.999999999999927</v>
      </c>
      <c r="D494" s="306">
        <f t="shared" ca="1" si="211"/>
        <v>-0.8640828419429093</v>
      </c>
      <c r="E494" s="307">
        <f t="shared" ca="1" si="212"/>
        <v>-11.598828722264855</v>
      </c>
      <c r="F494" s="304">
        <f t="shared" ca="1" si="213"/>
        <v>11.630970161004468</v>
      </c>
      <c r="G494" s="306">
        <f t="shared" ca="1" si="214"/>
        <v>24.945489843892847</v>
      </c>
      <c r="H494" s="307">
        <f t="shared" ca="1" si="215"/>
        <v>50.661280760239947</v>
      </c>
      <c r="I494" s="304">
        <f t="shared" ca="1" si="216"/>
        <v>56.469840019426471</v>
      </c>
      <c r="J494" s="306">
        <f t="shared" ca="1" si="217"/>
        <v>494.06977195875857</v>
      </c>
      <c r="K494" s="307">
        <f t="shared" ca="1" si="218"/>
        <v>2097.5096906665985</v>
      </c>
      <c r="L494" s="304">
        <f t="shared" ca="1" si="203"/>
        <v>2154.9134186791985</v>
      </c>
      <c r="M494" s="306">
        <f t="shared" ca="1" si="219"/>
        <v>1.1132491644898852</v>
      </c>
      <c r="N494" s="304">
        <f t="shared" ca="1" si="220"/>
        <v>63.784478671735577</v>
      </c>
      <c r="P494" s="310">
        <f t="shared" ca="1" si="221"/>
        <v>23</v>
      </c>
      <c r="Q494" s="304">
        <f t="shared" ca="1" si="222"/>
        <v>0</v>
      </c>
      <c r="R494" s="306">
        <f t="shared" ca="1" si="223"/>
        <v>0</v>
      </c>
      <c r="S494" s="307">
        <f t="shared" ca="1" si="224"/>
        <v>5.0829999999999913</v>
      </c>
      <c r="T494" s="304">
        <f t="shared" ca="1" si="204"/>
        <v>49.864229999999914</v>
      </c>
      <c r="U494" s="311">
        <f t="shared" ca="1" si="205"/>
        <v>0</v>
      </c>
      <c r="V494" s="306">
        <f t="shared" ca="1" si="206"/>
        <v>0.99244443993597597</v>
      </c>
      <c r="W494" s="304">
        <f t="shared" ca="1" si="207"/>
        <v>9.7172361284653466</v>
      </c>
      <c r="Y494" s="314" t="str">
        <f t="shared" ca="1" si="225"/>
        <v/>
      </c>
      <c r="Z494" s="315" t="str">
        <f t="shared" ca="1" si="226"/>
        <v/>
      </c>
      <c r="AA494" s="316" t="str">
        <f t="shared" ca="1" si="227"/>
        <v/>
      </c>
      <c r="AC494" s="310">
        <f t="shared" ca="1" si="228"/>
        <v>12.999999999999927</v>
      </c>
      <c r="AD494" s="323">
        <f t="shared" ca="1" si="229"/>
        <v>494.06977195875857</v>
      </c>
      <c r="AE494" s="324">
        <f t="shared" ca="1" si="208"/>
        <v>2097.5096906665985</v>
      </c>
      <c r="AG494" s="306">
        <f t="shared" ca="1" si="230"/>
        <v>-10.820016521833626</v>
      </c>
      <c r="AH494" s="304">
        <f t="shared" ca="1" si="231"/>
        <v>-1.9865918945117658</v>
      </c>
    </row>
    <row r="495" spans="1:34" x14ac:dyDescent="0.2">
      <c r="A495" s="347">
        <f t="shared" ca="1" si="209"/>
        <v>0.1</v>
      </c>
      <c r="B495" s="304">
        <f t="shared" ca="1" si="210"/>
        <v>13.099999999999927</v>
      </c>
      <c r="D495" s="306">
        <f t="shared" ca="1" si="211"/>
        <v>-0.84449702804002413</v>
      </c>
      <c r="E495" s="307">
        <f t="shared" ca="1" si="212"/>
        <v>-11.525071594362702</v>
      </c>
      <c r="F495" s="304">
        <f t="shared" ca="1" si="213"/>
        <v>11.555970339419986</v>
      </c>
      <c r="G495" s="306">
        <f t="shared" ca="1" si="214"/>
        <v>24.861040141088846</v>
      </c>
      <c r="H495" s="307">
        <f t="shared" ca="1" si="215"/>
        <v>49.508773600803679</v>
      </c>
      <c r="I495" s="304">
        <f t="shared" ca="1" si="216"/>
        <v>55.400270580137658</v>
      </c>
      <c r="J495" s="306">
        <f t="shared" ca="1" si="217"/>
        <v>496.56009845800764</v>
      </c>
      <c r="K495" s="307">
        <f t="shared" ca="1" si="218"/>
        <v>2102.5181933846507</v>
      </c>
      <c r="L495" s="304">
        <f t="shared" ca="1" si="203"/>
        <v>2160.3598507873826</v>
      </c>
      <c r="M495" s="306">
        <f t="shared" ca="1" si="219"/>
        <v>1.1054268183509672</v>
      </c>
      <c r="N495" s="304">
        <f t="shared" ca="1" si="220"/>
        <v>63.336291252085125</v>
      </c>
      <c r="P495" s="310">
        <f t="shared" ca="1" si="221"/>
        <v>23</v>
      </c>
      <c r="Q495" s="304">
        <f t="shared" ca="1" si="222"/>
        <v>0</v>
      </c>
      <c r="R495" s="306">
        <f t="shared" ca="1" si="223"/>
        <v>0</v>
      </c>
      <c r="S495" s="307">
        <f t="shared" ca="1" si="224"/>
        <v>5.0829999999999913</v>
      </c>
      <c r="T495" s="304">
        <f t="shared" ca="1" si="204"/>
        <v>49.864229999999914</v>
      </c>
      <c r="U495" s="311">
        <f t="shared" ca="1" si="205"/>
        <v>0</v>
      </c>
      <c r="V495" s="306">
        <f t="shared" ca="1" si="206"/>
        <v>0.99194195979288224</v>
      </c>
      <c r="W495" s="304">
        <f t="shared" ca="1" si="207"/>
        <v>9.3478873858018225</v>
      </c>
      <c r="Y495" s="314" t="str">
        <f t="shared" ca="1" si="225"/>
        <v/>
      </c>
      <c r="Z495" s="315" t="str">
        <f t="shared" ca="1" si="226"/>
        <v/>
      </c>
      <c r="AA495" s="316" t="str">
        <f t="shared" ca="1" si="227"/>
        <v/>
      </c>
      <c r="AC495" s="310" t="e">
        <f t="shared" ca="1" si="228"/>
        <v>#N/A</v>
      </c>
      <c r="AD495" s="323" t="e">
        <f t="shared" ca="1" si="229"/>
        <v>#N/A</v>
      </c>
      <c r="AE495" s="324">
        <f t="shared" ca="1" si="208"/>
        <v>2102.5181933846507</v>
      </c>
      <c r="AG495" s="306">
        <f t="shared" ca="1" si="230"/>
        <v>-10.712643769699653</v>
      </c>
      <c r="AH495" s="304">
        <f t="shared" ca="1" si="231"/>
        <v>-1.911712793323896</v>
      </c>
    </row>
    <row r="496" spans="1:34" x14ac:dyDescent="0.2">
      <c r="A496" s="347">
        <f t="shared" ca="1" si="209"/>
        <v>0.1</v>
      </c>
      <c r="B496" s="304">
        <f t="shared" ca="1" si="210"/>
        <v>13.199999999999926</v>
      </c>
      <c r="D496" s="306">
        <f t="shared" ca="1" si="211"/>
        <v>-0.82527895589563538</v>
      </c>
      <c r="E496" s="307">
        <f t="shared" ca="1" si="212"/>
        <v>-11.453477052973987</v>
      </c>
      <c r="F496" s="304">
        <f t="shared" ca="1" si="213"/>
        <v>11.483171250053092</v>
      </c>
      <c r="G496" s="306">
        <f t="shared" ca="1" si="214"/>
        <v>24.778512245499282</v>
      </c>
      <c r="H496" s="307">
        <f t="shared" ca="1" si="215"/>
        <v>48.363425895506282</v>
      </c>
      <c r="I496" s="304">
        <f t="shared" ca="1" si="216"/>
        <v>54.341472499836492</v>
      </c>
      <c r="J496" s="306">
        <f t="shared" ca="1" si="217"/>
        <v>499.04207607733707</v>
      </c>
      <c r="K496" s="307">
        <f t="shared" ca="1" si="218"/>
        <v>2107.4118033594664</v>
      </c>
      <c r="L496" s="304">
        <f t="shared" ca="1" si="203"/>
        <v>2165.6933076117625</v>
      </c>
      <c r="M496" s="306">
        <f t="shared" ca="1" si="219"/>
        <v>1.0973256106972609</v>
      </c>
      <c r="N496" s="304">
        <f t="shared" ca="1" si="220"/>
        <v>62.872126244568669</v>
      </c>
      <c r="P496" s="310">
        <f t="shared" ca="1" si="221"/>
        <v>23</v>
      </c>
      <c r="Q496" s="304">
        <f t="shared" ca="1" si="222"/>
        <v>0</v>
      </c>
      <c r="R496" s="306">
        <f t="shared" ca="1" si="223"/>
        <v>0</v>
      </c>
      <c r="S496" s="307">
        <f t="shared" ca="1" si="224"/>
        <v>5.0829999999999913</v>
      </c>
      <c r="T496" s="304">
        <f t="shared" ca="1" si="204"/>
        <v>49.864229999999914</v>
      </c>
      <c r="U496" s="311">
        <f t="shared" ca="1" si="205"/>
        <v>0</v>
      </c>
      <c r="V496" s="306">
        <f t="shared" ca="1" si="206"/>
        <v>0.99145122621517845</v>
      </c>
      <c r="W496" s="304">
        <f t="shared" ca="1" si="207"/>
        <v>8.9895426554516593</v>
      </c>
      <c r="Y496" s="314" t="str">
        <f t="shared" ca="1" si="225"/>
        <v/>
      </c>
      <c r="Z496" s="315" t="str">
        <f t="shared" ca="1" si="226"/>
        <v/>
      </c>
      <c r="AA496" s="316" t="str">
        <f t="shared" ca="1" si="227"/>
        <v/>
      </c>
      <c r="AC496" s="310" t="e">
        <f t="shared" ca="1" si="228"/>
        <v>#N/A</v>
      </c>
      <c r="AD496" s="323" t="e">
        <f t="shared" ca="1" si="229"/>
        <v>#N/A</v>
      </c>
      <c r="AE496" s="324">
        <f t="shared" ca="1" si="208"/>
        <v>2107.4118033594664</v>
      </c>
      <c r="AG496" s="306">
        <f t="shared" ca="1" si="230"/>
        <v>-10.605812741616154</v>
      </c>
      <c r="AH496" s="304">
        <f t="shared" ca="1" si="231"/>
        <v>-1.8390492594534407</v>
      </c>
    </row>
    <row r="497" spans="1:34" x14ac:dyDescent="0.2">
      <c r="A497" s="347">
        <f t="shared" ca="1" si="209"/>
        <v>0.1</v>
      </c>
      <c r="B497" s="304">
        <f t="shared" ca="1" si="210"/>
        <v>13.299999999999926</v>
      </c>
      <c r="D497" s="306">
        <f t="shared" ca="1" si="211"/>
        <v>-0.80642004102536191</v>
      </c>
      <c r="E497" s="307">
        <f t="shared" ca="1" si="212"/>
        <v>-11.383994253907046</v>
      </c>
      <c r="F497" s="304">
        <f t="shared" ca="1" si="213"/>
        <v>11.412521126182241</v>
      </c>
      <c r="G497" s="306">
        <f t="shared" ca="1" si="214"/>
        <v>24.697870241396746</v>
      </c>
      <c r="H497" s="307">
        <f t="shared" ca="1" si="215"/>
        <v>47.22502647011558</v>
      </c>
      <c r="I497" s="304">
        <f t="shared" ca="1" si="216"/>
        <v>53.293413472623314</v>
      </c>
      <c r="J497" s="306">
        <f t="shared" ca="1" si="217"/>
        <v>501.51589520168187</v>
      </c>
      <c r="K497" s="307">
        <f t="shared" ca="1" si="218"/>
        <v>2112.1912259777473</v>
      </c>
      <c r="L497" s="304">
        <f t="shared" ca="1" si="203"/>
        <v>2170.9145465073757</v>
      </c>
      <c r="M497" s="306">
        <f t="shared" ca="1" si="219"/>
        <v>1.0889320855996012</v>
      </c>
      <c r="N497" s="304">
        <f t="shared" ca="1" si="220"/>
        <v>62.391212681235636</v>
      </c>
      <c r="P497" s="310">
        <f t="shared" ca="1" si="221"/>
        <v>23</v>
      </c>
      <c r="Q497" s="304">
        <f t="shared" ca="1" si="222"/>
        <v>0</v>
      </c>
      <c r="R497" s="306">
        <f t="shared" ca="1" si="223"/>
        <v>0</v>
      </c>
      <c r="S497" s="307">
        <f t="shared" ca="1" si="224"/>
        <v>5.0829999999999913</v>
      </c>
      <c r="T497" s="304">
        <f t="shared" ca="1" si="204"/>
        <v>49.864229999999914</v>
      </c>
      <c r="U497" s="311">
        <f t="shared" ca="1" si="205"/>
        <v>0</v>
      </c>
      <c r="V497" s="306">
        <f t="shared" ca="1" si="206"/>
        <v>0.99097215306432607</v>
      </c>
      <c r="W497" s="304">
        <f t="shared" ca="1" si="207"/>
        <v>8.6419542936836837</v>
      </c>
      <c r="Y497" s="314" t="str">
        <f t="shared" ca="1" si="225"/>
        <v/>
      </c>
      <c r="Z497" s="315" t="str">
        <f t="shared" ca="1" si="226"/>
        <v/>
      </c>
      <c r="AA497" s="316" t="str">
        <f t="shared" ca="1" si="227"/>
        <v/>
      </c>
      <c r="AC497" s="310" t="e">
        <f t="shared" ca="1" si="228"/>
        <v>#N/A</v>
      </c>
      <c r="AD497" s="323" t="e">
        <f t="shared" ca="1" si="229"/>
        <v>#N/A</v>
      </c>
      <c r="AE497" s="324">
        <f t="shared" ca="1" si="208"/>
        <v>2112.1912259777473</v>
      </c>
      <c r="AG497" s="306">
        <f t="shared" ca="1" si="230"/>
        <v>-10.499363103511456</v>
      </c>
      <c r="AH497" s="304">
        <f t="shared" ca="1" si="231"/>
        <v>-1.7685505912751671</v>
      </c>
    </row>
    <row r="498" spans="1:34" x14ac:dyDescent="0.2">
      <c r="A498" s="347">
        <f t="shared" ca="1" si="209"/>
        <v>0.1</v>
      </c>
      <c r="B498" s="304">
        <f t="shared" ca="1" si="210"/>
        <v>13.399999999999926</v>
      </c>
      <c r="D498" s="306">
        <f t="shared" ca="1" si="211"/>
        <v>-0.78791219431326487</v>
      </c>
      <c r="E498" s="307">
        <f t="shared" ca="1" si="212"/>
        <v>-11.316574205341947</v>
      </c>
      <c r="F498" s="304">
        <f t="shared" ca="1" si="213"/>
        <v>11.34397008859589</v>
      </c>
      <c r="G498" s="306">
        <f t="shared" ca="1" si="214"/>
        <v>24.619079021965419</v>
      </c>
      <c r="H498" s="307">
        <f t="shared" ca="1" si="215"/>
        <v>46.093369049581383</v>
      </c>
      <c r="I498" s="304">
        <f t="shared" ca="1" si="216"/>
        <v>52.256078328082417</v>
      </c>
      <c r="J498" s="306">
        <f t="shared" ca="1" si="217"/>
        <v>503.98174266485</v>
      </c>
      <c r="K498" s="307">
        <f t="shared" ca="1" si="218"/>
        <v>2116.8571457537323</v>
      </c>
      <c r="L498" s="304">
        <f t="shared" ca="1" si="203"/>
        <v>2176.0243041997801</v>
      </c>
      <c r="M498" s="306">
        <f t="shared" ca="1" si="219"/>
        <v>1.0802319977340911</v>
      </c>
      <c r="N498" s="304">
        <f t="shared" ca="1" si="220"/>
        <v>61.892734365148925</v>
      </c>
      <c r="P498" s="310">
        <f t="shared" ca="1" si="221"/>
        <v>23</v>
      </c>
      <c r="Q498" s="304">
        <f t="shared" ca="1" si="222"/>
        <v>0</v>
      </c>
      <c r="R498" s="306">
        <f t="shared" ca="1" si="223"/>
        <v>0</v>
      </c>
      <c r="S498" s="307">
        <f t="shared" ca="1" si="224"/>
        <v>5.0829999999999913</v>
      </c>
      <c r="T498" s="304">
        <f t="shared" ca="1" si="204"/>
        <v>49.864229999999914</v>
      </c>
      <c r="U498" s="311">
        <f t="shared" ca="1" si="205"/>
        <v>0</v>
      </c>
      <c r="V498" s="306">
        <f t="shared" ca="1" si="206"/>
        <v>0.99050465679105881</v>
      </c>
      <c r="W498" s="304">
        <f t="shared" ca="1" si="207"/>
        <v>8.3048843342490208</v>
      </c>
      <c r="Y498" s="314" t="str">
        <f t="shared" ca="1" si="225"/>
        <v/>
      </c>
      <c r="Z498" s="315" t="str">
        <f t="shared" ca="1" si="226"/>
        <v/>
      </c>
      <c r="AA498" s="316" t="str">
        <f t="shared" ca="1" si="227"/>
        <v/>
      </c>
      <c r="AC498" s="310" t="e">
        <f t="shared" ca="1" si="228"/>
        <v>#N/A</v>
      </c>
      <c r="AD498" s="323" t="e">
        <f t="shared" ca="1" si="229"/>
        <v>#N/A</v>
      </c>
      <c r="AE498" s="324">
        <f t="shared" ca="1" si="208"/>
        <v>2116.8571457537323</v>
      </c>
      <c r="AG498" s="306">
        <f t="shared" ca="1" si="230"/>
        <v>-10.393128032971527</v>
      </c>
      <c r="AH498" s="304">
        <f t="shared" ca="1" si="231"/>
        <v>-1.7001680687947469</v>
      </c>
    </row>
    <row r="499" spans="1:34" x14ac:dyDescent="0.2">
      <c r="A499" s="347">
        <f t="shared" ca="1" si="209"/>
        <v>0.1</v>
      </c>
      <c r="B499" s="304">
        <f t="shared" ca="1" si="210"/>
        <v>13.499999999999925</v>
      </c>
      <c r="D499" s="306">
        <f t="shared" ca="1" si="211"/>
        <v>-0.76974781857727315</v>
      </c>
      <c r="E499" s="307">
        <f t="shared" ca="1" si="212"/>
        <v>-11.251169681657732</v>
      </c>
      <c r="F499" s="304">
        <f t="shared" ca="1" si="213"/>
        <v>11.277470058025365</v>
      </c>
      <c r="G499" s="306">
        <f t="shared" ca="1" si="214"/>
        <v>24.54210424010769</v>
      </c>
      <c r="H499" s="307">
        <f t="shared" ca="1" si="215"/>
        <v>44.968252081415613</v>
      </c>
      <c r="I499" s="304">
        <f t="shared" ca="1" si="216"/>
        <v>51.229469798057167</v>
      </c>
      <c r="J499" s="306">
        <f t="shared" ca="1" si="217"/>
        <v>506.43980182795366</v>
      </c>
      <c r="K499" s="307">
        <f t="shared" ca="1" si="218"/>
        <v>2121.410226810282</v>
      </c>
      <c r="L499" s="304">
        <f t="shared" ca="1" si="203"/>
        <v>2181.0232972829035</v>
      </c>
      <c r="M499" s="306">
        <f t="shared" ca="1" si="219"/>
        <v>1.0712102635718561</v>
      </c>
      <c r="N499" s="304">
        <f t="shared" ca="1" si="220"/>
        <v>61.375827073763865</v>
      </c>
      <c r="P499" s="310">
        <f t="shared" ca="1" si="221"/>
        <v>23</v>
      </c>
      <c r="Q499" s="304">
        <f t="shared" ca="1" si="222"/>
        <v>0</v>
      </c>
      <c r="R499" s="306">
        <f t="shared" ca="1" si="223"/>
        <v>0</v>
      </c>
      <c r="S499" s="307">
        <f t="shared" ca="1" si="224"/>
        <v>5.0829999999999913</v>
      </c>
      <c r="T499" s="304">
        <f t="shared" ca="1" si="204"/>
        <v>49.864229999999914</v>
      </c>
      <c r="U499" s="311">
        <f t="shared" ca="1" si="205"/>
        <v>0</v>
      </c>
      <c r="V499" s="306">
        <f t="shared" ca="1" si="206"/>
        <v>0.9900486563742632</v>
      </c>
      <c r="W499" s="304">
        <f t="shared" ca="1" si="207"/>
        <v>7.9781041128600423</v>
      </c>
      <c r="Y499" s="314" t="str">
        <f t="shared" ca="1" si="225"/>
        <v/>
      </c>
      <c r="Z499" s="315" t="str">
        <f t="shared" ca="1" si="226"/>
        <v/>
      </c>
      <c r="AA499" s="316" t="str">
        <f t="shared" ca="1" si="227"/>
        <v/>
      </c>
      <c r="AC499" s="310" t="e">
        <f t="shared" ca="1" si="228"/>
        <v>#N/A</v>
      </c>
      <c r="AD499" s="323" t="e">
        <f t="shared" ca="1" si="229"/>
        <v>#N/A</v>
      </c>
      <c r="AE499" s="324">
        <f t="shared" ca="1" si="208"/>
        <v>2121.410226810282</v>
      </c>
      <c r="AG499" s="306">
        <f t="shared" ca="1" si="230"/>
        <v>-10.286933423776814</v>
      </c>
      <c r="AH499" s="304">
        <f t="shared" ca="1" si="231"/>
        <v>-1.6338548759097058</v>
      </c>
    </row>
    <row r="500" spans="1:34" x14ac:dyDescent="0.2">
      <c r="A500" s="347">
        <f t="shared" ca="1" si="209"/>
        <v>0.1</v>
      </c>
      <c r="B500" s="304">
        <f t="shared" ca="1" si="210"/>
        <v>13.599999999999925</v>
      </c>
      <c r="D500" s="306">
        <f t="shared" ca="1" si="211"/>
        <v>-0.75191980683607795</v>
      </c>
      <c r="E500" s="307">
        <f t="shared" ca="1" si="212"/>
        <v>-11.187735139905254</v>
      </c>
      <c r="F500" s="304">
        <f t="shared" ca="1" si="213"/>
        <v>11.212974670290807</v>
      </c>
      <c r="G500" s="306">
        <f t="shared" ca="1" si="214"/>
        <v>24.466912259424081</v>
      </c>
      <c r="H500" s="307">
        <f t="shared" ca="1" si="215"/>
        <v>43.849478567425088</v>
      </c>
      <c r="I500" s="304">
        <f t="shared" ca="1" si="216"/>
        <v>50.213609371817007</v>
      </c>
      <c r="J500" s="306">
        <f t="shared" ca="1" si="217"/>
        <v>508.89025265293026</v>
      </c>
      <c r="K500" s="307">
        <f t="shared" ca="1" si="218"/>
        <v>2125.8511133427241</v>
      </c>
      <c r="L500" s="304">
        <f t="shared" ca="1" si="203"/>
        <v>2185.9122226991785</v>
      </c>
      <c r="M500" s="306">
        <f t="shared" ca="1" si="219"/>
        <v>1.0618509102297813</v>
      </c>
      <c r="N500" s="304">
        <f t="shared" ca="1" si="220"/>
        <v>60.839575628291321</v>
      </c>
      <c r="P500" s="310">
        <f t="shared" ca="1" si="221"/>
        <v>23</v>
      </c>
      <c r="Q500" s="304">
        <f t="shared" ca="1" si="222"/>
        <v>0</v>
      </c>
      <c r="R500" s="306">
        <f t="shared" ca="1" si="223"/>
        <v>0</v>
      </c>
      <c r="S500" s="307">
        <f t="shared" ca="1" si="224"/>
        <v>5.0829999999999913</v>
      </c>
      <c r="T500" s="304">
        <f t="shared" ca="1" si="204"/>
        <v>49.864229999999914</v>
      </c>
      <c r="U500" s="311">
        <f t="shared" ca="1" si="205"/>
        <v>0</v>
      </c>
      <c r="V500" s="306">
        <f t="shared" ca="1" si="206"/>
        <v>0.98960407326211974</v>
      </c>
      <c r="W500" s="304">
        <f t="shared" ca="1" si="207"/>
        <v>7.6613939102018902</v>
      </c>
      <c r="Y500" s="314" t="str">
        <f t="shared" ca="1" si="225"/>
        <v/>
      </c>
      <c r="Z500" s="315" t="str">
        <f t="shared" ca="1" si="226"/>
        <v/>
      </c>
      <c r="AA500" s="316" t="str">
        <f t="shared" ca="1" si="227"/>
        <v/>
      </c>
      <c r="AC500" s="310" t="e">
        <f t="shared" ca="1" si="228"/>
        <v>#N/A</v>
      </c>
      <c r="AD500" s="323" t="e">
        <f t="shared" ca="1" si="229"/>
        <v>#N/A</v>
      </c>
      <c r="AE500" s="324">
        <f t="shared" ca="1" si="208"/>
        <v>2125.8511133427241</v>
      </c>
      <c r="AG500" s="306">
        <f t="shared" ca="1" si="230"/>
        <v>-10.180597033833111</v>
      </c>
      <c r="AH500" s="304">
        <f t="shared" ca="1" si="231"/>
        <v>-1.5695660265315869</v>
      </c>
    </row>
    <row r="501" spans="1:34" x14ac:dyDescent="0.2">
      <c r="A501" s="347">
        <f t="shared" ca="1" si="209"/>
        <v>0.1</v>
      </c>
      <c r="B501" s="304">
        <f t="shared" ca="1" si="210"/>
        <v>13.699999999999925</v>
      </c>
      <c r="D501" s="306">
        <f t="shared" ca="1" si="211"/>
        <v>-0.73442154231894796</v>
      </c>
      <c r="E501" s="307">
        <f t="shared" ca="1" si="212"/>
        <v>-11.126226638568411</v>
      </c>
      <c r="F501" s="304">
        <f t="shared" ca="1" si="213"/>
        <v>11.150439193799116</v>
      </c>
      <c r="G501" s="306">
        <f t="shared" ca="1" si="214"/>
        <v>24.393470105192186</v>
      </c>
      <c r="H501" s="307">
        <f t="shared" ca="1" si="215"/>
        <v>42.736855903568248</v>
      </c>
      <c r="I501" s="304">
        <f t="shared" ca="1" si="216"/>
        <v>49.208538245870109</v>
      </c>
      <c r="J501" s="306">
        <f t="shared" ca="1" si="217"/>
        <v>511.33327177116109</v>
      </c>
      <c r="K501" s="307">
        <f t="shared" ca="1" si="218"/>
        <v>2130.1804300662739</v>
      </c>
      <c r="L501" s="304">
        <f t="shared" ca="1" si="203"/>
        <v>2190.6917582027681</v>
      </c>
      <c r="M501" s="306">
        <f t="shared" ca="1" si="219"/>
        <v>1.0521370220951374</v>
      </c>
      <c r="N501" s="304">
        <f t="shared" ca="1" si="220"/>
        <v>60.283010835514013</v>
      </c>
      <c r="P501" s="310">
        <f t="shared" ca="1" si="221"/>
        <v>23</v>
      </c>
      <c r="Q501" s="304">
        <f t="shared" ca="1" si="222"/>
        <v>0</v>
      </c>
      <c r="R501" s="306">
        <f t="shared" ca="1" si="223"/>
        <v>0</v>
      </c>
      <c r="S501" s="307">
        <f t="shared" ca="1" si="224"/>
        <v>5.0829999999999913</v>
      </c>
      <c r="T501" s="304">
        <f t="shared" ca="1" si="204"/>
        <v>49.864229999999914</v>
      </c>
      <c r="U501" s="311">
        <f t="shared" ca="1" si="205"/>
        <v>0</v>
      </c>
      <c r="V501" s="306">
        <f t="shared" ca="1" si="206"/>
        <v>0.9891708313154165</v>
      </c>
      <c r="W501" s="304">
        <f t="shared" ca="1" si="207"/>
        <v>7.3545426124468314</v>
      </c>
      <c r="Y501" s="314" t="str">
        <f t="shared" ca="1" si="225"/>
        <v/>
      </c>
      <c r="Z501" s="315" t="str">
        <f t="shared" ca="1" si="226"/>
        <v/>
      </c>
      <c r="AA501" s="316" t="str">
        <f t="shared" ca="1" si="227"/>
        <v/>
      </c>
      <c r="AC501" s="310" t="e">
        <f t="shared" ca="1" si="228"/>
        <v>#N/A</v>
      </c>
      <c r="AD501" s="323" t="e">
        <f t="shared" ca="1" si="229"/>
        <v>#N/A</v>
      </c>
      <c r="AE501" s="324">
        <f t="shared" ca="1" si="208"/>
        <v>2130.1804300662739</v>
      </c>
      <c r="AG501" s="306">
        <f t="shared" ca="1" si="230"/>
        <v>-10.073927572421862</v>
      </c>
      <c r="AH501" s="304">
        <f t="shared" ca="1" si="231"/>
        <v>-1.5072582943541026</v>
      </c>
    </row>
    <row r="502" spans="1:34" x14ac:dyDescent="0.2">
      <c r="A502" s="347">
        <f t="shared" ca="1" si="209"/>
        <v>0.1</v>
      </c>
      <c r="B502" s="304">
        <f t="shared" ca="1" si="210"/>
        <v>13.799999999999924</v>
      </c>
      <c r="D502" s="306">
        <f t="shared" ca="1" si="211"/>
        <v>-0.71724690026711857</v>
      </c>
      <c r="E502" s="307">
        <f t="shared" ca="1" si="212"/>
        <v>-11.066601758249735</v>
      </c>
      <c r="F502" s="304">
        <f t="shared" ca="1" si="213"/>
        <v>11.089820449026167</v>
      </c>
      <c r="G502" s="306">
        <f t="shared" ca="1" si="214"/>
        <v>24.321745415165474</v>
      </c>
      <c r="H502" s="307">
        <f t="shared" ca="1" si="215"/>
        <v>41.630195727743278</v>
      </c>
      <c r="I502" s="304">
        <f t="shared" ca="1" si="216"/>
        <v>48.21431837504641</v>
      </c>
      <c r="J502" s="306">
        <f t="shared" ca="1" si="217"/>
        <v>513.76903254717899</v>
      </c>
      <c r="K502" s="307">
        <f t="shared" ca="1" si="218"/>
        <v>2134.3987826478397</v>
      </c>
      <c r="L502" s="304">
        <f t="shared" ca="1" si="203"/>
        <v>2195.3625628066638</v>
      </c>
      <c r="M502" s="306">
        <f t="shared" ca="1" si="219"/>
        <v>1.0420506854105704</v>
      </c>
      <c r="N502" s="304">
        <f t="shared" ca="1" si="220"/>
        <v>59.705106312740355</v>
      </c>
      <c r="P502" s="310">
        <f t="shared" ca="1" si="221"/>
        <v>23</v>
      </c>
      <c r="Q502" s="304">
        <f t="shared" ca="1" si="222"/>
        <v>0</v>
      </c>
      <c r="R502" s="306">
        <f t="shared" ca="1" si="223"/>
        <v>0</v>
      </c>
      <c r="S502" s="307">
        <f t="shared" ca="1" si="224"/>
        <v>5.0829999999999913</v>
      </c>
      <c r="T502" s="304">
        <f t="shared" ca="1" si="204"/>
        <v>49.864229999999914</v>
      </c>
      <c r="U502" s="311">
        <f t="shared" ca="1" si="205"/>
        <v>0</v>
      </c>
      <c r="V502" s="306">
        <f t="shared" ca="1" si="206"/>
        <v>0.98874885675292545</v>
      </c>
      <c r="W502" s="304">
        <f t="shared" ca="1" si="207"/>
        <v>7.0573473883006184</v>
      </c>
      <c r="Y502" s="314" t="str">
        <f t="shared" ca="1" si="225"/>
        <v/>
      </c>
      <c r="Z502" s="315" t="str">
        <f t="shared" ca="1" si="226"/>
        <v/>
      </c>
      <c r="AA502" s="316" t="str">
        <f t="shared" ca="1" si="227"/>
        <v/>
      </c>
      <c r="AC502" s="310" t="e">
        <f t="shared" ca="1" si="228"/>
        <v>#N/A</v>
      </c>
      <c r="AD502" s="323" t="e">
        <f t="shared" ca="1" si="229"/>
        <v>#N/A</v>
      </c>
      <c r="AE502" s="324">
        <f t="shared" ca="1" si="208"/>
        <v>2134.3987826478397</v>
      </c>
      <c r="AG502" s="306">
        <f t="shared" ca="1" si="230"/>
        <v>-9.9667237228970755</v>
      </c>
      <c r="AH502" s="304">
        <f t="shared" ca="1" si="231"/>
        <v>-1.4468901460646948</v>
      </c>
    </row>
    <row r="503" spans="1:34" x14ac:dyDescent="0.2">
      <c r="A503" s="347">
        <f t="shared" ca="1" si="209"/>
        <v>0.1</v>
      </c>
      <c r="B503" s="304">
        <f t="shared" ca="1" si="210"/>
        <v>13.899999999999924</v>
      </c>
      <c r="D503" s="306">
        <f t="shared" ca="1" si="211"/>
        <v>-0.7003902515820406</v>
      </c>
      <c r="E503" s="307">
        <f t="shared" ca="1" si="212"/>
        <v>-11.008819523905675</v>
      </c>
      <c r="F503" s="304">
        <f t="shared" ca="1" si="213"/>
        <v>11.031076729605227</v>
      </c>
      <c r="G503" s="306">
        <f t="shared" ca="1" si="214"/>
        <v>24.251706390007268</v>
      </c>
      <c r="H503" s="307">
        <f t="shared" ca="1" si="215"/>
        <v>40.529313775352712</v>
      </c>
      <c r="I503" s="304">
        <f t="shared" ca="1" si="216"/>
        <v>47.231033631798859</v>
      </c>
      <c r="J503" s="306">
        <f t="shared" ca="1" si="217"/>
        <v>516.19770513743765</v>
      </c>
      <c r="K503" s="307">
        <f t="shared" ca="1" si="218"/>
        <v>2138.5067581229946</v>
      </c>
      <c r="L503" s="304">
        <f t="shared" ca="1" si="203"/>
        <v>2199.925277214405</v>
      </c>
      <c r="M503" s="306">
        <f t="shared" ca="1" si="219"/>
        <v>1.0315729310989301</v>
      </c>
      <c r="N503" s="304">
        <f t="shared" ca="1" si="220"/>
        <v>59.104775211908361</v>
      </c>
      <c r="P503" s="310">
        <f t="shared" ca="1" si="221"/>
        <v>23</v>
      </c>
      <c r="Q503" s="304">
        <f t="shared" ca="1" si="222"/>
        <v>0</v>
      </c>
      <c r="R503" s="306">
        <f t="shared" ca="1" si="223"/>
        <v>0</v>
      </c>
      <c r="S503" s="307">
        <f t="shared" ca="1" si="224"/>
        <v>5.0829999999999913</v>
      </c>
      <c r="T503" s="304">
        <f t="shared" ca="1" si="204"/>
        <v>49.864229999999914</v>
      </c>
      <c r="U503" s="311">
        <f t="shared" ca="1" si="205"/>
        <v>0</v>
      </c>
      <c r="V503" s="306">
        <f t="shared" ca="1" si="206"/>
        <v>0.98833807809874374</v>
      </c>
      <c r="W503" s="304">
        <f t="shared" ca="1" si="207"/>
        <v>6.7696133816644908</v>
      </c>
      <c r="Y503" s="314" t="str">
        <f t="shared" ca="1" si="225"/>
        <v/>
      </c>
      <c r="Z503" s="315" t="str">
        <f t="shared" ca="1" si="226"/>
        <v/>
      </c>
      <c r="AA503" s="316" t="str">
        <f t="shared" ca="1" si="227"/>
        <v/>
      </c>
      <c r="AC503" s="310" t="e">
        <f t="shared" ca="1" si="228"/>
        <v>#N/A</v>
      </c>
      <c r="AD503" s="323" t="e">
        <f t="shared" ca="1" si="229"/>
        <v>#N/A</v>
      </c>
      <c r="AE503" s="324">
        <f t="shared" ca="1" si="208"/>
        <v>2138.5067581229946</v>
      </c>
      <c r="AG503" s="306">
        <f t="shared" ca="1" si="230"/>
        <v>-9.8587730973263898</v>
      </c>
      <c r="AH503" s="304">
        <f t="shared" ca="1" si="231"/>
        <v>-1.388421677808505</v>
      </c>
    </row>
    <row r="504" spans="1:34" x14ac:dyDescent="0.2">
      <c r="A504" s="347">
        <f t="shared" ca="1" si="209"/>
        <v>0.1</v>
      </c>
      <c r="B504" s="304">
        <f t="shared" ca="1" si="210"/>
        <v>13.999999999999924</v>
      </c>
      <c r="D504" s="306">
        <f t="shared" ca="1" si="211"/>
        <v>-0.68384646838155738</v>
      </c>
      <c r="E504" s="307">
        <f t="shared" ca="1" si="212"/>
        <v>-10.952840328242761</v>
      </c>
      <c r="F504" s="304">
        <f t="shared" ca="1" si="213"/>
        <v>10.97416772462946</v>
      </c>
      <c r="G504" s="306">
        <f t="shared" ca="1" si="214"/>
        <v>24.183321743169113</v>
      </c>
      <c r="H504" s="307">
        <f t="shared" ca="1" si="215"/>
        <v>39.434029742528438</v>
      </c>
      <c r="I504" s="304">
        <f t="shared" ca="1" si="216"/>
        <v>46.258791080920538</v>
      </c>
      <c r="J504" s="306">
        <f t="shared" ca="1" si="217"/>
        <v>518.61945654409647</v>
      </c>
      <c r="K504" s="307">
        <f t="shared" ca="1" si="218"/>
        <v>2142.5049252988888</v>
      </c>
      <c r="L504" s="304">
        <f t="shared" ca="1" si="203"/>
        <v>2204.3805242371586</v>
      </c>
      <c r="M504" s="306">
        <f t="shared" ca="1" si="219"/>
        <v>1.0206836762239593</v>
      </c>
      <c r="N504" s="304">
        <f t="shared" ca="1" si="220"/>
        <v>58.480866865530274</v>
      </c>
      <c r="P504" s="310">
        <f t="shared" ca="1" si="221"/>
        <v>23</v>
      </c>
      <c r="Q504" s="304">
        <f t="shared" ca="1" si="222"/>
        <v>0</v>
      </c>
      <c r="R504" s="306">
        <f t="shared" ca="1" si="223"/>
        <v>0</v>
      </c>
      <c r="S504" s="307">
        <f t="shared" ca="1" si="224"/>
        <v>5.0829999999999913</v>
      </c>
      <c r="T504" s="304">
        <f t="shared" ca="1" si="204"/>
        <v>49.864229999999914</v>
      </c>
      <c r="U504" s="311">
        <f t="shared" ca="1" si="205"/>
        <v>0</v>
      </c>
      <c r="V504" s="306">
        <f t="shared" ca="1" si="206"/>
        <v>0.98793842613150396</v>
      </c>
      <c r="W504" s="304">
        <f t="shared" ca="1" si="207"/>
        <v>6.4911534190465856</v>
      </c>
      <c r="Y504" s="314" t="str">
        <f t="shared" ca="1" si="225"/>
        <v/>
      </c>
      <c r="Z504" s="315" t="str">
        <f t="shared" ca="1" si="226"/>
        <v/>
      </c>
      <c r="AA504" s="316" t="str">
        <f t="shared" ca="1" si="227"/>
        <v/>
      </c>
      <c r="AC504" s="310">
        <f t="shared" ca="1" si="228"/>
        <v>13.999999999999924</v>
      </c>
      <c r="AD504" s="323">
        <f t="shared" ca="1" si="229"/>
        <v>518.61945654409647</v>
      </c>
      <c r="AE504" s="324">
        <f t="shared" ca="1" si="208"/>
        <v>2142.5049252988888</v>
      </c>
      <c r="AG504" s="306">
        <f t="shared" ca="1" si="230"/>
        <v>-9.7498511201687279</v>
      </c>
      <c r="AH504" s="304">
        <f t="shared" ca="1" si="231"/>
        <v>-1.3318145547244742</v>
      </c>
    </row>
    <row r="505" spans="1:34" x14ac:dyDescent="0.2">
      <c r="A505" s="347">
        <f t="shared" ca="1" si="209"/>
        <v>0.1</v>
      </c>
      <c r="B505" s="304">
        <f t="shared" ca="1" si="210"/>
        <v>14.099999999999923</v>
      </c>
      <c r="D505" s="306">
        <f t="shared" ca="1" si="211"/>
        <v>-0.66761093152973316</v>
      </c>
      <c r="E505" s="307">
        <f t="shared" ca="1" si="212"/>
        <v>-10.898625855867667</v>
      </c>
      <c r="F505" s="304">
        <f t="shared" ca="1" si="213"/>
        <v>10.919054441758465</v>
      </c>
      <c r="G505" s="306">
        <f t="shared" ca="1" si="214"/>
        <v>24.11656065001614</v>
      </c>
      <c r="H505" s="307">
        <f t="shared" ca="1" si="215"/>
        <v>38.344167156941673</v>
      </c>
      <c r="I505" s="304">
        <f t="shared" ca="1" si="216"/>
        <v>45.297722377017934</v>
      </c>
      <c r="J505" s="306">
        <f t="shared" ca="1" si="217"/>
        <v>521.03445066375571</v>
      </c>
      <c r="K505" s="307">
        <f t="shared" ca="1" si="218"/>
        <v>2146.3938351438624</v>
      </c>
      <c r="L505" s="304">
        <f t="shared" ca="1" si="203"/>
        <v>2208.7289091968846</v>
      </c>
      <c r="M505" s="306">
        <f t="shared" ca="1" si="219"/>
        <v>1.0093616646278909</v>
      </c>
      <c r="N505" s="304">
        <f t="shared" ca="1" si="220"/>
        <v>57.832163385477379</v>
      </c>
      <c r="P505" s="310">
        <f t="shared" ca="1" si="221"/>
        <v>23</v>
      </c>
      <c r="Q505" s="304">
        <f t="shared" ca="1" si="222"/>
        <v>0</v>
      </c>
      <c r="R505" s="306">
        <f t="shared" ca="1" si="223"/>
        <v>0</v>
      </c>
      <c r="S505" s="307">
        <f t="shared" ca="1" si="224"/>
        <v>5.0829999999999913</v>
      </c>
      <c r="T505" s="304">
        <f t="shared" ca="1" si="204"/>
        <v>49.864229999999914</v>
      </c>
      <c r="U505" s="311">
        <f t="shared" ca="1" si="205"/>
        <v>0</v>
      </c>
      <c r="V505" s="306">
        <f t="shared" ca="1" si="206"/>
        <v>0.98754983383536032</v>
      </c>
      <c r="W505" s="304">
        <f t="shared" ca="1" si="207"/>
        <v>6.2217877309023626</v>
      </c>
      <c r="Y505" s="314" t="str">
        <f t="shared" ca="1" si="225"/>
        <v/>
      </c>
      <c r="Z505" s="315" t="str">
        <f t="shared" ca="1" si="226"/>
        <v/>
      </c>
      <c r="AA505" s="316" t="str">
        <f t="shared" ca="1" si="227"/>
        <v/>
      </c>
      <c r="AC505" s="310" t="e">
        <f t="shared" ca="1" si="228"/>
        <v>#N/A</v>
      </c>
      <c r="AD505" s="323" t="e">
        <f t="shared" ca="1" si="229"/>
        <v>#N/A</v>
      </c>
      <c r="AE505" s="324">
        <f t="shared" ca="1" si="208"/>
        <v>2146.3938351438624</v>
      </c>
      <c r="AG505" s="306">
        <f t="shared" ca="1" si="230"/>
        <v>-9.6397198389677783</v>
      </c>
      <c r="AH505" s="304">
        <f t="shared" ca="1" si="231"/>
        <v>-1.2770319533831589</v>
      </c>
    </row>
    <row r="506" spans="1:34" x14ac:dyDescent="0.2">
      <c r="A506" s="347">
        <f t="shared" ca="1" si="209"/>
        <v>0.1</v>
      </c>
      <c r="B506" s="304">
        <f t="shared" ca="1" si="210"/>
        <v>14.199999999999923</v>
      </c>
      <c r="D506" s="306">
        <f t="shared" ca="1" si="211"/>
        <v>-0.65167954020907126</v>
      </c>
      <c r="E506" s="307">
        <f t="shared" ca="1" si="212"/>
        <v>-10.846139007761822</v>
      </c>
      <c r="F506" s="304">
        <f t="shared" ca="1" si="213"/>
        <v>10.865699130696548</v>
      </c>
      <c r="G506" s="306">
        <f t="shared" ca="1" si="214"/>
        <v>24.051392695995233</v>
      </c>
      <c r="H506" s="307">
        <f t="shared" ca="1" si="215"/>
        <v>37.259553256165489</v>
      </c>
      <c r="I506" s="304">
        <f t="shared" ca="1" si="216"/>
        <v>44.347985292073922</v>
      </c>
      <c r="J506" s="306">
        <f t="shared" ca="1" si="217"/>
        <v>523.44284833105633</v>
      </c>
      <c r="K506" s="307">
        <f t="shared" ca="1" si="218"/>
        <v>2150.1740211645179</v>
      </c>
      <c r="L506" s="304">
        <f t="shared" ca="1" si="203"/>
        <v>2212.9710203162899</v>
      </c>
      <c r="M506" s="306">
        <f t="shared" ca="1" si="219"/>
        <v>0.99758440746621824</v>
      </c>
      <c r="N506" s="304">
        <f t="shared" ca="1" si="220"/>
        <v>57.157376255873316</v>
      </c>
      <c r="P506" s="310">
        <f t="shared" ca="1" si="221"/>
        <v>23</v>
      </c>
      <c r="Q506" s="304">
        <f t="shared" ca="1" si="222"/>
        <v>0</v>
      </c>
      <c r="R506" s="306">
        <f t="shared" ca="1" si="223"/>
        <v>0</v>
      </c>
      <c r="S506" s="307">
        <f t="shared" ca="1" si="224"/>
        <v>5.0829999999999913</v>
      </c>
      <c r="T506" s="304">
        <f t="shared" ca="1" si="204"/>
        <v>49.864229999999914</v>
      </c>
      <c r="U506" s="311">
        <f t="shared" ca="1" si="205"/>
        <v>0</v>
      </c>
      <c r="V506" s="306">
        <f t="shared" ca="1" si="206"/>
        <v>0.98717223635265516</v>
      </c>
      <c r="W506" s="304">
        <f t="shared" ca="1" si="207"/>
        <v>5.9613436861256233</v>
      </c>
      <c r="Y506" s="314" t="str">
        <f t="shared" ca="1" si="225"/>
        <v/>
      </c>
      <c r="Z506" s="315" t="str">
        <f t="shared" ca="1" si="226"/>
        <v/>
      </c>
      <c r="AA506" s="316" t="str">
        <f t="shared" ca="1" si="227"/>
        <v/>
      </c>
      <c r="AC506" s="310" t="e">
        <f t="shared" ca="1" si="228"/>
        <v>#N/A</v>
      </c>
      <c r="AD506" s="323" t="e">
        <f t="shared" ca="1" si="229"/>
        <v>#N/A</v>
      </c>
      <c r="AE506" s="324">
        <f t="shared" ca="1" si="208"/>
        <v>2150.1740211645179</v>
      </c>
      <c r="AG506" s="306">
        <f t="shared" ca="1" si="230"/>
        <v>-9.5281266613053255</v>
      </c>
      <c r="AH506" s="304">
        <f t="shared" ca="1" si="231"/>
        <v>-1.2240385069648581</v>
      </c>
    </row>
    <row r="507" spans="1:34" x14ac:dyDescent="0.2">
      <c r="A507" s="347">
        <f t="shared" ca="1" si="209"/>
        <v>0.1</v>
      </c>
      <c r="B507" s="304">
        <f t="shared" ca="1" si="210"/>
        <v>14.299999999999923</v>
      </c>
      <c r="D507" s="306">
        <f t="shared" ca="1" si="211"/>
        <v>-0.63604872360472542</v>
      </c>
      <c r="E507" s="307">
        <f t="shared" ca="1" si="212"/>
        <v>-10.795343825624386</v>
      </c>
      <c r="F507" s="304">
        <f t="shared" ca="1" si="213"/>
        <v>10.814065206583773</v>
      </c>
      <c r="G507" s="306">
        <f t="shared" ca="1" si="214"/>
        <v>23.987787823634761</v>
      </c>
      <c r="H507" s="307">
        <f t="shared" ca="1" si="215"/>
        <v>36.180018873603053</v>
      </c>
      <c r="I507" s="304">
        <f t="shared" ca="1" si="216"/>
        <v>43.409765380222836</v>
      </c>
      <c r="J507" s="306">
        <f t="shared" ca="1" si="217"/>
        <v>525.84480735703778</v>
      </c>
      <c r="K507" s="307">
        <f t="shared" ca="1" si="218"/>
        <v>2153.8459997710061</v>
      </c>
      <c r="L507" s="304">
        <f t="shared" ca="1" si="203"/>
        <v>2217.107429096282</v>
      </c>
      <c r="M507" s="306">
        <f t="shared" ca="1" si="219"/>
        <v>0.985328124579953</v>
      </c>
      <c r="N507" s="304">
        <f t="shared" ca="1" si="220"/>
        <v>56.455142973971896</v>
      </c>
      <c r="P507" s="310">
        <f t="shared" ca="1" si="221"/>
        <v>23</v>
      </c>
      <c r="Q507" s="304">
        <f t="shared" ca="1" si="222"/>
        <v>0</v>
      </c>
      <c r="R507" s="306">
        <f t="shared" ca="1" si="223"/>
        <v>0</v>
      </c>
      <c r="S507" s="307">
        <f t="shared" ca="1" si="224"/>
        <v>5.0829999999999913</v>
      </c>
      <c r="T507" s="304">
        <f t="shared" ca="1" si="204"/>
        <v>49.864229999999914</v>
      </c>
      <c r="U507" s="311">
        <f t="shared" ca="1" si="205"/>
        <v>0</v>
      </c>
      <c r="V507" s="306">
        <f t="shared" ca="1" si="206"/>
        <v>0.986805570938179</v>
      </c>
      <c r="W507" s="304">
        <f t="shared" ca="1" si="207"/>
        <v>5.70965553894992</v>
      </c>
      <c r="Y507" s="314" t="str">
        <f t="shared" ca="1" si="225"/>
        <v/>
      </c>
      <c r="Z507" s="315" t="str">
        <f t="shared" ca="1" si="226"/>
        <v/>
      </c>
      <c r="AA507" s="316" t="str">
        <f t="shared" ca="1" si="227"/>
        <v/>
      </c>
      <c r="AC507" s="310" t="e">
        <f t="shared" ca="1" si="228"/>
        <v>#N/A</v>
      </c>
      <c r="AD507" s="323" t="e">
        <f t="shared" ca="1" si="229"/>
        <v>#N/A</v>
      </c>
      <c r="AE507" s="324">
        <f t="shared" ca="1" si="208"/>
        <v>2153.8459997710061</v>
      </c>
      <c r="AG507" s="306">
        <f t="shared" ca="1" si="230"/>
        <v>-9.4148030190064862</v>
      </c>
      <c r="AH507" s="304">
        <f t="shared" ca="1" si="231"/>
        <v>-1.1728002530249131</v>
      </c>
    </row>
    <row r="508" spans="1:34" x14ac:dyDescent="0.2">
      <c r="A508" s="347">
        <f t="shared" ca="1" si="209"/>
        <v>0.1</v>
      </c>
      <c r="B508" s="304">
        <f t="shared" ca="1" si="210"/>
        <v>14.399999999999922</v>
      </c>
      <c r="D508" s="306">
        <f t="shared" ca="1" si="211"/>
        <v>-0.62071545476826839</v>
      </c>
      <c r="E508" s="307">
        <f t="shared" ca="1" si="212"/>
        <v>-10.746205415595934</v>
      </c>
      <c r="F508" s="304">
        <f t="shared" ca="1" si="213"/>
        <v>10.764117172809462</v>
      </c>
      <c r="G508" s="306">
        <f t="shared" ca="1" si="214"/>
        <v>23.925716278157935</v>
      </c>
      <c r="H508" s="307">
        <f t="shared" ca="1" si="215"/>
        <v>35.105398332043457</v>
      </c>
      <c r="I508" s="304">
        <f t="shared" ca="1" si="216"/>
        <v>42.48327778637556</v>
      </c>
      <c r="J508" s="306">
        <f t="shared" ca="1" si="217"/>
        <v>528.24048256212745</v>
      </c>
      <c r="K508" s="307">
        <f t="shared" ca="1" si="218"/>
        <v>2157.4102706312883</v>
      </c>
      <c r="L508" s="304">
        <f t="shared" ca="1" si="203"/>
        <v>2221.1386906816147</v>
      </c>
      <c r="M508" s="306">
        <f t="shared" ca="1" si="219"/>
        <v>0.9725676879141425</v>
      </c>
      <c r="N508" s="304">
        <f t="shared" ca="1" si="220"/>
        <v>55.724023808276968</v>
      </c>
      <c r="P508" s="310">
        <f t="shared" ca="1" si="221"/>
        <v>23</v>
      </c>
      <c r="Q508" s="304">
        <f t="shared" ca="1" si="222"/>
        <v>0</v>
      </c>
      <c r="R508" s="306">
        <f t="shared" ca="1" si="223"/>
        <v>0</v>
      </c>
      <c r="S508" s="307">
        <f t="shared" ca="1" si="224"/>
        <v>5.0829999999999913</v>
      </c>
      <c r="T508" s="304">
        <f t="shared" ca="1" si="204"/>
        <v>49.864229999999914</v>
      </c>
      <c r="U508" s="311">
        <f t="shared" ca="1" si="205"/>
        <v>0</v>
      </c>
      <c r="V508" s="306">
        <f t="shared" ca="1" si="206"/>
        <v>0.98644977691492386</v>
      </c>
      <c r="W508" s="304">
        <f t="shared" ca="1" si="207"/>
        <v>5.4665641875544813</v>
      </c>
      <c r="Y508" s="314" t="str">
        <f t="shared" ca="1" si="225"/>
        <v/>
      </c>
      <c r="Z508" s="315" t="str">
        <f t="shared" ca="1" si="226"/>
        <v/>
      </c>
      <c r="AA508" s="316" t="str">
        <f t="shared" ca="1" si="227"/>
        <v/>
      </c>
      <c r="AC508" s="310" t="e">
        <f t="shared" ca="1" si="228"/>
        <v>#N/A</v>
      </c>
      <c r="AD508" s="323" t="e">
        <f t="shared" ca="1" si="229"/>
        <v>#N/A</v>
      </c>
      <c r="AE508" s="324">
        <f t="shared" ca="1" si="208"/>
        <v>2157.4102706312883</v>
      </c>
      <c r="AG508" s="306">
        <f t="shared" ca="1" si="230"/>
        <v>-9.2994629629494696</v>
      </c>
      <c r="AH508" s="304">
        <f t="shared" ca="1" si="231"/>
        <v>-1.1232845837005567</v>
      </c>
    </row>
    <row r="509" spans="1:34" x14ac:dyDescent="0.2">
      <c r="A509" s="347">
        <f t="shared" ca="1" si="209"/>
        <v>0.1</v>
      </c>
      <c r="B509" s="304">
        <f t="shared" ca="1" si="210"/>
        <v>14.499999999999922</v>
      </c>
      <c r="D509" s="306">
        <f t="shared" ca="1" si="211"/>
        <v>-0.60567726672271338</v>
      </c>
      <c r="E509" s="307">
        <f t="shared" ca="1" si="212"/>
        <v>-10.698689870838894</v>
      </c>
      <c r="F509" s="304">
        <f t="shared" ca="1" si="213"/>
        <v>10.715820542721657</v>
      </c>
      <c r="G509" s="306">
        <f t="shared" ca="1" si="214"/>
        <v>23.865148551485664</v>
      </c>
      <c r="H509" s="307">
        <f t="shared" ca="1" si="215"/>
        <v>34.035529344959571</v>
      </c>
      <c r="I509" s="304">
        <f t="shared" ca="1" si="216"/>
        <v>41.568769204489108</v>
      </c>
      <c r="J509" s="306">
        <f t="shared" ca="1" si="217"/>
        <v>530.63002580360967</v>
      </c>
      <c r="K509" s="307">
        <f t="shared" ca="1" si="218"/>
        <v>2160.8673170151383</v>
      </c>
      <c r="L509" s="304">
        <f t="shared" ca="1" si="203"/>
        <v>2225.0653442154326</v>
      </c>
      <c r="M509" s="306">
        <f t="shared" ca="1" si="219"/>
        <v>0.95927656851678578</v>
      </c>
      <c r="N509" s="304">
        <f t="shared" ca="1" si="220"/>
        <v>54.962498761803964</v>
      </c>
      <c r="P509" s="310">
        <f t="shared" ca="1" si="221"/>
        <v>23</v>
      </c>
      <c r="Q509" s="304">
        <f t="shared" ca="1" si="222"/>
        <v>0</v>
      </c>
      <c r="R509" s="306">
        <f t="shared" ca="1" si="223"/>
        <v>0</v>
      </c>
      <c r="S509" s="307">
        <f t="shared" ca="1" si="224"/>
        <v>5.0829999999999913</v>
      </c>
      <c r="T509" s="304">
        <f t="shared" ca="1" si="204"/>
        <v>49.864229999999914</v>
      </c>
      <c r="U509" s="311">
        <f t="shared" ca="1" si="205"/>
        <v>0</v>
      </c>
      <c r="V509" s="306">
        <f t="shared" ca="1" si="206"/>
        <v>0.98610479563124986</v>
      </c>
      <c r="W509" s="304">
        <f t="shared" ca="1" si="207"/>
        <v>5.2319169436999218</v>
      </c>
      <c r="Y509" s="314" t="str">
        <f t="shared" ca="1" si="225"/>
        <v/>
      </c>
      <c r="Z509" s="315" t="str">
        <f t="shared" ca="1" si="226"/>
        <v/>
      </c>
      <c r="AA509" s="316" t="str">
        <f t="shared" ca="1" si="227"/>
        <v/>
      </c>
      <c r="AC509" s="310" t="e">
        <f t="shared" ca="1" si="228"/>
        <v>#N/A</v>
      </c>
      <c r="AD509" s="323" t="e">
        <f t="shared" ca="1" si="229"/>
        <v>#N/A</v>
      </c>
      <c r="AE509" s="324">
        <f t="shared" ca="1" si="208"/>
        <v>2160.8673170151383</v>
      </c>
      <c r="AG509" s="306">
        <f t="shared" ca="1" si="230"/>
        <v>-9.1818016949632035</v>
      </c>
      <c r="AH509" s="304">
        <f t="shared" ca="1" si="231"/>
        <v>-1.0754601982204388</v>
      </c>
    </row>
    <row r="510" spans="1:34" x14ac:dyDescent="0.2">
      <c r="A510" s="347">
        <f t="shared" ca="1" si="209"/>
        <v>0.1</v>
      </c>
      <c r="B510" s="304">
        <f t="shared" ca="1" si="210"/>
        <v>14.599999999999921</v>
      </c>
      <c r="D510" s="306">
        <f t="shared" ca="1" si="211"/>
        <v>-0.59093227085969735</v>
      </c>
      <c r="E510" s="307">
        <f t="shared" ca="1" si="212"/>
        <v>-10.652764192409638</v>
      </c>
      <c r="F510" s="304">
        <f t="shared" ca="1" si="213"/>
        <v>10.669141759665036</v>
      </c>
      <c r="G510" s="306">
        <f t="shared" ca="1" si="214"/>
        <v>23.806055324399694</v>
      </c>
      <c r="H510" s="307">
        <f t="shared" ca="1" si="215"/>
        <v>32.970252925718604</v>
      </c>
      <c r="I510" s="304">
        <f t="shared" ca="1" si="216"/>
        <v>40.666519989965145</v>
      </c>
      <c r="J510" s="306">
        <f t="shared" ca="1" si="217"/>
        <v>533.01358599740399</v>
      </c>
      <c r="K510" s="307">
        <f t="shared" ca="1" si="218"/>
        <v>2164.2176061286723</v>
      </c>
      <c r="L510" s="304">
        <f t="shared" ca="1" si="203"/>
        <v>2228.8879131834183</v>
      </c>
      <c r="M510" s="306">
        <f t="shared" ca="1" si="219"/>
        <v>0.94542678904395394</v>
      </c>
      <c r="N510" s="304">
        <f t="shared" ca="1" si="220"/>
        <v>54.168964850823777</v>
      </c>
      <c r="P510" s="310">
        <f t="shared" ca="1" si="221"/>
        <v>23</v>
      </c>
      <c r="Q510" s="304">
        <f t="shared" ca="1" si="222"/>
        <v>0</v>
      </c>
      <c r="R510" s="306">
        <f t="shared" ca="1" si="223"/>
        <v>0</v>
      </c>
      <c r="S510" s="307">
        <f t="shared" ca="1" si="224"/>
        <v>5.0829999999999913</v>
      </c>
      <c r="T510" s="304">
        <f t="shared" ca="1" si="204"/>
        <v>49.864229999999914</v>
      </c>
      <c r="U510" s="311">
        <f t="shared" ca="1" si="205"/>
        <v>0</v>
      </c>
      <c r="V510" s="306">
        <f t="shared" ca="1" si="206"/>
        <v>0.98577057041936422</v>
      </c>
      <c r="W510" s="304">
        <f t="shared" ca="1" si="207"/>
        <v>5.0055673127462539</v>
      </c>
      <c r="Y510" s="314" t="str">
        <f t="shared" ca="1" si="225"/>
        <v/>
      </c>
      <c r="Z510" s="315" t="str">
        <f t="shared" ca="1" si="226"/>
        <v/>
      </c>
      <c r="AA510" s="316" t="str">
        <f t="shared" ca="1" si="227"/>
        <v/>
      </c>
      <c r="AC510" s="310" t="e">
        <f t="shared" ca="1" si="228"/>
        <v>#N/A</v>
      </c>
      <c r="AD510" s="323" t="e">
        <f t="shared" ca="1" si="229"/>
        <v>#N/A</v>
      </c>
      <c r="AE510" s="324">
        <f t="shared" ca="1" si="208"/>
        <v>2164.2176061286723</v>
      </c>
      <c r="AG510" s="306">
        <f t="shared" ca="1" si="230"/>
        <v>-9.0614940473856542</v>
      </c>
      <c r="AH510" s="304">
        <f t="shared" ca="1" si="231"/>
        <v>-1.0292970575840903</v>
      </c>
    </row>
    <row r="511" spans="1:34" x14ac:dyDescent="0.2">
      <c r="A511" s="347">
        <f t="shared" ca="1" si="209"/>
        <v>0.1</v>
      </c>
      <c r="B511" s="304">
        <f t="shared" ca="1" si="210"/>
        <v>14.699999999999921</v>
      </c>
      <c r="D511" s="306">
        <f t="shared" ca="1" si="211"/>
        <v>-0.57647917766253431</v>
      </c>
      <c r="E511" s="307">
        <f t="shared" ca="1" si="212"/>
        <v>-10.608396207811188</v>
      </c>
      <c r="F511" s="304">
        <f t="shared" ca="1" si="213"/>
        <v>10.624048114733915</v>
      </c>
      <c r="G511" s="306">
        <f t="shared" ca="1" si="214"/>
        <v>23.74840740663344</v>
      </c>
      <c r="H511" s="307">
        <f t="shared" ca="1" si="215"/>
        <v>31.909413304937484</v>
      </c>
      <c r="I511" s="304">
        <f t="shared" ca="1" si="216"/>
        <v>39.77684642875505</v>
      </c>
      <c r="J511" s="306">
        <f t="shared" ca="1" si="217"/>
        <v>535.3913091339557</v>
      </c>
      <c r="K511" s="307">
        <f t="shared" ca="1" si="218"/>
        <v>2167.461589440205</v>
      </c>
      <c r="L511" s="304">
        <f t="shared" ca="1" si="203"/>
        <v>2232.6069057482623</v>
      </c>
      <c r="M511" s="306">
        <f t="shared" ca="1" si="219"/>
        <v>0.93098888416491288</v>
      </c>
      <c r="N511" s="304">
        <f t="shared" ca="1" si="220"/>
        <v>53.341733836243385</v>
      </c>
      <c r="P511" s="310">
        <f t="shared" ca="1" si="221"/>
        <v>23</v>
      </c>
      <c r="Q511" s="304">
        <f t="shared" ca="1" si="222"/>
        <v>0</v>
      </c>
      <c r="R511" s="306">
        <f t="shared" ca="1" si="223"/>
        <v>0</v>
      </c>
      <c r="S511" s="307">
        <f t="shared" ca="1" si="224"/>
        <v>5.0829999999999913</v>
      </c>
      <c r="T511" s="304">
        <f t="shared" ca="1" si="204"/>
        <v>49.864229999999914</v>
      </c>
      <c r="U511" s="311">
        <f t="shared" ca="1" si="205"/>
        <v>0</v>
      </c>
      <c r="V511" s="306">
        <f t="shared" ca="1" si="206"/>
        <v>0.98544704655502235</v>
      </c>
      <c r="W511" s="304">
        <f t="shared" ca="1" si="207"/>
        <v>4.7873747834298186</v>
      </c>
      <c r="Y511" s="314" t="str">
        <f t="shared" ca="1" si="225"/>
        <v/>
      </c>
      <c r="Z511" s="315" t="str">
        <f t="shared" ca="1" si="226"/>
        <v/>
      </c>
      <c r="AA511" s="316" t="str">
        <f t="shared" ca="1" si="227"/>
        <v/>
      </c>
      <c r="AC511" s="310" t="e">
        <f t="shared" ca="1" si="228"/>
        <v>#N/A</v>
      </c>
      <c r="AD511" s="323" t="e">
        <f t="shared" ca="1" si="229"/>
        <v>#N/A</v>
      </c>
      <c r="AE511" s="324">
        <f t="shared" ca="1" si="208"/>
        <v>2167.461589440205</v>
      </c>
      <c r="AG511" s="306">
        <f t="shared" ca="1" si="230"/>
        <v>-8.9381929261284476</v>
      </c>
      <c r="AH511" s="304">
        <f t="shared" ca="1" si="231"/>
        <v>-0.98476634128393914</v>
      </c>
    </row>
    <row r="512" spans="1:34" x14ac:dyDescent="0.2">
      <c r="A512" s="347">
        <f t="shared" ca="1" si="209"/>
        <v>0.1</v>
      </c>
      <c r="B512" s="304">
        <f t="shared" ca="1" si="210"/>
        <v>14.799999999999921</v>
      </c>
      <c r="D512" s="306">
        <f t="shared" ca="1" si="211"/>
        <v>-0.56231731976355592</v>
      </c>
      <c r="E512" s="307">
        <f t="shared" ca="1" si="212"/>
        <v>-10.565554486565196</v>
      </c>
      <c r="F512" s="304">
        <f t="shared" ca="1" si="213"/>
        <v>10.580507661576736</v>
      </c>
      <c r="G512" s="306">
        <f t="shared" ca="1" si="214"/>
        <v>23.692175674657083</v>
      </c>
      <c r="H512" s="307">
        <f t="shared" ca="1" si="215"/>
        <v>30.852857856280963</v>
      </c>
      <c r="I512" s="304">
        <f t="shared" ca="1" si="216"/>
        <v>38.900103163085447</v>
      </c>
      <c r="J512" s="306">
        <f t="shared" ca="1" si="217"/>
        <v>537.76333828802024</v>
      </c>
      <c r="K512" s="307">
        <f t="shared" ca="1" si="218"/>
        <v>2170.5997029982659</v>
      </c>
      <c r="L512" s="304">
        <f t="shared" ca="1" si="203"/>
        <v>2236.2228150751962</v>
      </c>
      <c r="M512" s="306">
        <f t="shared" ca="1" si="219"/>
        <v>0.91593187181565927</v>
      </c>
      <c r="N512" s="304">
        <f t="shared" ca="1" si="220"/>
        <v>52.479030576554791</v>
      </c>
      <c r="P512" s="310">
        <f t="shared" ca="1" si="221"/>
        <v>23</v>
      </c>
      <c r="Q512" s="304">
        <f t="shared" ca="1" si="222"/>
        <v>0</v>
      </c>
      <c r="R512" s="306">
        <f t="shared" ca="1" si="223"/>
        <v>0</v>
      </c>
      <c r="S512" s="307">
        <f t="shared" ca="1" si="224"/>
        <v>5.0829999999999913</v>
      </c>
      <c r="T512" s="304">
        <f t="shared" ca="1" si="204"/>
        <v>49.864229999999914</v>
      </c>
      <c r="U512" s="311">
        <f t="shared" ca="1" si="205"/>
        <v>0</v>
      </c>
      <c r="V512" s="306">
        <f t="shared" ca="1" si="206"/>
        <v>0.985134171218356</v>
      </c>
      <c r="W512" s="304">
        <f t="shared" ca="1" si="207"/>
        <v>4.5772046267963917</v>
      </c>
      <c r="Y512" s="314" t="str">
        <f t="shared" ca="1" si="225"/>
        <v/>
      </c>
      <c r="Z512" s="315" t="str">
        <f t="shared" ca="1" si="226"/>
        <v/>
      </c>
      <c r="AA512" s="316" t="str">
        <f t="shared" ca="1" si="227"/>
        <v/>
      </c>
      <c r="AC512" s="310" t="e">
        <f t="shared" ca="1" si="228"/>
        <v>#N/A</v>
      </c>
      <c r="AD512" s="323" t="e">
        <f t="shared" ca="1" si="229"/>
        <v>#N/A</v>
      </c>
      <c r="AE512" s="324">
        <f t="shared" ca="1" si="208"/>
        <v>2170.5997029982659</v>
      </c>
      <c r="AG512" s="306">
        <f t="shared" ca="1" si="230"/>
        <v>-8.8115277398114831</v>
      </c>
      <c r="AH512" s="304">
        <f t="shared" ca="1" si="231"/>
        <v>-0.94184040594724117</v>
      </c>
    </row>
    <row r="513" spans="1:34" x14ac:dyDescent="0.2">
      <c r="A513" s="347">
        <f t="shared" ca="1" si="209"/>
        <v>0.1</v>
      </c>
      <c r="B513" s="304">
        <f t="shared" ca="1" si="210"/>
        <v>14.89999999999992</v>
      </c>
      <c r="D513" s="306">
        <f t="shared" ca="1" si="211"/>
        <v>-0.54844667730866514</v>
      </c>
      <c r="E513" s="307">
        <f t="shared" ca="1" si="212"/>
        <v>-10.524208252087798</v>
      </c>
      <c r="F513" s="304">
        <f t="shared" ca="1" si="213"/>
        <v>10.538489127534545</v>
      </c>
      <c r="G513" s="306">
        <f t="shared" ca="1" si="214"/>
        <v>23.637331006926217</v>
      </c>
      <c r="H513" s="307">
        <f t="shared" ca="1" si="215"/>
        <v>29.800437031072182</v>
      </c>
      <c r="I513" s="304">
        <f t="shared" ca="1" si="216"/>
        <v>38.036685770107439</v>
      </c>
      <c r="J513" s="306">
        <f t="shared" ca="1" si="217"/>
        <v>540.12981362209939</v>
      </c>
      <c r="K513" s="307">
        <f t="shared" ca="1" si="218"/>
        <v>2173.6323677426335</v>
      </c>
      <c r="L513" s="304">
        <f t="shared" ca="1" si="203"/>
        <v>2239.7361196493416</v>
      </c>
      <c r="M513" s="306">
        <f t="shared" ca="1" si="219"/>
        <v>0.90022323890049616</v>
      </c>
      <c r="N513" s="304">
        <f t="shared" ca="1" si="220"/>
        <v>51.578992208595665</v>
      </c>
      <c r="P513" s="310">
        <f t="shared" ca="1" si="221"/>
        <v>23</v>
      </c>
      <c r="Q513" s="304">
        <f t="shared" ca="1" si="222"/>
        <v>0</v>
      </c>
      <c r="R513" s="306">
        <f t="shared" ca="1" si="223"/>
        <v>0</v>
      </c>
      <c r="S513" s="307">
        <f t="shared" ca="1" si="224"/>
        <v>5.0829999999999913</v>
      </c>
      <c r="T513" s="304">
        <f t="shared" ca="1" si="204"/>
        <v>49.864229999999914</v>
      </c>
      <c r="U513" s="311">
        <f t="shared" ca="1" si="205"/>
        <v>0</v>
      </c>
      <c r="V513" s="306">
        <f t="shared" ca="1" si="206"/>
        <v>0.98483189345573174</v>
      </c>
      <c r="W513" s="304">
        <f t="shared" ca="1" si="207"/>
        <v>4.3749277037049161</v>
      </c>
      <c r="Y513" s="314" t="str">
        <f t="shared" ca="1" si="225"/>
        <v/>
      </c>
      <c r="Z513" s="315" t="str">
        <f t="shared" ca="1" si="226"/>
        <v/>
      </c>
      <c r="AA513" s="316" t="str">
        <f t="shared" ca="1" si="227"/>
        <v/>
      </c>
      <c r="AC513" s="310" t="e">
        <f t="shared" ca="1" si="228"/>
        <v>#N/A</v>
      </c>
      <c r="AD513" s="323" t="e">
        <f t="shared" ca="1" si="229"/>
        <v>#N/A</v>
      </c>
      <c r="AE513" s="324">
        <f t="shared" ca="1" si="208"/>
        <v>2173.6323677426335</v>
      </c>
      <c r="AG513" s="306">
        <f t="shared" ca="1" si="230"/>
        <v>-8.6811028459945501</v>
      </c>
      <c r="AH513" s="304">
        <f t="shared" ca="1" si="231"/>
        <v>-0.9004927457793428</v>
      </c>
    </row>
    <row r="514" spans="1:34" x14ac:dyDescent="0.2">
      <c r="A514" s="347">
        <f t="shared" ca="1" si="209"/>
        <v>0.1</v>
      </c>
      <c r="B514" s="304">
        <f t="shared" ca="1" si="210"/>
        <v>14.99999999999992</v>
      </c>
      <c r="D514" s="306">
        <f t="shared" ca="1" si="211"/>
        <v>-0.53486790555378194</v>
      </c>
      <c r="E514" s="307">
        <f t="shared" ca="1" si="212"/>
        <v>-10.484327289097335</v>
      </c>
      <c r="F514" s="304">
        <f t="shared" ca="1" si="213"/>
        <v>10.497961820339343</v>
      </c>
      <c r="G514" s="306">
        <f t="shared" ca="1" si="214"/>
        <v>23.583844216370839</v>
      </c>
      <c r="H514" s="307">
        <f t="shared" ca="1" si="215"/>
        <v>28.752004302162447</v>
      </c>
      <c r="I514" s="304">
        <f t="shared" ca="1" si="216"/>
        <v>37.187033484987964</v>
      </c>
      <c r="J514" s="306">
        <f t="shared" ca="1" si="217"/>
        <v>542.49087238326422</v>
      </c>
      <c r="K514" s="307">
        <f t="shared" ca="1" si="218"/>
        <v>2176.5599898092951</v>
      </c>
      <c r="L514" s="304">
        <f t="shared" ca="1" si="203"/>
        <v>2243.1472835856753</v>
      </c>
      <c r="M514" s="306">
        <f t="shared" ca="1" si="219"/>
        <v>0.88382894579767335</v>
      </c>
      <c r="N514" s="304">
        <f t="shared" ca="1" si="220"/>
        <v>50.639668405703482</v>
      </c>
      <c r="P514" s="310">
        <f t="shared" ca="1" si="221"/>
        <v>23</v>
      </c>
      <c r="Q514" s="304">
        <f t="shared" ca="1" si="222"/>
        <v>0</v>
      </c>
      <c r="R514" s="306">
        <f t="shared" ca="1" si="223"/>
        <v>0</v>
      </c>
      <c r="S514" s="307">
        <f t="shared" ca="1" si="224"/>
        <v>5.0829999999999913</v>
      </c>
      <c r="T514" s="304">
        <f t="shared" ca="1" si="204"/>
        <v>49.864229999999914</v>
      </c>
      <c r="U514" s="311">
        <f t="shared" ca="1" si="205"/>
        <v>0</v>
      </c>
      <c r="V514" s="306">
        <f t="shared" ca="1" si="206"/>
        <v>0.98454016414253487</v>
      </c>
      <c r="W514" s="304">
        <f t="shared" ca="1" si="207"/>
        <v>4.1804202803301092</v>
      </c>
      <c r="Y514" s="314" t="str">
        <f t="shared" ca="1" si="225"/>
        <v/>
      </c>
      <c r="Z514" s="315" t="str">
        <f t="shared" ca="1" si="226"/>
        <v/>
      </c>
      <c r="AA514" s="316" t="str">
        <f t="shared" ca="1" si="227"/>
        <v/>
      </c>
      <c r="AC514" s="310">
        <f t="shared" ca="1" si="228"/>
        <v>14.99999999999992</v>
      </c>
      <c r="AD514" s="323">
        <f t="shared" ca="1" si="229"/>
        <v>542.49087238326422</v>
      </c>
      <c r="AE514" s="324">
        <f t="shared" ca="1" si="208"/>
        <v>2176.5599898092951</v>
      </c>
      <c r="AG514" s="306">
        <f t="shared" ca="1" si="230"/>
        <v>-8.5464960560767249</v>
      </c>
      <c r="AH514" s="304">
        <f t="shared" ca="1" si="231"/>
        <v>-0.86069795469307964</v>
      </c>
    </row>
    <row r="515" spans="1:34" x14ac:dyDescent="0.2">
      <c r="A515" s="347">
        <f t="shared" ca="1" si="209"/>
        <v>0.1</v>
      </c>
      <c r="B515" s="304">
        <f t="shared" ca="1" si="210"/>
        <v>15.09999999999992</v>
      </c>
      <c r="D515" s="306">
        <f t="shared" ca="1" si="211"/>
        <v>-0.52158236455391183</v>
      </c>
      <c r="E515" s="307">
        <f t="shared" ca="1" si="212"/>
        <v>-10.44588184572455</v>
      </c>
      <c r="F515" s="304">
        <f t="shared" ca="1" si="213"/>
        <v>10.458895529540936</v>
      </c>
      <c r="G515" s="306">
        <f t="shared" ca="1" si="214"/>
        <v>23.531685979915448</v>
      </c>
      <c r="H515" s="307">
        <f t="shared" ca="1" si="215"/>
        <v>27.707416117589993</v>
      </c>
      <c r="I515" s="304">
        <f t="shared" ca="1" si="216"/>
        <v>36.351632053741888</v>
      </c>
      <c r="J515" s="306">
        <f t="shared" ca="1" si="217"/>
        <v>544.84664889307851</v>
      </c>
      <c r="K515" s="307">
        <f t="shared" ca="1" si="218"/>
        <v>2179.3829608302826</v>
      </c>
      <c r="L515" s="304">
        <f t="shared" ca="1" si="203"/>
        <v>2246.4567569324336</v>
      </c>
      <c r="M515" s="306">
        <f t="shared" ca="1" si="219"/>
        <v>0.86671345489252716</v>
      </c>
      <c r="N515" s="304">
        <f t="shared" ca="1" si="220"/>
        <v>49.659023012544054</v>
      </c>
      <c r="P515" s="310">
        <f t="shared" ca="1" si="221"/>
        <v>23</v>
      </c>
      <c r="Q515" s="304">
        <f t="shared" ca="1" si="222"/>
        <v>0</v>
      </c>
      <c r="R515" s="306">
        <f t="shared" ca="1" si="223"/>
        <v>0</v>
      </c>
      <c r="S515" s="307">
        <f t="shared" ca="1" si="224"/>
        <v>5.0829999999999913</v>
      </c>
      <c r="T515" s="304">
        <f t="shared" ca="1" si="204"/>
        <v>49.864229999999914</v>
      </c>
      <c r="U515" s="311">
        <f t="shared" ca="1" si="205"/>
        <v>0</v>
      </c>
      <c r="V515" s="306">
        <f t="shared" ca="1" si="206"/>
        <v>0.98425893594677749</v>
      </c>
      <c r="W515" s="304">
        <f t="shared" ca="1" si="207"/>
        <v>3.9935638511026856</v>
      </c>
      <c r="Y515" s="314" t="str">
        <f t="shared" ca="1" si="225"/>
        <v/>
      </c>
      <c r="Z515" s="315" t="str">
        <f t="shared" ca="1" si="226"/>
        <v/>
      </c>
      <c r="AA515" s="316" t="str">
        <f t="shared" ca="1" si="227"/>
        <v/>
      </c>
      <c r="AC515" s="310" t="e">
        <f t="shared" ca="1" si="228"/>
        <v>#N/A</v>
      </c>
      <c r="AD515" s="323" t="e">
        <f t="shared" ca="1" si="229"/>
        <v>#N/A</v>
      </c>
      <c r="AE515" s="324">
        <f t="shared" ca="1" si="208"/>
        <v>2179.3829608302826</v>
      </c>
      <c r="AG515" s="306">
        <f t="shared" ca="1" si="230"/>
        <v>-8.4072572534189547</v>
      </c>
      <c r="AH515" s="304">
        <f t="shared" ca="1" si="231"/>
        <v>-0.82243169001182692</v>
      </c>
    </row>
    <row r="516" spans="1:34" x14ac:dyDescent="0.2">
      <c r="A516" s="347">
        <f t="shared" ca="1" si="209"/>
        <v>0.1</v>
      </c>
      <c r="B516" s="304">
        <f t="shared" ca="1" si="210"/>
        <v>15.199999999999919</v>
      </c>
      <c r="D516" s="306">
        <f t="shared" ca="1" si="211"/>
        <v>-0.50859215072249064</v>
      </c>
      <c r="E516" s="307">
        <f t="shared" ca="1" si="212"/>
        <v>-10.40884252944033</v>
      </c>
      <c r="F516" s="304">
        <f t="shared" ca="1" si="213"/>
        <v>10.421260421775395</v>
      </c>
      <c r="G516" s="306">
        <f t="shared" ca="1" si="214"/>
        <v>23.480826764843197</v>
      </c>
      <c r="H516" s="307">
        <f t="shared" ca="1" si="215"/>
        <v>26.666531864645961</v>
      </c>
      <c r="I516" s="304">
        <f t="shared" ca="1" si="216"/>
        <v>35.531016693147905</v>
      </c>
      <c r="J516" s="306">
        <f t="shared" ca="1" si="217"/>
        <v>547.19727453031646</v>
      </c>
      <c r="K516" s="307">
        <f t="shared" ca="1" si="218"/>
        <v>2182.1016582293946</v>
      </c>
      <c r="L516" s="304">
        <f t="shared" ref="L516:L579" ca="1" si="232">SQRT(pos_x^2+pos_z^2)</f>
        <v>2249.6649759688398</v>
      </c>
      <c r="M516" s="306">
        <f t="shared" ca="1" si="219"/>
        <v>0.84883978934085436</v>
      </c>
      <c r="N516" s="304">
        <f t="shared" ca="1" si="220"/>
        <v>48.634937412004838</v>
      </c>
      <c r="P516" s="310">
        <f t="shared" ca="1" si="221"/>
        <v>23</v>
      </c>
      <c r="Q516" s="304">
        <f t="shared" ca="1" si="222"/>
        <v>0</v>
      </c>
      <c r="R516" s="306">
        <f t="shared" ca="1" si="223"/>
        <v>0</v>
      </c>
      <c r="S516" s="307">
        <f t="shared" ca="1" si="224"/>
        <v>5.0829999999999913</v>
      </c>
      <c r="T516" s="304">
        <f t="shared" ref="T516:T579" ca="1" si="233">m*g</f>
        <v>49.864229999999914</v>
      </c>
      <c r="U516" s="311">
        <f t="shared" ref="U516:U579" ca="1" si="234">IF(pos_xz&lt;L_rampe,Poids*COS(Beta),0)</f>
        <v>0</v>
      </c>
      <c r="V516" s="306">
        <f t="shared" ref="V516:V579" ca="1" si="235">Rho_moyen*(20000-Alt_rampe-pos_z)/(20000+Alt_rampe+pos_z)</f>
        <v>0.98398816329341654</v>
      </c>
      <c r="W516" s="304">
        <f t="shared" ref="W516:W579" ca="1" si="236">1/2*Rho*Sref*Cx*vit_xz^2</f>
        <v>3.8142449685328135</v>
      </c>
      <c r="Y516" s="314" t="str">
        <f t="shared" ca="1" si="225"/>
        <v/>
      </c>
      <c r="Z516" s="315" t="str">
        <f t="shared" ca="1" si="226"/>
        <v/>
      </c>
      <c r="AA516" s="316" t="str">
        <f t="shared" ca="1" si="227"/>
        <v/>
      </c>
      <c r="AC516" s="310" t="e">
        <f t="shared" ca="1" si="228"/>
        <v>#N/A</v>
      </c>
      <c r="AD516" s="323" t="e">
        <f t="shared" ca="1" si="229"/>
        <v>#N/A</v>
      </c>
      <c r="AE516" s="324">
        <f t="shared" ref="AE516:AE579" ca="1" si="237">IF(t&lt;T_para, pos_z, NA())</f>
        <v>2182.1016582293946</v>
      </c>
      <c r="AG516" s="306">
        <f t="shared" ca="1" si="230"/>
        <v>-8.2629071950403308</v>
      </c>
      <c r="AH516" s="304">
        <f t="shared" ca="1" si="231"/>
        <v>-0.78567063763578449</v>
      </c>
    </row>
    <row r="517" spans="1:34" x14ac:dyDescent="0.2">
      <c r="A517" s="347">
        <f t="shared" ref="A517:A580" ca="1" si="238">IF(B516+0.01&lt;=T_ini+ROUNDUP(Temps_fin_propu,0), 0.01, IF(K516&gt;0, 0.1, 0.0001))</f>
        <v>0.1</v>
      </c>
      <c r="B517" s="304">
        <f t="shared" ref="B517:B580" ca="1" si="239">B516+pas</f>
        <v>15.299999999999919</v>
      </c>
      <c r="D517" s="306">
        <f t="shared" ref="D517:D580" ca="1" si="240">IF(AND(L516&lt;L_rampe,Poussee&lt;Poids*SIN(M516)),0,(-W516+Poussee)/m*COS(M516)-U516/m*SIN(M516))</f>
        <v>-0.49590012993249455</v>
      </c>
      <c r="E517" s="307">
        <f t="shared" ref="E517:E580" ca="1" si="241">IF(AND(L516&lt;L_rampe,Poussee&lt;Poids*SIN(M516)),0,(-W516+Poussee)/m*SIN(M516)+U516/m*COS(M516)-Poids/m)</f>
        <v>-10.373180195866295</v>
      </c>
      <c r="F517" s="304">
        <f t="shared" ref="F517:F580" ca="1" si="242">SQRT(acc_x^2+acc_z^2)</f>
        <v>10.385026928938595</v>
      </c>
      <c r="G517" s="306">
        <f t="shared" ref="G517:G580" ca="1" si="243">G516+acc_x*pas</f>
        <v>23.431236751849948</v>
      </c>
      <c r="H517" s="307">
        <f t="shared" ref="H517:H580" ca="1" si="244">H516+acc_z*pas</f>
        <v>25.629213845059333</v>
      </c>
      <c r="I517" s="304">
        <f t="shared" ref="I517:I580" ca="1" si="245">SQRT(vit_x^2+vit_z^2)</f>
        <v>34.725775125071358</v>
      </c>
      <c r="J517" s="306">
        <f t="shared" ref="J517:J580" ca="1" si="246">J516+0.5*(vit_x+G516)*pas*(K516&gt;=0)</f>
        <v>549.5428777061511</v>
      </c>
      <c r="K517" s="307">
        <f t="shared" ref="K517:K580" ca="1" si="247">K516+0.5*(vit_z+H516)*pas</f>
        <v>2184.71644551488</v>
      </c>
      <c r="L517" s="304">
        <f t="shared" ca="1" si="232"/>
        <v>2252.7723634980807</v>
      </c>
      <c r="M517" s="306">
        <f t="shared" ref="M517:M580" ca="1" si="248">IF(AND(L516&gt;L_rampe,G517&gt;0),ATAN2(G517,H517),$M$4)</f>
        <v>0.83016962934954541</v>
      </c>
      <c r="N517" s="304">
        <f t="shared" ref="N517:N580" ca="1" si="249">DEGREES(Beta)</f>
        <v>47.565216041668826</v>
      </c>
      <c r="P517" s="310">
        <f t="shared" ref="P517:P580" ca="1" si="250">MATCH(t-pas/2-T_ini,CdP_t)</f>
        <v>23</v>
      </c>
      <c r="Q517" s="304">
        <f t="shared" ref="Q517:Q580" ca="1" si="251">(INDEX(CdP,2,i_P+1)-INDEX(CdP,2,i_P+0))/(INDEX(CdP,1,i_P+1)-INDEX(CdP,1,i_P+0))*(t-pas/2-T_ini-INDEX(CdP,1,i_P+0))+INDEX(CdP,2,i_P+0)</f>
        <v>0</v>
      </c>
      <c r="R517" s="306">
        <f t="shared" ref="R517:R580" ca="1" si="252">Poussee/(g*ISP)</f>
        <v>0</v>
      </c>
      <c r="S517" s="307">
        <f t="shared" ref="S517:S580" ca="1" si="253">S516-Débit*pas</f>
        <v>5.0829999999999913</v>
      </c>
      <c r="T517" s="304">
        <f t="shared" ca="1" si="233"/>
        <v>49.864229999999914</v>
      </c>
      <c r="U517" s="311">
        <f t="shared" ca="1" si="234"/>
        <v>0</v>
      </c>
      <c r="V517" s="306">
        <f t="shared" ca="1" si="235"/>
        <v>0.98372780232926571</v>
      </c>
      <c r="W517" s="304">
        <f t="shared" ca="1" si="236"/>
        <v>3.6423550793659438</v>
      </c>
      <c r="Y517" s="314" t="str">
        <f t="shared" ref="Y517:Y580" ca="1" si="254">IF(AND(pos_z&lt;=0,K516&gt;0),"Impact balistique","") &amp; IF(AND(H518&lt;0,vit_z&gt;=0),"Apogée","") &amp; IF(AND(Poussee=0,Q516&gt;0),"Fin de propulsion","") &amp; IF(AND(L518&gt;L_rampe,pos_xz&lt;=L_rampe),"Sortie de rampe","")</f>
        <v/>
      </c>
      <c r="Z517" s="315" t="str">
        <f t="shared" ref="Z517:Z580" ca="1" si="255">IF(ABS(t-T_para)&lt;pas/2,"Para","")</f>
        <v/>
      </c>
      <c r="AA517" s="316" t="str">
        <f t="shared" ref="AA517:AA580" ca="1" si="256">IF(ABS(t-T_satellite)&lt;pas/2,"Satellite","")</f>
        <v/>
      </c>
      <c r="AC517" s="310" t="e">
        <f t="shared" ref="AC517:AC580" ca="1" si="257">IF(ABS(t-ROUND(t,0))&lt;0.001,t,NA())</f>
        <v>#N/A</v>
      </c>
      <c r="AD517" s="323" t="e">
        <f t="shared" ref="AD517:AD580" ca="1" si="258">IF(ABS(t-ROUND(t,0))&lt;0.001,pos_x,NA())</f>
        <v>#N/A</v>
      </c>
      <c r="AE517" s="324">
        <f t="shared" ca="1" si="237"/>
        <v>2184.71644551488</v>
      </c>
      <c r="AG517" s="306">
        <f t="shared" ref="AG517:AG580" ca="1" si="259">IF(AND(L516&lt;L_rampe,Poussee&lt;Poids*SIN(M516)),0,(-W516+Poussee)/m-Poids*SIN(M516)/m)</f>
        <v>-8.1129365861906724</v>
      </c>
      <c r="AH517" s="304">
        <f t="shared" ref="AH517:AH580" ca="1" si="260">IF(AND(L516&lt;L_rampe,Poussee&lt;Poids*SIN(M516)), g*SIN(M516), (-W516+Poussee)/m)</f>
        <v>-0.75039247856242774</v>
      </c>
    </row>
    <row r="518" spans="1:34" x14ac:dyDescent="0.2">
      <c r="A518" s="347">
        <f t="shared" ca="1" si="238"/>
        <v>0.1</v>
      </c>
      <c r="B518" s="304">
        <f t="shared" ca="1" si="239"/>
        <v>15.399999999999919</v>
      </c>
      <c r="D518" s="306">
        <f t="shared" ca="1" si="240"/>
        <v>-0.48350997169730914</v>
      </c>
      <c r="E518" s="307">
        <f t="shared" ca="1" si="241"/>
        <v>-10.338865829494491</v>
      </c>
      <c r="F518" s="304">
        <f t="shared" ca="1" si="242"/>
        <v>10.350165628289218</v>
      </c>
      <c r="G518" s="306">
        <f t="shared" ca="1" si="243"/>
        <v>23.382885754680217</v>
      </c>
      <c r="H518" s="307">
        <f t="shared" ca="1" si="244"/>
        <v>24.595327262109883</v>
      </c>
      <c r="I518" s="304">
        <f t="shared" ca="1" si="245"/>
        <v>33.936550640079979</v>
      </c>
      <c r="J518" s="306">
        <f t="shared" ca="1" si="246"/>
        <v>551.88358383147761</v>
      </c>
      <c r="K518" s="307">
        <f t="shared" ca="1" si="247"/>
        <v>2187.2276725702386</v>
      </c>
      <c r="L518" s="304">
        <f t="shared" ca="1" si="232"/>
        <v>2255.7793291365401</v>
      </c>
      <c r="M518" s="306">
        <f t="shared" ca="1" si="248"/>
        <v>0.81066345443217003</v>
      </c>
      <c r="N518" s="304">
        <f t="shared" ca="1" si="249"/>
        <v>46.447594544459271</v>
      </c>
      <c r="P518" s="310">
        <f t="shared" ca="1" si="250"/>
        <v>23</v>
      </c>
      <c r="Q518" s="304">
        <f t="shared" ca="1" si="251"/>
        <v>0</v>
      </c>
      <c r="R518" s="306">
        <f t="shared" ca="1" si="252"/>
        <v>0</v>
      </c>
      <c r="S518" s="307">
        <f t="shared" ca="1" si="253"/>
        <v>5.0829999999999913</v>
      </c>
      <c r="T518" s="304">
        <f t="shared" ca="1" si="233"/>
        <v>49.864229999999914</v>
      </c>
      <c r="U518" s="311">
        <f t="shared" ca="1" si="234"/>
        <v>0</v>
      </c>
      <c r="V518" s="306">
        <f t="shared" ca="1" si="235"/>
        <v>0.98347781088837971</v>
      </c>
      <c r="W518" s="304">
        <f t="shared" ca="1" si="236"/>
        <v>3.4777903665201375</v>
      </c>
      <c r="Y518" s="314" t="str">
        <f t="shared" ca="1" si="254"/>
        <v/>
      </c>
      <c r="Z518" s="315" t="str">
        <f t="shared" ca="1" si="255"/>
        <v/>
      </c>
      <c r="AA518" s="316" t="str">
        <f t="shared" ca="1" si="256"/>
        <v/>
      </c>
      <c r="AC518" s="310" t="e">
        <f t="shared" ca="1" si="257"/>
        <v>#N/A</v>
      </c>
      <c r="AD518" s="323" t="e">
        <f t="shared" ca="1" si="258"/>
        <v>#N/A</v>
      </c>
      <c r="AE518" s="324">
        <f t="shared" ca="1" si="237"/>
        <v>2187.2276725702386</v>
      </c>
      <c r="AG518" s="306">
        <f t="shared" ca="1" si="259"/>
        <v>-7.9568055394888226</v>
      </c>
      <c r="AH518" s="304">
        <f t="shared" ca="1" si="260"/>
        <v>-0.71657585665275425</v>
      </c>
    </row>
    <row r="519" spans="1:34" x14ac:dyDescent="0.2">
      <c r="A519" s="347">
        <f t="shared" ca="1" si="238"/>
        <v>0.1</v>
      </c>
      <c r="B519" s="304">
        <f t="shared" ca="1" si="239"/>
        <v>15.499999999999918</v>
      </c>
      <c r="D519" s="306">
        <f t="shared" ca="1" si="240"/>
        <v>-0.47142618380394419</v>
      </c>
      <c r="E519" s="307">
        <f t="shared" ca="1" si="241"/>
        <v>-10.305870415321376</v>
      </c>
      <c r="F519" s="304">
        <f t="shared" ca="1" si="242"/>
        <v>10.316647113484708</v>
      </c>
      <c r="G519" s="306">
        <f t="shared" ca="1" si="243"/>
        <v>23.335743136299822</v>
      </c>
      <c r="H519" s="307">
        <f t="shared" ca="1" si="244"/>
        <v>23.564740220577747</v>
      </c>
      <c r="I519" s="304">
        <f t="shared" ca="1" si="245"/>
        <v>33.164045130030189</v>
      </c>
      <c r="J519" s="306">
        <f t="shared" ca="1" si="246"/>
        <v>554.21951527602664</v>
      </c>
      <c r="K519" s="307">
        <f t="shared" ca="1" si="247"/>
        <v>2189.6356759443729</v>
      </c>
      <c r="L519" s="304">
        <f t="shared" ca="1" si="232"/>
        <v>2258.6862696003545</v>
      </c>
      <c r="M519" s="306">
        <f t="shared" ca="1" si="248"/>
        <v>0.79028074131891868</v>
      </c>
      <c r="N519" s="304">
        <f t="shared" ca="1" si="249"/>
        <v>45.27975110804401</v>
      </c>
      <c r="P519" s="310">
        <f t="shared" ca="1" si="250"/>
        <v>23</v>
      </c>
      <c r="Q519" s="304">
        <f t="shared" ca="1" si="251"/>
        <v>0</v>
      </c>
      <c r="R519" s="306">
        <f t="shared" ca="1" si="252"/>
        <v>0</v>
      </c>
      <c r="S519" s="307">
        <f t="shared" ca="1" si="253"/>
        <v>5.0829999999999913</v>
      </c>
      <c r="T519" s="304">
        <f t="shared" ca="1" si="233"/>
        <v>49.864229999999914</v>
      </c>
      <c r="U519" s="311">
        <f t="shared" ca="1" si="234"/>
        <v>0</v>
      </c>
      <c r="V519" s="306">
        <f t="shared" ca="1" si="235"/>
        <v>0.98323814845777546</v>
      </c>
      <c r="W519" s="304">
        <f t="shared" ca="1" si="236"/>
        <v>3.3204515962504764</v>
      </c>
      <c r="Y519" s="314" t="str">
        <f t="shared" ca="1" si="254"/>
        <v/>
      </c>
      <c r="Z519" s="315" t="str">
        <f t="shared" ca="1" si="255"/>
        <v/>
      </c>
      <c r="AA519" s="316" t="str">
        <f t="shared" ca="1" si="256"/>
        <v/>
      </c>
      <c r="AC519" s="310" t="e">
        <f t="shared" ca="1" si="257"/>
        <v>#N/A</v>
      </c>
      <c r="AD519" s="323" t="e">
        <f t="shared" ca="1" si="258"/>
        <v>#N/A</v>
      </c>
      <c r="AE519" s="324">
        <f t="shared" ca="1" si="237"/>
        <v>2189.6356759443729</v>
      </c>
      <c r="AG519" s="306">
        <f t="shared" ca="1" si="259"/>
        <v>-7.7939435562728328</v>
      </c>
      <c r="AH519" s="304">
        <f t="shared" ca="1" si="260"/>
        <v>-0.68420034753494852</v>
      </c>
    </row>
    <row r="520" spans="1:34" x14ac:dyDescent="0.2">
      <c r="A520" s="347">
        <f t="shared" ca="1" si="238"/>
        <v>0.1</v>
      </c>
      <c r="B520" s="304">
        <f t="shared" ca="1" si="239"/>
        <v>15.599999999999918</v>
      </c>
      <c r="D520" s="306">
        <f t="shared" ca="1" si="240"/>
        <v>-0.45965414656932152</v>
      </c>
      <c r="E520" s="307">
        <f t="shared" ca="1" si="241"/>
        <v>-10.274164800407334</v>
      </c>
      <c r="F520" s="304">
        <f t="shared" ca="1" si="242"/>
        <v>10.284441855559662</v>
      </c>
      <c r="G520" s="306">
        <f t="shared" ca="1" si="243"/>
        <v>23.289777721642889</v>
      </c>
      <c r="H520" s="307">
        <f t="shared" ca="1" si="244"/>
        <v>22.537323740537012</v>
      </c>
      <c r="I520" s="304">
        <f t="shared" ca="1" si="245"/>
        <v>32.409022010997283</v>
      </c>
      <c r="J520" s="306">
        <f t="shared" ca="1" si="246"/>
        <v>556.55079131892376</v>
      </c>
      <c r="K520" s="307">
        <f t="shared" ca="1" si="247"/>
        <v>2191.9407791424287</v>
      </c>
      <c r="L520" s="304">
        <f t="shared" ca="1" si="232"/>
        <v>2261.4935689904664</v>
      </c>
      <c r="M520" s="306">
        <f t="shared" ca="1" si="248"/>
        <v>0.76898022841468383</v>
      </c>
      <c r="N520" s="304">
        <f t="shared" ca="1" si="249"/>
        <v>44.059321617167406</v>
      </c>
      <c r="P520" s="310">
        <f t="shared" ca="1" si="250"/>
        <v>23</v>
      </c>
      <c r="Q520" s="304">
        <f t="shared" ca="1" si="251"/>
        <v>0</v>
      </c>
      <c r="R520" s="306">
        <f t="shared" ca="1" si="252"/>
        <v>0</v>
      </c>
      <c r="S520" s="307">
        <f t="shared" ca="1" si="253"/>
        <v>5.0829999999999913</v>
      </c>
      <c r="T520" s="304">
        <f t="shared" ca="1" si="233"/>
        <v>49.864229999999914</v>
      </c>
      <c r="U520" s="311">
        <f t="shared" ca="1" si="234"/>
        <v>0</v>
      </c>
      <c r="V520" s="306">
        <f t="shared" ca="1" si="235"/>
        <v>0.98300877614335125</v>
      </c>
      <c r="W520" s="304">
        <f t="shared" ca="1" si="236"/>
        <v>3.1702439699792504</v>
      </c>
      <c r="Y520" s="314" t="str">
        <f t="shared" ca="1" si="254"/>
        <v/>
      </c>
      <c r="Z520" s="315" t="str">
        <f t="shared" ca="1" si="255"/>
        <v/>
      </c>
      <c r="AA520" s="316" t="str">
        <f t="shared" ca="1" si="256"/>
        <v/>
      </c>
      <c r="AC520" s="310" t="e">
        <f t="shared" ca="1" si="257"/>
        <v>#N/A</v>
      </c>
      <c r="AD520" s="323" t="e">
        <f t="shared" ca="1" si="258"/>
        <v>#N/A</v>
      </c>
      <c r="AE520" s="324">
        <f t="shared" ca="1" si="237"/>
        <v>2191.9407791424287</v>
      </c>
      <c r="AG520" s="306">
        <f t="shared" ca="1" si="259"/>
        <v>-7.623750197226002</v>
      </c>
      <c r="AH520" s="304">
        <f t="shared" ca="1" si="260"/>
        <v>-0.65324642853639225</v>
      </c>
    </row>
    <row r="521" spans="1:34" x14ac:dyDescent="0.2">
      <c r="A521" s="347">
        <f t="shared" ca="1" si="238"/>
        <v>0.1</v>
      </c>
      <c r="B521" s="304">
        <f t="shared" ca="1" si="239"/>
        <v>15.699999999999918</v>
      </c>
      <c r="D521" s="306">
        <f t="shared" ca="1" si="240"/>
        <v>-0.44820014564797866</v>
      </c>
      <c r="E521" s="307">
        <f t="shared" ca="1" si="241"/>
        <v>-10.243719544417868</v>
      </c>
      <c r="F521" s="304">
        <f t="shared" ca="1" si="242"/>
        <v>10.253520052901223</v>
      </c>
      <c r="G521" s="306">
        <f t="shared" ca="1" si="243"/>
        <v>23.24495770707809</v>
      </c>
      <c r="H521" s="307">
        <f t="shared" ca="1" si="244"/>
        <v>21.512951786095226</v>
      </c>
      <c r="I521" s="304">
        <f t="shared" ca="1" si="245"/>
        <v>31.672308936272817</v>
      </c>
      <c r="J521" s="306">
        <f t="shared" ca="1" si="246"/>
        <v>558.87752809035976</v>
      </c>
      <c r="K521" s="307">
        <f t="shared" ca="1" si="247"/>
        <v>2194.1432929187604</v>
      </c>
      <c r="L521" s="304">
        <f t="shared" ca="1" si="232"/>
        <v>2264.2015990774257</v>
      </c>
      <c r="M521" s="306">
        <f t="shared" ca="1" si="248"/>
        <v>0.74672025881724147</v>
      </c>
      <c r="N521" s="304">
        <f t="shared" ca="1" si="249"/>
        <v>42.78391930714443</v>
      </c>
      <c r="P521" s="310">
        <f t="shared" ca="1" si="250"/>
        <v>23</v>
      </c>
      <c r="Q521" s="304">
        <f t="shared" ca="1" si="251"/>
        <v>0</v>
      </c>
      <c r="R521" s="306">
        <f t="shared" ca="1" si="252"/>
        <v>0</v>
      </c>
      <c r="S521" s="307">
        <f t="shared" ca="1" si="253"/>
        <v>5.0829999999999913</v>
      </c>
      <c r="T521" s="304">
        <f t="shared" ca="1" si="233"/>
        <v>49.864229999999914</v>
      </c>
      <c r="U521" s="311">
        <f t="shared" ca="1" si="234"/>
        <v>0</v>
      </c>
      <c r="V521" s="306">
        <f t="shared" ca="1" si="235"/>
        <v>0.98278965663585161</v>
      </c>
      <c r="W521" s="304">
        <f t="shared" ca="1" si="236"/>
        <v>3.0270769802203987</v>
      </c>
      <c r="Y521" s="314" t="str">
        <f t="shared" ca="1" si="254"/>
        <v/>
      </c>
      <c r="Z521" s="315" t="str">
        <f t="shared" ca="1" si="255"/>
        <v/>
      </c>
      <c r="AA521" s="316" t="str">
        <f t="shared" ca="1" si="256"/>
        <v/>
      </c>
      <c r="AC521" s="310" t="e">
        <f t="shared" ca="1" si="257"/>
        <v>#N/A</v>
      </c>
      <c r="AD521" s="323" t="e">
        <f t="shared" ca="1" si="258"/>
        <v>#N/A</v>
      </c>
      <c r="AE521" s="324">
        <f t="shared" ca="1" si="237"/>
        <v>2194.1432929187604</v>
      </c>
      <c r="AG521" s="306">
        <f t="shared" ca="1" si="259"/>
        <v>-7.4455966417277191</v>
      </c>
      <c r="AH521" s="304">
        <f t="shared" ca="1" si="260"/>
        <v>-0.62369544953359346</v>
      </c>
    </row>
    <row r="522" spans="1:34" x14ac:dyDescent="0.2">
      <c r="A522" s="347">
        <f t="shared" ca="1" si="238"/>
        <v>0.1</v>
      </c>
      <c r="B522" s="304">
        <f t="shared" ca="1" si="239"/>
        <v>15.799999999999917</v>
      </c>
      <c r="D522" s="306">
        <f t="shared" ca="1" si="240"/>
        <v>-0.43707140203354949</v>
      </c>
      <c r="E522" s="307">
        <f t="shared" ca="1" si="241"/>
        <v>-10.214504758301439</v>
      </c>
      <c r="F522" s="304">
        <f t="shared" ca="1" si="242"/>
        <v>10.223851469374852</v>
      </c>
      <c r="G522" s="306">
        <f t="shared" ca="1" si="243"/>
        <v>23.201250566874734</v>
      </c>
      <c r="H522" s="307">
        <f t="shared" ca="1" si="244"/>
        <v>20.491501310265082</v>
      </c>
      <c r="I522" s="304">
        <f t="shared" ca="1" si="245"/>
        <v>30.954800174052178</v>
      </c>
      <c r="J522" s="306">
        <f t="shared" ca="1" si="246"/>
        <v>561.19983850405742</v>
      </c>
      <c r="K522" s="307">
        <f t="shared" ca="1" si="247"/>
        <v>2196.2435155735784</v>
      </c>
      <c r="L522" s="304">
        <f t="shared" ca="1" si="232"/>
        <v>2266.8107195873172</v>
      </c>
      <c r="M522" s="306">
        <f t="shared" ca="1" si="248"/>
        <v>0.72345921480162645</v>
      </c>
      <c r="N522" s="304">
        <f t="shared" ca="1" si="249"/>
        <v>41.451159657981655</v>
      </c>
      <c r="P522" s="310">
        <f t="shared" ca="1" si="250"/>
        <v>23</v>
      </c>
      <c r="Q522" s="304">
        <f t="shared" ca="1" si="251"/>
        <v>0</v>
      </c>
      <c r="R522" s="306">
        <f t="shared" ca="1" si="252"/>
        <v>0</v>
      </c>
      <c r="S522" s="307">
        <f t="shared" ca="1" si="253"/>
        <v>5.0829999999999913</v>
      </c>
      <c r="T522" s="304">
        <f t="shared" ca="1" si="233"/>
        <v>49.864229999999914</v>
      </c>
      <c r="U522" s="311">
        <f t="shared" ca="1" si="234"/>
        <v>0</v>
      </c>
      <c r="V522" s="306">
        <f t="shared" ca="1" si="235"/>
        <v>0.98258075417671764</v>
      </c>
      <c r="W522" s="304">
        <f t="shared" ca="1" si="236"/>
        <v>2.8908642700133451</v>
      </c>
      <c r="Y522" s="314" t="str">
        <f t="shared" ca="1" si="254"/>
        <v/>
      </c>
      <c r="Z522" s="315" t="str">
        <f t="shared" ca="1" si="255"/>
        <v/>
      </c>
      <c r="AA522" s="316" t="str">
        <f t="shared" ca="1" si="256"/>
        <v/>
      </c>
      <c r="AC522" s="310" t="e">
        <f t="shared" ca="1" si="257"/>
        <v>#N/A</v>
      </c>
      <c r="AD522" s="323" t="e">
        <f t="shared" ca="1" si="258"/>
        <v>#N/A</v>
      </c>
      <c r="AE522" s="324">
        <f t="shared" ca="1" si="237"/>
        <v>2196.2435155735784</v>
      </c>
      <c r="AG522" s="306">
        <f t="shared" ca="1" si="259"/>
        <v>-7.2588283696653439</v>
      </c>
      <c r="AH522" s="304">
        <f t="shared" ca="1" si="260"/>
        <v>-0.59552960460759474</v>
      </c>
    </row>
    <row r="523" spans="1:34" x14ac:dyDescent="0.2">
      <c r="A523" s="347">
        <f t="shared" ca="1" si="238"/>
        <v>0.1</v>
      </c>
      <c r="B523" s="304">
        <f t="shared" ca="1" si="239"/>
        <v>15.899999999999917</v>
      </c>
      <c r="D523" s="306">
        <f t="shared" ca="1" si="240"/>
        <v>-0.42627609756578289</v>
      </c>
      <c r="E523" s="307">
        <f t="shared" ca="1" si="241"/>
        <v>-10.186489930429667</v>
      </c>
      <c r="F523" s="304">
        <f t="shared" ca="1" si="242"/>
        <v>10.195405259924733</v>
      </c>
      <c r="G523" s="306">
        <f t="shared" ca="1" si="243"/>
        <v>23.158622957118155</v>
      </c>
      <c r="H523" s="307">
        <f t="shared" ca="1" si="244"/>
        <v>19.472852317222117</v>
      </c>
      <c r="I523" s="304">
        <f t="shared" ca="1" si="245"/>
        <v>30.257458496018838</v>
      </c>
      <c r="J523" s="306">
        <f t="shared" ca="1" si="246"/>
        <v>563.51783218025707</v>
      </c>
      <c r="K523" s="307">
        <f t="shared" ca="1" si="247"/>
        <v>2198.2417332549526</v>
      </c>
      <c r="L523" s="304">
        <f t="shared" ca="1" si="232"/>
        <v>2269.3212784903058</v>
      </c>
      <c r="M523" s="306">
        <f t="shared" ca="1" si="248"/>
        <v>0.69915605717159057</v>
      </c>
      <c r="N523" s="304">
        <f t="shared" ca="1" si="249"/>
        <v>40.058691296939429</v>
      </c>
      <c r="P523" s="310">
        <f t="shared" ca="1" si="250"/>
        <v>23</v>
      </c>
      <c r="Q523" s="304">
        <f t="shared" ca="1" si="251"/>
        <v>0</v>
      </c>
      <c r="R523" s="306">
        <f t="shared" ca="1" si="252"/>
        <v>0</v>
      </c>
      <c r="S523" s="307">
        <f t="shared" ca="1" si="253"/>
        <v>5.0829999999999913</v>
      </c>
      <c r="T523" s="304">
        <f t="shared" ca="1" si="233"/>
        <v>49.864229999999914</v>
      </c>
      <c r="U523" s="311">
        <f t="shared" ca="1" si="234"/>
        <v>0</v>
      </c>
      <c r="V523" s="306">
        <f t="shared" ca="1" si="235"/>
        <v>0.98238203452364503</v>
      </c>
      <c r="W523" s="304">
        <f t="shared" ca="1" si="236"/>
        <v>2.7615234952655379</v>
      </c>
      <c r="Y523" s="314" t="str">
        <f t="shared" ca="1" si="254"/>
        <v/>
      </c>
      <c r="Z523" s="315" t="str">
        <f t="shared" ca="1" si="255"/>
        <v/>
      </c>
      <c r="AA523" s="316" t="str">
        <f t="shared" ca="1" si="256"/>
        <v/>
      </c>
      <c r="AC523" s="310" t="e">
        <f t="shared" ca="1" si="257"/>
        <v>#N/A</v>
      </c>
      <c r="AD523" s="323" t="e">
        <f t="shared" ca="1" si="258"/>
        <v>#N/A</v>
      </c>
      <c r="AE523" s="324">
        <f t="shared" ca="1" si="237"/>
        <v>2198.2417332549526</v>
      </c>
      <c r="AG523" s="306">
        <f t="shared" ca="1" si="259"/>
        <v>-7.0627692337667973</v>
      </c>
      <c r="AH523" s="304">
        <f t="shared" ca="1" si="260"/>
        <v>-0.56873190438979937</v>
      </c>
    </row>
    <row r="524" spans="1:34" x14ac:dyDescent="0.2">
      <c r="A524" s="347">
        <f t="shared" ca="1" si="238"/>
        <v>0.1</v>
      </c>
      <c r="B524" s="304">
        <f t="shared" ca="1" si="239"/>
        <v>15.999999999999917</v>
      </c>
      <c r="D524" s="306">
        <f t="shared" ca="1" si="240"/>
        <v>-0.41582339388183986</v>
      </c>
      <c r="E524" s="307">
        <f t="shared" ca="1" si="241"/>
        <v>-10.159643739789733</v>
      </c>
      <c r="F524" s="304">
        <f t="shared" ca="1" si="242"/>
        <v>10.168149783237268</v>
      </c>
      <c r="G524" s="306">
        <f t="shared" ca="1" si="243"/>
        <v>23.11704061772997</v>
      </c>
      <c r="H524" s="307">
        <f t="shared" ca="1" si="244"/>
        <v>18.456887943243142</v>
      </c>
      <c r="I524" s="304">
        <f t="shared" ca="1" si="245"/>
        <v>29.581316391790462</v>
      </c>
      <c r="J524" s="306">
        <f t="shared" ca="1" si="246"/>
        <v>565.83161535899944</v>
      </c>
      <c r="K524" s="307">
        <f t="shared" ca="1" si="247"/>
        <v>2200.1382202679761</v>
      </c>
      <c r="L524" s="304">
        <f t="shared" ca="1" si="232"/>
        <v>2271.7336122934203</v>
      </c>
      <c r="M524" s="306">
        <f t="shared" ca="1" si="248"/>
        <v>0.67377098274420488</v>
      </c>
      <c r="N524" s="304">
        <f t="shared" ca="1" si="249"/>
        <v>38.604233669624755</v>
      </c>
      <c r="P524" s="310">
        <f t="shared" ca="1" si="250"/>
        <v>23</v>
      </c>
      <c r="Q524" s="304">
        <f t="shared" ca="1" si="251"/>
        <v>0</v>
      </c>
      <c r="R524" s="306">
        <f t="shared" ca="1" si="252"/>
        <v>0</v>
      </c>
      <c r="S524" s="307">
        <f t="shared" ca="1" si="253"/>
        <v>5.0829999999999913</v>
      </c>
      <c r="T524" s="304">
        <f t="shared" ca="1" si="233"/>
        <v>49.864229999999914</v>
      </c>
      <c r="U524" s="311">
        <f t="shared" ca="1" si="234"/>
        <v>0</v>
      </c>
      <c r="V524" s="306">
        <f t="shared" ca="1" si="235"/>
        <v>0.98219346491566717</v>
      </c>
      <c r="W524" s="304">
        <f t="shared" ca="1" si="236"/>
        <v>2.6389761893848727</v>
      </c>
      <c r="Y524" s="314" t="str">
        <f t="shared" ca="1" si="254"/>
        <v/>
      </c>
      <c r="Z524" s="315" t="str">
        <f t="shared" ca="1" si="255"/>
        <v/>
      </c>
      <c r="AA524" s="316" t="str">
        <f t="shared" ca="1" si="256"/>
        <v/>
      </c>
      <c r="AC524" s="310">
        <f t="shared" ca="1" si="257"/>
        <v>15.999999999999917</v>
      </c>
      <c r="AD524" s="323">
        <f t="shared" ca="1" si="258"/>
        <v>565.83161535899944</v>
      </c>
      <c r="AE524" s="324">
        <f t="shared" ca="1" si="237"/>
        <v>2200.1382202679761</v>
      </c>
      <c r="AG524" s="306">
        <f t="shared" ca="1" si="259"/>
        <v>-6.8567272219334674</v>
      </c>
      <c r="AH524" s="304">
        <f t="shared" ca="1" si="260"/>
        <v>-0.54328614898003991</v>
      </c>
    </row>
    <row r="525" spans="1:34" x14ac:dyDescent="0.2">
      <c r="A525" s="347">
        <f t="shared" ca="1" si="238"/>
        <v>0.1</v>
      </c>
      <c r="B525" s="304">
        <f t="shared" ca="1" si="239"/>
        <v>16.099999999999916</v>
      </c>
      <c r="D525" s="306">
        <f t="shared" ca="1" si="240"/>
        <v>-0.40572344234214575</v>
      </c>
      <c r="E525" s="307">
        <f t="shared" ca="1" si="241"/>
        <v>-10.133933856200976</v>
      </c>
      <c r="F525" s="304">
        <f t="shared" ca="1" si="242"/>
        <v>10.142052401438397</v>
      </c>
      <c r="G525" s="306">
        <f t="shared" ca="1" si="243"/>
        <v>23.076468273495756</v>
      </c>
      <c r="H525" s="307">
        <f t="shared" ca="1" si="244"/>
        <v>17.443494557623044</v>
      </c>
      <c r="I525" s="304">
        <f t="shared" ca="1" si="245"/>
        <v>28.927476391131684</v>
      </c>
      <c r="J525" s="306">
        <f t="shared" ca="1" si="246"/>
        <v>568.14129080356076</v>
      </c>
      <c r="K525" s="307">
        <f t="shared" ca="1" si="247"/>
        <v>2201.9332393930194</v>
      </c>
      <c r="L525" s="304">
        <f t="shared" ca="1" si="232"/>
        <v>2274.0480463393405</v>
      </c>
      <c r="M525" s="306">
        <f t="shared" ca="1" si="248"/>
        <v>0.64726621218004055</v>
      </c>
      <c r="N525" s="304">
        <f t="shared" ca="1" si="249"/>
        <v>37.085622179335566</v>
      </c>
      <c r="P525" s="310">
        <f t="shared" ca="1" si="250"/>
        <v>23</v>
      </c>
      <c r="Q525" s="304">
        <f t="shared" ca="1" si="251"/>
        <v>0</v>
      </c>
      <c r="R525" s="306">
        <f t="shared" ca="1" si="252"/>
        <v>0</v>
      </c>
      <c r="S525" s="307">
        <f t="shared" ca="1" si="253"/>
        <v>5.0829999999999913</v>
      </c>
      <c r="T525" s="304">
        <f t="shared" ca="1" si="233"/>
        <v>49.864229999999914</v>
      </c>
      <c r="U525" s="311">
        <f t="shared" ca="1" si="234"/>
        <v>0</v>
      </c>
      <c r="V525" s="306">
        <f t="shared" ca="1" si="235"/>
        <v>0.98201501403756208</v>
      </c>
      <c r="W525" s="304">
        <f t="shared" ca="1" si="236"/>
        <v>2.5231476295639697</v>
      </c>
      <c r="Y525" s="314" t="str">
        <f t="shared" ca="1" si="254"/>
        <v/>
      </c>
      <c r="Z525" s="315" t="str">
        <f t="shared" ca="1" si="255"/>
        <v/>
      </c>
      <c r="AA525" s="316" t="str">
        <f t="shared" ca="1" si="256"/>
        <v/>
      </c>
      <c r="AC525" s="310" t="e">
        <f t="shared" ca="1" si="257"/>
        <v>#N/A</v>
      </c>
      <c r="AD525" s="323" t="e">
        <f t="shared" ca="1" si="258"/>
        <v>#N/A</v>
      </c>
      <c r="AE525" s="324">
        <f t="shared" ca="1" si="237"/>
        <v>2201.9332393930194</v>
      </c>
      <c r="AG525" s="306">
        <f t="shared" ca="1" si="259"/>
        <v>-6.6400022332623161</v>
      </c>
      <c r="AH525" s="304">
        <f t="shared" ca="1" si="260"/>
        <v>-0.51917690131514405</v>
      </c>
    </row>
    <row r="526" spans="1:34" x14ac:dyDescent="0.2">
      <c r="A526" s="347">
        <f t="shared" ca="1" si="238"/>
        <v>0.1</v>
      </c>
      <c r="B526" s="304">
        <f t="shared" ca="1" si="239"/>
        <v>16.199999999999918</v>
      </c>
      <c r="D526" s="306">
        <f t="shared" ca="1" si="240"/>
        <v>-0.39598738203109796</v>
      </c>
      <c r="E526" s="307">
        <f t="shared" ca="1" si="241"/>
        <v>-10.109326728053976</v>
      </c>
      <c r="F526" s="304">
        <f t="shared" ca="1" si="242"/>
        <v>10.117079267321886</v>
      </c>
      <c r="G526" s="306">
        <f t="shared" ca="1" si="243"/>
        <v>23.036869535292645</v>
      </c>
      <c r="H526" s="307">
        <f t="shared" ca="1" si="244"/>
        <v>16.432561884817645</v>
      </c>
      <c r="I526" s="304">
        <f t="shared" ca="1" si="245"/>
        <v>28.29711024264591</v>
      </c>
      <c r="J526" s="306">
        <f t="shared" ca="1" si="246"/>
        <v>570.44695769400016</v>
      </c>
      <c r="K526" s="307">
        <f t="shared" ca="1" si="247"/>
        <v>2203.6270422151415</v>
      </c>
      <c r="L526" s="304">
        <f t="shared" ca="1" si="232"/>
        <v>2276.2648951130868</v>
      </c>
      <c r="M526" s="306">
        <f t="shared" ca="1" si="248"/>
        <v>0.61960691805347556</v>
      </c>
      <c r="N526" s="304">
        <f t="shared" ca="1" si="249"/>
        <v>35.500861361572404</v>
      </c>
      <c r="P526" s="310">
        <f t="shared" ca="1" si="250"/>
        <v>23</v>
      </c>
      <c r="Q526" s="304">
        <f t="shared" ca="1" si="251"/>
        <v>0</v>
      </c>
      <c r="R526" s="306">
        <f t="shared" ca="1" si="252"/>
        <v>0</v>
      </c>
      <c r="S526" s="307">
        <f t="shared" ca="1" si="253"/>
        <v>5.0829999999999913</v>
      </c>
      <c r="T526" s="304">
        <f t="shared" ca="1" si="233"/>
        <v>49.864229999999914</v>
      </c>
      <c r="U526" s="311">
        <f t="shared" ca="1" si="234"/>
        <v>0</v>
      </c>
      <c r="V526" s="306">
        <f t="shared" ca="1" si="235"/>
        <v>0.9818466519833744</v>
      </c>
      <c r="W526" s="304">
        <f t="shared" ca="1" si="236"/>
        <v>2.4139667040588737</v>
      </c>
      <c r="Y526" s="314" t="str">
        <f t="shared" ca="1" si="254"/>
        <v/>
      </c>
      <c r="Z526" s="315" t="str">
        <f t="shared" ca="1" si="255"/>
        <v/>
      </c>
      <c r="AA526" s="316" t="str">
        <f t="shared" ca="1" si="256"/>
        <v/>
      </c>
      <c r="AC526" s="310" t="e">
        <f t="shared" ca="1" si="257"/>
        <v>#N/A</v>
      </c>
      <c r="AD526" s="323" t="e">
        <f t="shared" ca="1" si="258"/>
        <v>#N/A</v>
      </c>
      <c r="AE526" s="324">
        <f t="shared" ca="1" si="237"/>
        <v>2203.6270422151415</v>
      </c>
      <c r="AG526" s="306">
        <f t="shared" ca="1" si="259"/>
        <v>-6.4118962024993875</v>
      </c>
      <c r="AH526" s="304">
        <f t="shared" ca="1" si="260"/>
        <v>-0.49638946086247765</v>
      </c>
    </row>
    <row r="527" spans="1:34" x14ac:dyDescent="0.2">
      <c r="A527" s="347">
        <f t="shared" ca="1" si="238"/>
        <v>0.1</v>
      </c>
      <c r="B527" s="304">
        <f t="shared" ca="1" si="239"/>
        <v>16.299999999999919</v>
      </c>
      <c r="D527" s="306">
        <f t="shared" ca="1" si="240"/>
        <v>-0.38662732250435417</v>
      </c>
      <c r="E527" s="307">
        <f t="shared" ca="1" si="241"/>
        <v>-10.085787358767687</v>
      </c>
      <c r="F527" s="304">
        <f t="shared" ca="1" si="242"/>
        <v>10.093195100303223</v>
      </c>
      <c r="G527" s="306">
        <f t="shared" ca="1" si="243"/>
        <v>22.998206803042208</v>
      </c>
      <c r="H527" s="307">
        <f t="shared" ca="1" si="244"/>
        <v>15.423983148940875</v>
      </c>
      <c r="I527" s="304">
        <f t="shared" ca="1" si="245"/>
        <v>27.691456666891128</v>
      </c>
      <c r="J527" s="306">
        <f t="shared" ca="1" si="246"/>
        <v>572.74871151091691</v>
      </c>
      <c r="K527" s="307">
        <f t="shared" ca="1" si="247"/>
        <v>2205.2198694668296</v>
      </c>
      <c r="L527" s="304">
        <f t="shared" ca="1" si="232"/>
        <v>2278.3844625586603</v>
      </c>
      <c r="M527" s="306">
        <f t="shared" ca="1" si="248"/>
        <v>0.59076229908770972</v>
      </c>
      <c r="N527" s="304">
        <f t="shared" ca="1" si="249"/>
        <v>33.848186433171009</v>
      </c>
      <c r="P527" s="310">
        <f t="shared" ca="1" si="250"/>
        <v>23</v>
      </c>
      <c r="Q527" s="304">
        <f t="shared" ca="1" si="251"/>
        <v>0</v>
      </c>
      <c r="R527" s="306">
        <f t="shared" ca="1" si="252"/>
        <v>0</v>
      </c>
      <c r="S527" s="307">
        <f t="shared" ca="1" si="253"/>
        <v>5.0829999999999913</v>
      </c>
      <c r="T527" s="304">
        <f t="shared" ca="1" si="233"/>
        <v>49.864229999999914</v>
      </c>
      <c r="U527" s="311">
        <f t="shared" ca="1" si="234"/>
        <v>0</v>
      </c>
      <c r="V527" s="306">
        <f t="shared" ca="1" si="235"/>
        <v>0.98168835021882372</v>
      </c>
      <c r="W527" s="304">
        <f t="shared" ca="1" si="236"/>
        <v>2.3113657797867431</v>
      </c>
      <c r="Y527" s="314" t="str">
        <f t="shared" ca="1" si="254"/>
        <v/>
      </c>
      <c r="Z527" s="315" t="str">
        <f t="shared" ca="1" si="255"/>
        <v/>
      </c>
      <c r="AA527" s="316" t="str">
        <f t="shared" ca="1" si="256"/>
        <v/>
      </c>
      <c r="AC527" s="310" t="e">
        <f t="shared" ca="1" si="257"/>
        <v>#N/A</v>
      </c>
      <c r="AD527" s="323" t="e">
        <f t="shared" ca="1" si="258"/>
        <v>#N/A</v>
      </c>
      <c r="AE527" s="324">
        <f t="shared" ca="1" si="237"/>
        <v>2205.2198694668296</v>
      </c>
      <c r="AG527" s="306">
        <f t="shared" ca="1" si="259"/>
        <v>-6.1717258977976828</v>
      </c>
      <c r="AH527" s="304">
        <f t="shared" ca="1" si="260"/>
        <v>-0.47490983750912413</v>
      </c>
    </row>
    <row r="528" spans="1:34" x14ac:dyDescent="0.2">
      <c r="A528" s="347">
        <f t="shared" ca="1" si="238"/>
        <v>0.1</v>
      </c>
      <c r="B528" s="304">
        <f t="shared" ca="1" si="239"/>
        <v>16.39999999999992</v>
      </c>
      <c r="D528" s="306">
        <f t="shared" ca="1" si="240"/>
        <v>-0.37765630756171853</v>
      </c>
      <c r="E528" s="307">
        <f t="shared" ca="1" si="241"/>
        <v>-10.063279074051662</v>
      </c>
      <c r="F528" s="304">
        <f t="shared" ca="1" si="242"/>
        <v>10.070362953185313</v>
      </c>
      <c r="G528" s="306">
        <f t="shared" ca="1" si="243"/>
        <v>22.960441172286036</v>
      </c>
      <c r="H528" s="307">
        <f t="shared" ca="1" si="244"/>
        <v>14.417655241535709</v>
      </c>
      <c r="I528" s="304">
        <f t="shared" ca="1" si="245"/>
        <v>27.11181737711048</v>
      </c>
      <c r="J528" s="306">
        <f t="shared" ca="1" si="246"/>
        <v>575.04664390968333</v>
      </c>
      <c r="K528" s="307">
        <f t="shared" ca="1" si="247"/>
        <v>2206.7119513863536</v>
      </c>
      <c r="L528" s="304">
        <f t="shared" ca="1" si="232"/>
        <v>2280.407042407815</v>
      </c>
      <c r="M528" s="306">
        <f t="shared" ca="1" si="248"/>
        <v>0.56070680045740684</v>
      </c>
      <c r="N528" s="304">
        <f t="shared" ca="1" si="249"/>
        <v>32.126133210493428</v>
      </c>
      <c r="P528" s="310">
        <f t="shared" ca="1" si="250"/>
        <v>23</v>
      </c>
      <c r="Q528" s="304">
        <f t="shared" ca="1" si="251"/>
        <v>0</v>
      </c>
      <c r="R528" s="306">
        <f t="shared" ca="1" si="252"/>
        <v>0</v>
      </c>
      <c r="S528" s="307">
        <f t="shared" ca="1" si="253"/>
        <v>5.0829999999999913</v>
      </c>
      <c r="T528" s="304">
        <f t="shared" ca="1" si="233"/>
        <v>49.864229999999914</v>
      </c>
      <c r="U528" s="311">
        <f t="shared" ca="1" si="234"/>
        <v>0</v>
      </c>
      <c r="V528" s="306">
        <f t="shared" ca="1" si="235"/>
        <v>0.98154008154237138</v>
      </c>
      <c r="W528" s="304">
        <f t="shared" ca="1" si="236"/>
        <v>2.2152805695524869</v>
      </c>
      <c r="Y528" s="314" t="str">
        <f t="shared" ca="1" si="254"/>
        <v/>
      </c>
      <c r="Z528" s="315" t="str">
        <f t="shared" ca="1" si="255"/>
        <v>Para</v>
      </c>
      <c r="AA528" s="316" t="str">
        <f t="shared" ca="1" si="256"/>
        <v/>
      </c>
      <c r="AC528" s="310" t="e">
        <f t="shared" ca="1" si="257"/>
        <v>#N/A</v>
      </c>
      <c r="AD528" s="323" t="e">
        <f t="shared" ca="1" si="258"/>
        <v>#N/A</v>
      </c>
      <c r="AE528" s="324">
        <f t="shared" ca="1" si="237"/>
        <v>2206.7119513863536</v>
      </c>
      <c r="AG528" s="306">
        <f t="shared" ca="1" si="259"/>
        <v>-5.9188386762985266</v>
      </c>
      <c r="AH528" s="304">
        <f t="shared" ca="1" si="260"/>
        <v>-0.45472472551381998</v>
      </c>
    </row>
    <row r="529" spans="1:34" x14ac:dyDescent="0.2">
      <c r="A529" s="347">
        <f t="shared" ca="1" si="238"/>
        <v>0.1</v>
      </c>
      <c r="B529" s="304">
        <f t="shared" ca="1" si="239"/>
        <v>16.499999999999922</v>
      </c>
      <c r="D529" s="306">
        <f t="shared" ca="1" si="240"/>
        <v>-0.36908825601583689</v>
      </c>
      <c r="E529" s="307">
        <f t="shared" ca="1" si="241"/>
        <v>-10.041763283161959</v>
      </c>
      <c r="F529" s="304">
        <f t="shared" ca="1" si="242"/>
        <v>10.04854397292406</v>
      </c>
      <c r="G529" s="306">
        <f t="shared" ca="1" si="243"/>
        <v>22.923532346684453</v>
      </c>
      <c r="H529" s="307">
        <f t="shared" ca="1" si="244"/>
        <v>13.413478913219512</v>
      </c>
      <c r="I529" s="304">
        <f t="shared" ca="1" si="245"/>
        <v>26.559551046749132</v>
      </c>
      <c r="J529" s="306">
        <f t="shared" ca="1" si="246"/>
        <v>577.34084258563189</v>
      </c>
      <c r="K529" s="307">
        <f t="shared" ca="1" si="247"/>
        <v>2208.1035080940915</v>
      </c>
      <c r="L529" s="304">
        <f t="shared" ca="1" si="232"/>
        <v>2282.3329185232642</v>
      </c>
      <c r="M529" s="306">
        <f t="shared" ca="1" si="248"/>
        <v>0.52942147163028441</v>
      </c>
      <c r="N529" s="304">
        <f t="shared" ca="1" si="249"/>
        <v>30.333615908020345</v>
      </c>
      <c r="P529" s="310">
        <f t="shared" ca="1" si="250"/>
        <v>23</v>
      </c>
      <c r="Q529" s="304">
        <f t="shared" ca="1" si="251"/>
        <v>0</v>
      </c>
      <c r="R529" s="306">
        <f t="shared" ca="1" si="252"/>
        <v>0</v>
      </c>
      <c r="S529" s="307">
        <f t="shared" ca="1" si="253"/>
        <v>5.0829999999999913</v>
      </c>
      <c r="T529" s="304">
        <f t="shared" ca="1" si="233"/>
        <v>49.864229999999914</v>
      </c>
      <c r="U529" s="311">
        <f t="shared" ca="1" si="234"/>
        <v>0</v>
      </c>
      <c r="V529" s="306">
        <f t="shared" ca="1" si="235"/>
        <v>0.98140182004470489</v>
      </c>
      <c r="W529" s="304">
        <f t="shared" ca="1" si="236"/>
        <v>2.1256499982054833</v>
      </c>
      <c r="Y529" s="314" t="str">
        <f t="shared" ca="1" si="254"/>
        <v/>
      </c>
      <c r="Z529" s="315" t="str">
        <f t="shared" ca="1" si="255"/>
        <v/>
      </c>
      <c r="AA529" s="316" t="str">
        <f t="shared" ca="1" si="256"/>
        <v/>
      </c>
      <c r="AC529" s="310" t="e">
        <f t="shared" ca="1" si="257"/>
        <v>#N/A</v>
      </c>
      <c r="AD529" s="323" t="e">
        <f t="shared" ca="1" si="258"/>
        <v>#N/A</v>
      </c>
      <c r="AE529" s="324" t="e">
        <f t="shared" ca="1" si="237"/>
        <v>#N/A</v>
      </c>
      <c r="AG529" s="306">
        <f t="shared" ca="1" si="259"/>
        <v>-5.6526314002380422</v>
      </c>
      <c r="AH529" s="304">
        <f t="shared" ca="1" si="260"/>
        <v>-0.43582147738589233</v>
      </c>
    </row>
    <row r="530" spans="1:34" x14ac:dyDescent="0.2">
      <c r="A530" s="347">
        <f t="shared" ca="1" si="238"/>
        <v>0.1</v>
      </c>
      <c r="B530" s="304">
        <f t="shared" ca="1" si="239"/>
        <v>16.599999999999923</v>
      </c>
      <c r="D530" s="306">
        <f t="shared" ca="1" si="240"/>
        <v>-0.36093787526478255</v>
      </c>
      <c r="E530" s="307">
        <f t="shared" ca="1" si="241"/>
        <v>-10.021199238652532</v>
      </c>
      <c r="F530" s="304">
        <f t="shared" ca="1" si="242"/>
        <v>10.027697159895224</v>
      </c>
      <c r="G530" s="306">
        <f t="shared" ca="1" si="243"/>
        <v>22.887438559157975</v>
      </c>
      <c r="H530" s="307">
        <f t="shared" ca="1" si="244"/>
        <v>12.411358989354259</v>
      </c>
      <c r="I530" s="304">
        <f t="shared" ca="1" si="245"/>
        <v>26.036064905470184</v>
      </c>
      <c r="J530" s="306">
        <f t="shared" ca="1" si="246"/>
        <v>579.63139113092404</v>
      </c>
      <c r="K530" s="307">
        <f t="shared" ca="1" si="247"/>
        <v>2209.3947499892201</v>
      </c>
      <c r="L530" s="304">
        <f t="shared" ca="1" si="232"/>
        <v>2284.1623652587177</v>
      </c>
      <c r="M530" s="306">
        <f t="shared" ca="1" si="248"/>
        <v>0.49689544214096282</v>
      </c>
      <c r="N530" s="304">
        <f t="shared" ca="1" si="249"/>
        <v>28.47001169396416</v>
      </c>
      <c r="P530" s="310">
        <f t="shared" ca="1" si="250"/>
        <v>23</v>
      </c>
      <c r="Q530" s="304">
        <f t="shared" ca="1" si="251"/>
        <v>0</v>
      </c>
      <c r="R530" s="306">
        <f t="shared" ca="1" si="252"/>
        <v>0</v>
      </c>
      <c r="S530" s="307">
        <f t="shared" ca="1" si="253"/>
        <v>5.0829999999999913</v>
      </c>
      <c r="T530" s="304">
        <f t="shared" ca="1" si="233"/>
        <v>49.864229999999914</v>
      </c>
      <c r="U530" s="311">
        <f t="shared" ca="1" si="234"/>
        <v>0</v>
      </c>
      <c r="V530" s="306">
        <f t="shared" ca="1" si="235"/>
        <v>0.98127354106638964</v>
      </c>
      <c r="W530" s="304">
        <f t="shared" ca="1" si="236"/>
        <v>2.0424160670273199</v>
      </c>
      <c r="Y530" s="314" t="str">
        <f t="shared" ca="1" si="254"/>
        <v/>
      </c>
      <c r="Z530" s="315" t="str">
        <f t="shared" ca="1" si="255"/>
        <v/>
      </c>
      <c r="AA530" s="316" t="str">
        <f t="shared" ca="1" si="256"/>
        <v/>
      </c>
      <c r="AC530" s="310" t="e">
        <f t="shared" ca="1" si="257"/>
        <v>#N/A</v>
      </c>
      <c r="AD530" s="323" t="e">
        <f t="shared" ca="1" si="258"/>
        <v>#N/A</v>
      </c>
      <c r="AE530" s="324" t="e">
        <f t="shared" ca="1" si="237"/>
        <v>#N/A</v>
      </c>
      <c r="AG530" s="306">
        <f t="shared" ca="1" si="259"/>
        <v>-5.372572581533845</v>
      </c>
      <c r="AH530" s="304">
        <f t="shared" ca="1" si="260"/>
        <v>-0.41818807755370585</v>
      </c>
    </row>
    <row r="531" spans="1:34" x14ac:dyDescent="0.2">
      <c r="A531" s="347">
        <f t="shared" ca="1" si="238"/>
        <v>0.1</v>
      </c>
      <c r="B531" s="304">
        <f t="shared" ca="1" si="239"/>
        <v>16.699999999999925</v>
      </c>
      <c r="D531" s="306">
        <f t="shared" ca="1" si="240"/>
        <v>-0.35322054353821347</v>
      </c>
      <c r="E531" s="307">
        <f t="shared" ca="1" si="241"/>
        <v>-10.001543800628291</v>
      </c>
      <c r="F531" s="304">
        <f t="shared" ca="1" si="242"/>
        <v>10.007779131668705</v>
      </c>
      <c r="G531" s="306">
        <f t="shared" ca="1" si="243"/>
        <v>22.852116504804155</v>
      </c>
      <c r="H531" s="307">
        <f t="shared" ca="1" si="244"/>
        <v>11.411204609291429</v>
      </c>
      <c r="I531" s="304">
        <f t="shared" ca="1" si="245"/>
        <v>25.542803671176276</v>
      </c>
      <c r="J531" s="306">
        <f t="shared" ca="1" si="246"/>
        <v>581.91836888412217</v>
      </c>
      <c r="K531" s="307">
        <f t="shared" ca="1" si="247"/>
        <v>2210.5858781691522</v>
      </c>
      <c r="L531" s="304">
        <f t="shared" ca="1" si="232"/>
        <v>2285.8956478382033</v>
      </c>
      <c r="M531" s="306">
        <f t="shared" ca="1" si="248"/>
        <v>0.46312748196018722</v>
      </c>
      <c r="N531" s="304">
        <f t="shared" ca="1" si="249"/>
        <v>26.535250092839899</v>
      </c>
      <c r="P531" s="310">
        <f t="shared" ca="1" si="250"/>
        <v>23</v>
      </c>
      <c r="Q531" s="304">
        <f t="shared" ca="1" si="251"/>
        <v>0</v>
      </c>
      <c r="R531" s="306">
        <f t="shared" ca="1" si="252"/>
        <v>0</v>
      </c>
      <c r="S531" s="307">
        <f t="shared" ca="1" si="253"/>
        <v>5.0829999999999913</v>
      </c>
      <c r="T531" s="304">
        <f t="shared" ca="1" si="233"/>
        <v>49.864229999999914</v>
      </c>
      <c r="U531" s="311">
        <f t="shared" ca="1" si="234"/>
        <v>0</v>
      </c>
      <c r="V531" s="306">
        <f t="shared" ca="1" si="235"/>
        <v>0.98115522115345188</v>
      </c>
      <c r="W531" s="304">
        <f t="shared" ca="1" si="236"/>
        <v>1.965523715663565</v>
      </c>
      <c r="Y531" s="314" t="str">
        <f t="shared" ca="1" si="254"/>
        <v/>
      </c>
      <c r="Z531" s="315" t="str">
        <f t="shared" ca="1" si="255"/>
        <v/>
      </c>
      <c r="AA531" s="316" t="str">
        <f t="shared" ca="1" si="256"/>
        <v/>
      </c>
      <c r="AC531" s="310" t="e">
        <f t="shared" ca="1" si="257"/>
        <v>#N/A</v>
      </c>
      <c r="AD531" s="323" t="e">
        <f t="shared" ca="1" si="258"/>
        <v>#N/A</v>
      </c>
      <c r="AE531" s="324" t="e">
        <f t="shared" ca="1" si="237"/>
        <v>#N/A</v>
      </c>
      <c r="AG531" s="306">
        <f t="shared" ca="1" si="259"/>
        <v>-5.0782276248525058</v>
      </c>
      <c r="AH531" s="304">
        <f t="shared" ca="1" si="260"/>
        <v>-0.40181311568509215</v>
      </c>
    </row>
    <row r="532" spans="1:34" x14ac:dyDescent="0.2">
      <c r="A532" s="347">
        <f t="shared" ca="1" si="238"/>
        <v>0.1</v>
      </c>
      <c r="B532" s="304">
        <f t="shared" ca="1" si="239"/>
        <v>16.799999999999926</v>
      </c>
      <c r="D532" s="306">
        <f t="shared" ca="1" si="240"/>
        <v>-0.34595215706005639</v>
      </c>
      <c r="E532" s="307">
        <f t="shared" ca="1" si="241"/>
        <v>-9.9827512131494736</v>
      </c>
      <c r="F532" s="304">
        <f t="shared" ca="1" si="242"/>
        <v>9.9887438989400366</v>
      </c>
      <c r="G532" s="306">
        <f t="shared" ca="1" si="243"/>
        <v>22.817521289098149</v>
      </c>
      <c r="H532" s="307">
        <f t="shared" ca="1" si="244"/>
        <v>10.412929487976482</v>
      </c>
      <c r="I532" s="304">
        <f t="shared" ca="1" si="245"/>
        <v>25.081235581605974</v>
      </c>
      <c r="J532" s="306">
        <f t="shared" ca="1" si="246"/>
        <v>584.20185077381734</v>
      </c>
      <c r="K532" s="307">
        <f t="shared" ca="1" si="247"/>
        <v>2211.6770848740157</v>
      </c>
      <c r="L532" s="304">
        <f t="shared" ca="1" si="232"/>
        <v>2287.5330227571312</v>
      </c>
      <c r="M532" s="306">
        <f t="shared" ca="1" si="248"/>
        <v>0.42812759709665799</v>
      </c>
      <c r="N532" s="304">
        <f t="shared" ca="1" si="249"/>
        <v>24.529904406715861</v>
      </c>
      <c r="P532" s="310">
        <f t="shared" ca="1" si="250"/>
        <v>23</v>
      </c>
      <c r="Q532" s="304">
        <f t="shared" ca="1" si="251"/>
        <v>0</v>
      </c>
      <c r="R532" s="306">
        <f t="shared" ca="1" si="252"/>
        <v>0</v>
      </c>
      <c r="S532" s="307">
        <f t="shared" ca="1" si="253"/>
        <v>5.0829999999999913</v>
      </c>
      <c r="T532" s="304">
        <f t="shared" ca="1" si="233"/>
        <v>49.864229999999914</v>
      </c>
      <c r="U532" s="311">
        <f t="shared" ca="1" si="234"/>
        <v>0</v>
      </c>
      <c r="V532" s="306">
        <f t="shared" ca="1" si="235"/>
        <v>0.98104683801065307</v>
      </c>
      <c r="W532" s="304">
        <f t="shared" ca="1" si="236"/>
        <v>1.8949206809403534</v>
      </c>
      <c r="Y532" s="314" t="str">
        <f t="shared" ca="1" si="254"/>
        <v/>
      </c>
      <c r="Z532" s="315" t="str">
        <f t="shared" ca="1" si="255"/>
        <v/>
      </c>
      <c r="AA532" s="316" t="str">
        <f t="shared" ca="1" si="256"/>
        <v/>
      </c>
      <c r="AC532" s="310" t="e">
        <f t="shared" ca="1" si="257"/>
        <v>#N/A</v>
      </c>
      <c r="AD532" s="323" t="e">
        <f t="shared" ca="1" si="258"/>
        <v>#N/A</v>
      </c>
      <c r="AE532" s="324" t="e">
        <f t="shared" ca="1" si="237"/>
        <v>#N/A</v>
      </c>
      <c r="AG532" s="306">
        <f t="shared" ca="1" si="259"/>
        <v>-4.769286771467228</v>
      </c>
      <c r="AH532" s="304">
        <f t="shared" ca="1" si="260"/>
        <v>-0.38668575952460521</v>
      </c>
    </row>
    <row r="533" spans="1:34" x14ac:dyDescent="0.2">
      <c r="A533" s="347">
        <f t="shared" ca="1" si="238"/>
        <v>0.1</v>
      </c>
      <c r="B533" s="304">
        <f t="shared" ca="1" si="239"/>
        <v>16.899999999999928</v>
      </c>
      <c r="D533" s="306">
        <f t="shared" ca="1" si="240"/>
        <v>-0.33914893914700683</v>
      </c>
      <c r="E533" s="307">
        <f t="shared" ca="1" si="241"/>
        <v>-9.9647729021270663</v>
      </c>
      <c r="F533" s="304">
        <f t="shared" ca="1" si="242"/>
        <v>9.9705426629592449</v>
      </c>
      <c r="G533" s="306">
        <f t="shared" ca="1" si="243"/>
        <v>22.783606395183448</v>
      </c>
      <c r="H533" s="307">
        <f t="shared" ca="1" si="244"/>
        <v>9.4164521977637765</v>
      </c>
      <c r="I533" s="304">
        <f t="shared" ca="1" si="245"/>
        <v>24.652835381826048</v>
      </c>
      <c r="J533" s="306">
        <f t="shared" ca="1" si="246"/>
        <v>586.48190715803139</v>
      </c>
      <c r="K533" s="307">
        <f t="shared" ca="1" si="247"/>
        <v>2212.6685539583027</v>
      </c>
      <c r="L533" s="304">
        <f t="shared" ca="1" si="232"/>
        <v>2289.074738207481</v>
      </c>
      <c r="M533" s="306">
        <f t="shared" ca="1" si="248"/>
        <v>0.39191859360335379</v>
      </c>
      <c r="N533" s="304">
        <f t="shared" ca="1" si="249"/>
        <v>22.455281326175076</v>
      </c>
      <c r="P533" s="310">
        <f t="shared" ca="1" si="250"/>
        <v>23</v>
      </c>
      <c r="Q533" s="304">
        <f t="shared" ca="1" si="251"/>
        <v>0</v>
      </c>
      <c r="R533" s="306">
        <f t="shared" ca="1" si="252"/>
        <v>0</v>
      </c>
      <c r="S533" s="307">
        <f t="shared" ca="1" si="253"/>
        <v>5.0829999999999913</v>
      </c>
      <c r="T533" s="304">
        <f t="shared" ca="1" si="233"/>
        <v>49.864229999999914</v>
      </c>
      <c r="U533" s="311">
        <f t="shared" ca="1" si="234"/>
        <v>0</v>
      </c>
      <c r="V533" s="306">
        <f t="shared" ca="1" si="235"/>
        <v>0.98094837045223882</v>
      </c>
      <c r="W533" s="304">
        <f t="shared" ca="1" si="236"/>
        <v>1.8305573519543326</v>
      </c>
      <c r="Y533" s="314" t="str">
        <f t="shared" ca="1" si="254"/>
        <v/>
      </c>
      <c r="Z533" s="315" t="str">
        <f t="shared" ca="1" si="255"/>
        <v/>
      </c>
      <c r="AA533" s="316" t="str">
        <f t="shared" ca="1" si="256"/>
        <v/>
      </c>
      <c r="AC533" s="310" t="e">
        <f t="shared" ca="1" si="257"/>
        <v>#N/A</v>
      </c>
      <c r="AD533" s="323" t="e">
        <f t="shared" ca="1" si="258"/>
        <v>#N/A</v>
      </c>
      <c r="AE533" s="324" t="e">
        <f t="shared" ca="1" si="237"/>
        <v>#N/A</v>
      </c>
      <c r="AG533" s="306">
        <f t="shared" ca="1" si="259"/>
        <v>-4.4455950094612646</v>
      </c>
      <c r="AH533" s="304">
        <f t="shared" ca="1" si="260"/>
        <v>-0.37279572711791398</v>
      </c>
    </row>
    <row r="534" spans="1:34" x14ac:dyDescent="0.2">
      <c r="A534" s="347">
        <f t="shared" ca="1" si="238"/>
        <v>0.1</v>
      </c>
      <c r="B534" s="304">
        <f t="shared" ca="1" si="239"/>
        <v>16.999999999999929</v>
      </c>
      <c r="D534" s="306">
        <f t="shared" ca="1" si="240"/>
        <v>-0.33282720952414685</v>
      </c>
      <c r="E534" s="307">
        <f t="shared" ca="1" si="241"/>
        <v>-9.9475573056450717</v>
      </c>
      <c r="F534" s="304">
        <f t="shared" ca="1" si="242"/>
        <v>9.9531236453935552</v>
      </c>
      <c r="G534" s="306">
        <f t="shared" ca="1" si="243"/>
        <v>22.750323674231034</v>
      </c>
      <c r="H534" s="307">
        <f t="shared" ca="1" si="244"/>
        <v>8.4216964671992685</v>
      </c>
      <c r="I534" s="304">
        <f t="shared" ca="1" si="245"/>
        <v>24.259064257879235</v>
      </c>
      <c r="J534" s="306">
        <f t="shared" ca="1" si="246"/>
        <v>588.75860366150209</v>
      </c>
      <c r="K534" s="307">
        <f t="shared" ca="1" si="247"/>
        <v>2213.5604613915507</v>
      </c>
      <c r="L534" s="304">
        <f t="shared" ca="1" si="232"/>
        <v>2290.5210345293526</v>
      </c>
      <c r="M534" s="306">
        <f t="shared" ca="1" si="248"/>
        <v>0.35453752572369523</v>
      </c>
      <c r="N534" s="304">
        <f t="shared" ca="1" si="249"/>
        <v>20.313503902978596</v>
      </c>
      <c r="P534" s="310">
        <f t="shared" ca="1" si="250"/>
        <v>23</v>
      </c>
      <c r="Q534" s="304">
        <f t="shared" ca="1" si="251"/>
        <v>0</v>
      </c>
      <c r="R534" s="306">
        <f t="shared" ca="1" si="252"/>
        <v>0</v>
      </c>
      <c r="S534" s="307">
        <f t="shared" ca="1" si="253"/>
        <v>5.0829999999999913</v>
      </c>
      <c r="T534" s="304">
        <f t="shared" ca="1" si="233"/>
        <v>49.864229999999914</v>
      </c>
      <c r="U534" s="311">
        <f t="shared" ca="1" si="234"/>
        <v>0</v>
      </c>
      <c r="V534" s="306">
        <f t="shared" ca="1" si="235"/>
        <v>0.98085979834996873</v>
      </c>
      <c r="W534" s="304">
        <f t="shared" ca="1" si="236"/>
        <v>1.7723866208960071</v>
      </c>
      <c r="Y534" s="314" t="str">
        <f t="shared" ca="1" si="254"/>
        <v/>
      </c>
      <c r="Z534" s="315" t="str">
        <f t="shared" ca="1" si="255"/>
        <v/>
      </c>
      <c r="AA534" s="316" t="str">
        <f t="shared" ca="1" si="256"/>
        <v/>
      </c>
      <c r="AC534" s="310">
        <f t="shared" ca="1" si="257"/>
        <v>16.999999999999929</v>
      </c>
      <c r="AD534" s="323">
        <f t="shared" ca="1" si="258"/>
        <v>588.75860366150209</v>
      </c>
      <c r="AE534" s="324" t="e">
        <f t="shared" ca="1" si="237"/>
        <v>#N/A</v>
      </c>
      <c r="AG534" s="306">
        <f t="shared" ca="1" si="259"/>
        <v>-4.1071828219471982</v>
      </c>
      <c r="AH534" s="304">
        <f t="shared" ca="1" si="260"/>
        <v>-0.36013325830303672</v>
      </c>
    </row>
    <row r="535" spans="1:34" x14ac:dyDescent="0.2">
      <c r="A535" s="347">
        <f t="shared" ca="1" si="238"/>
        <v>0.1</v>
      </c>
      <c r="B535" s="304">
        <f t="shared" ca="1" si="239"/>
        <v>17.09999999999993</v>
      </c>
      <c r="D535" s="306">
        <f t="shared" ca="1" si="240"/>
        <v>-0.32700311394265158</v>
      </c>
      <c r="E535" s="307">
        <f t="shared" ca="1" si="241"/>
        <v>-9.9310497489569052</v>
      </c>
      <c r="F535" s="304">
        <f t="shared" ca="1" si="242"/>
        <v>9.9364319628720459</v>
      </c>
      <c r="G535" s="306">
        <f t="shared" ca="1" si="243"/>
        <v>22.717623362836768</v>
      </c>
      <c r="H535" s="307">
        <f t="shared" ca="1" si="244"/>
        <v>7.4285914923035783</v>
      </c>
      <c r="I535" s="304">
        <f t="shared" ca="1" si="245"/>
        <v>23.901346882869007</v>
      </c>
      <c r="J535" s="306">
        <f t="shared" ca="1" si="246"/>
        <v>591.03200101335551</v>
      </c>
      <c r="K535" s="307">
        <f t="shared" ca="1" si="247"/>
        <v>2214.3529757895258</v>
      </c>
      <c r="L535" s="304">
        <f t="shared" ca="1" si="232"/>
        <v>2291.8721446908376</v>
      </c>
      <c r="M535" s="306">
        <f t="shared" ca="1" si="248"/>
        <v>0.31603692862686711</v>
      </c>
      <c r="N535" s="304">
        <f t="shared" ca="1" si="249"/>
        <v>18.107582180596712</v>
      </c>
      <c r="P535" s="310">
        <f t="shared" ca="1" si="250"/>
        <v>23</v>
      </c>
      <c r="Q535" s="304">
        <f t="shared" ca="1" si="251"/>
        <v>0</v>
      </c>
      <c r="R535" s="306">
        <f t="shared" ca="1" si="252"/>
        <v>0</v>
      </c>
      <c r="S535" s="307">
        <f t="shared" ca="1" si="253"/>
        <v>5.0829999999999913</v>
      </c>
      <c r="T535" s="304">
        <f t="shared" ca="1" si="233"/>
        <v>49.864229999999914</v>
      </c>
      <c r="U535" s="311">
        <f t="shared" ca="1" si="234"/>
        <v>0</v>
      </c>
      <c r="V535" s="306">
        <f t="shared" ca="1" si="235"/>
        <v>0.98078110257827478</v>
      </c>
      <c r="W535" s="304">
        <f t="shared" ca="1" si="236"/>
        <v>1.7203637291650735</v>
      </c>
      <c r="Y535" s="314" t="str">
        <f t="shared" ca="1" si="254"/>
        <v/>
      </c>
      <c r="Z535" s="315" t="str">
        <f t="shared" ca="1" si="255"/>
        <v/>
      </c>
      <c r="AA535" s="316" t="str">
        <f t="shared" ca="1" si="256"/>
        <v/>
      </c>
      <c r="AC535" s="310" t="e">
        <f t="shared" ca="1" si="257"/>
        <v>#N/A</v>
      </c>
      <c r="AD535" s="323" t="e">
        <f t="shared" ca="1" si="258"/>
        <v>#N/A</v>
      </c>
      <c r="AE535" s="324" t="e">
        <f t="shared" ca="1" si="237"/>
        <v>#N/A</v>
      </c>
      <c r="AG535" s="306">
        <f t="shared" ca="1" si="259"/>
        <v>-3.7542962211110984</v>
      </c>
      <c r="AH535" s="304">
        <f t="shared" ca="1" si="260"/>
        <v>-0.34868908536218968</v>
      </c>
    </row>
    <row r="536" spans="1:34" x14ac:dyDescent="0.2">
      <c r="A536" s="347">
        <f t="shared" ca="1" si="238"/>
        <v>0.1</v>
      </c>
      <c r="B536" s="304">
        <f t="shared" ca="1" si="239"/>
        <v>17.199999999999932</v>
      </c>
      <c r="D536" s="306">
        <f t="shared" ca="1" si="240"/>
        <v>-0.3216923165372072</v>
      </c>
      <c r="E536" s="307">
        <f t="shared" ca="1" si="241"/>
        <v>-9.9151923771954529</v>
      </c>
      <c r="F536" s="304">
        <f t="shared" ca="1" si="242"/>
        <v>9.9204095592527786</v>
      </c>
      <c r="G536" s="306">
        <f t="shared" ca="1" si="243"/>
        <v>22.685454131183047</v>
      </c>
      <c r="H536" s="307">
        <f t="shared" ca="1" si="244"/>
        <v>6.4370722545840326</v>
      </c>
      <c r="I536" s="304">
        <f t="shared" ca="1" si="245"/>
        <v>23.581045955358842</v>
      </c>
      <c r="J536" s="306">
        <f t="shared" ca="1" si="246"/>
        <v>593.30215488805652</v>
      </c>
      <c r="K536" s="307">
        <f t="shared" ca="1" si="247"/>
        <v>2215.0462589768704</v>
      </c>
      <c r="L536" s="304">
        <f t="shared" ca="1" si="232"/>
        <v>2293.1282947977943</v>
      </c>
      <c r="M536" s="306">
        <f t="shared" ca="1" si="248"/>
        <v>0.27648572573666613</v>
      </c>
      <c r="N536" s="304">
        <f t="shared" ca="1" si="249"/>
        <v>15.841465180322574</v>
      </c>
      <c r="P536" s="310">
        <f t="shared" ca="1" si="250"/>
        <v>23</v>
      </c>
      <c r="Q536" s="304">
        <f t="shared" ca="1" si="251"/>
        <v>0</v>
      </c>
      <c r="R536" s="306">
        <f t="shared" ca="1" si="252"/>
        <v>0</v>
      </c>
      <c r="S536" s="307">
        <f t="shared" ca="1" si="253"/>
        <v>5.0829999999999913</v>
      </c>
      <c r="T536" s="304">
        <f t="shared" ca="1" si="233"/>
        <v>49.864229999999914</v>
      </c>
      <c r="U536" s="311">
        <f t="shared" ca="1" si="234"/>
        <v>0</v>
      </c>
      <c r="V536" s="306">
        <f t="shared" ca="1" si="235"/>
        <v>0.98071226495644159</v>
      </c>
      <c r="W536" s="304">
        <f t="shared" ca="1" si="236"/>
        <v>1.6744461084646085</v>
      </c>
      <c r="Y536" s="314" t="str">
        <f t="shared" ca="1" si="254"/>
        <v/>
      </c>
      <c r="Z536" s="315" t="str">
        <f t="shared" ca="1" si="255"/>
        <v/>
      </c>
      <c r="AA536" s="316" t="str">
        <f t="shared" ca="1" si="256"/>
        <v/>
      </c>
      <c r="AC536" s="310" t="e">
        <f t="shared" ca="1" si="257"/>
        <v>#N/A</v>
      </c>
      <c r="AD536" s="323" t="e">
        <f t="shared" ca="1" si="258"/>
        <v>#N/A</v>
      </c>
      <c r="AE536" s="324" t="e">
        <f t="shared" ca="1" si="237"/>
        <v>#N/A</v>
      </c>
      <c r="AG536" s="306">
        <f t="shared" ca="1" si="259"/>
        <v>-3.3874241071170808</v>
      </c>
      <c r="AH536" s="304">
        <f t="shared" ca="1" si="260"/>
        <v>-0.33845440274740829</v>
      </c>
    </row>
    <row r="537" spans="1:34" x14ac:dyDescent="0.2">
      <c r="A537" s="347">
        <f t="shared" ca="1" si="238"/>
        <v>0.1</v>
      </c>
      <c r="B537" s="304">
        <f t="shared" ca="1" si="239"/>
        <v>17.299999999999933</v>
      </c>
      <c r="D537" s="306">
        <f t="shared" ca="1" si="240"/>
        <v>-0.31690966019743566</v>
      </c>
      <c r="E537" s="307">
        <f t="shared" ca="1" si="241"/>
        <v>-9.8999241588495455</v>
      </c>
      <c r="F537" s="304">
        <f t="shared" ca="1" si="242"/>
        <v>9.904995208666147</v>
      </c>
      <c r="G537" s="306">
        <f t="shared" ca="1" si="243"/>
        <v>22.653763165163301</v>
      </c>
      <c r="H537" s="307">
        <f t="shared" ca="1" si="244"/>
        <v>5.4470798386990777</v>
      </c>
      <c r="I537" s="304">
        <f t="shared" ca="1" si="245"/>
        <v>23.299434849636839</v>
      </c>
      <c r="J537" s="306">
        <f t="shared" ca="1" si="246"/>
        <v>595.56911575287381</v>
      </c>
      <c r="K537" s="307">
        <f t="shared" ca="1" si="247"/>
        <v>2215.6404665815344</v>
      </c>
      <c r="L537" s="304">
        <f t="shared" ca="1" si="232"/>
        <v>2294.2897046345956</v>
      </c>
      <c r="M537" s="306">
        <f t="shared" ca="1" si="248"/>
        <v>0.23596969805222912</v>
      </c>
      <c r="N537" s="304">
        <f t="shared" ca="1" si="249"/>
        <v>13.520067791369131</v>
      </c>
      <c r="P537" s="310">
        <f t="shared" ca="1" si="250"/>
        <v>23</v>
      </c>
      <c r="Q537" s="304">
        <f t="shared" ca="1" si="251"/>
        <v>0</v>
      </c>
      <c r="R537" s="306">
        <f t="shared" ca="1" si="252"/>
        <v>0</v>
      </c>
      <c r="S537" s="307">
        <f t="shared" ca="1" si="253"/>
        <v>5.0829999999999913</v>
      </c>
      <c r="T537" s="304">
        <f t="shared" ca="1" si="233"/>
        <v>49.864229999999914</v>
      </c>
      <c r="U537" s="311">
        <f t="shared" ca="1" si="234"/>
        <v>0</v>
      </c>
      <c r="V537" s="306">
        <f t="shared" ca="1" si="235"/>
        <v>0.98065326818776821</v>
      </c>
      <c r="W537" s="304">
        <f t="shared" ca="1" si="236"/>
        <v>1.6345932167193962</v>
      </c>
      <c r="Y537" s="314" t="str">
        <f t="shared" ca="1" si="254"/>
        <v/>
      </c>
      <c r="Z537" s="315" t="str">
        <f t="shared" ca="1" si="255"/>
        <v/>
      </c>
      <c r="AA537" s="316" t="str">
        <f t="shared" ca="1" si="256"/>
        <v/>
      </c>
      <c r="AC537" s="310" t="e">
        <f t="shared" ca="1" si="257"/>
        <v>#N/A</v>
      </c>
      <c r="AD537" s="323" t="e">
        <f t="shared" ca="1" si="258"/>
        <v>#N/A</v>
      </c>
      <c r="AE537" s="324" t="e">
        <f t="shared" ca="1" si="237"/>
        <v>#N/A</v>
      </c>
      <c r="AG537" s="306">
        <f t="shared" ca="1" si="259"/>
        <v>-3.0073206599827924</v>
      </c>
      <c r="AH537" s="304">
        <f t="shared" ca="1" si="260"/>
        <v>-0.32942083581833786</v>
      </c>
    </row>
    <row r="538" spans="1:34" x14ac:dyDescent="0.2">
      <c r="A538" s="347">
        <f t="shared" ca="1" si="238"/>
        <v>0.1</v>
      </c>
      <c r="B538" s="304">
        <f t="shared" ca="1" si="239"/>
        <v>17.399999999999935</v>
      </c>
      <c r="D538" s="306">
        <f t="shared" ca="1" si="240"/>
        <v>-0.31266880339065362</v>
      </c>
      <c r="E538" s="307">
        <f t="shared" ca="1" si="241"/>
        <v>-9.8851809720408159</v>
      </c>
      <c r="F538" s="304">
        <f t="shared" ca="1" si="242"/>
        <v>9.8901246013693651</v>
      </c>
      <c r="G538" s="306">
        <f t="shared" ca="1" si="243"/>
        <v>22.622496284824237</v>
      </c>
      <c r="H538" s="307">
        <f t="shared" ca="1" si="244"/>
        <v>4.4585617414949965</v>
      </c>
      <c r="I538" s="304">
        <f t="shared" ca="1" si="245"/>
        <v>23.057669243867849</v>
      </c>
      <c r="J538" s="306">
        <f t="shared" ca="1" si="246"/>
        <v>597.83292872537322</v>
      </c>
      <c r="K538" s="307">
        <f t="shared" ca="1" si="247"/>
        <v>2216.1357486605439</v>
      </c>
      <c r="L538" s="304">
        <f t="shared" ca="1" si="232"/>
        <v>2295.3565882362564</v>
      </c>
      <c r="M538" s="306">
        <f t="shared" ca="1" si="248"/>
        <v>0.19459141093418517</v>
      </c>
      <c r="N538" s="304">
        <f t="shared" ca="1" si="249"/>
        <v>11.149266576024671</v>
      </c>
      <c r="P538" s="310">
        <f t="shared" ca="1" si="250"/>
        <v>23</v>
      </c>
      <c r="Q538" s="304">
        <f t="shared" ca="1" si="251"/>
        <v>0</v>
      </c>
      <c r="R538" s="306">
        <f t="shared" ca="1" si="252"/>
        <v>0</v>
      </c>
      <c r="S538" s="307">
        <f t="shared" ca="1" si="253"/>
        <v>5.0829999999999913</v>
      </c>
      <c r="T538" s="304">
        <f t="shared" ca="1" si="233"/>
        <v>49.864229999999914</v>
      </c>
      <c r="U538" s="311">
        <f t="shared" ca="1" si="234"/>
        <v>0</v>
      </c>
      <c r="V538" s="306">
        <f t="shared" ca="1" si="235"/>
        <v>0.98060409579574659</v>
      </c>
      <c r="W538" s="304">
        <f t="shared" ca="1" si="236"/>
        <v>1.6007663688512934</v>
      </c>
      <c r="Y538" s="314" t="str">
        <f t="shared" ca="1" si="254"/>
        <v/>
      </c>
      <c r="Z538" s="315" t="str">
        <f t="shared" ca="1" si="255"/>
        <v/>
      </c>
      <c r="AA538" s="316" t="str">
        <f t="shared" ca="1" si="256"/>
        <v/>
      </c>
      <c r="AC538" s="310" t="e">
        <f t="shared" ca="1" si="257"/>
        <v>#N/A</v>
      </c>
      <c r="AD538" s="323" t="e">
        <f t="shared" ca="1" si="258"/>
        <v>#N/A</v>
      </c>
      <c r="AE538" s="324" t="e">
        <f t="shared" ca="1" si="237"/>
        <v>#N/A</v>
      </c>
      <c r="AG538" s="306">
        <f t="shared" ca="1" si="259"/>
        <v>-2.6150202950863344</v>
      </c>
      <c r="AH538" s="304">
        <f t="shared" ca="1" si="260"/>
        <v>-0.32158040856175468</v>
      </c>
    </row>
    <row r="539" spans="1:34" x14ac:dyDescent="0.2">
      <c r="A539" s="347">
        <f t="shared" ca="1" si="238"/>
        <v>0.1</v>
      </c>
      <c r="B539" s="304">
        <f t="shared" ca="1" si="239"/>
        <v>17.499999999999936</v>
      </c>
      <c r="D539" s="306">
        <f t="shared" ca="1" si="240"/>
        <v>-0.30898184510287446</v>
      </c>
      <c r="E539" s="307">
        <f t="shared" ca="1" si="241"/>
        <v>-9.8708957833851585</v>
      </c>
      <c r="F539" s="304">
        <f t="shared" ca="1" si="242"/>
        <v>9.8757305221970331</v>
      </c>
      <c r="G539" s="306">
        <f t="shared" ca="1" si="243"/>
        <v>22.591598100313949</v>
      </c>
      <c r="H539" s="307">
        <f t="shared" ca="1" si="244"/>
        <v>3.4714721631564807</v>
      </c>
      <c r="I539" s="304">
        <f t="shared" ca="1" si="245"/>
        <v>22.856758818906918</v>
      </c>
      <c r="J539" s="306">
        <f t="shared" ca="1" si="246"/>
        <v>600.09363344463009</v>
      </c>
      <c r="K539" s="307">
        <f t="shared" ca="1" si="247"/>
        <v>2216.5322503557763</v>
      </c>
      <c r="L539" s="304">
        <f t="shared" ca="1" si="232"/>
        <v>2296.329154491581</v>
      </c>
      <c r="M539" s="306">
        <f t="shared" ca="1" si="248"/>
        <v>0.15246951463692332</v>
      </c>
      <c r="N539" s="304">
        <f t="shared" ca="1" si="249"/>
        <v>8.735859693103837</v>
      </c>
      <c r="P539" s="310">
        <f t="shared" ca="1" si="250"/>
        <v>23</v>
      </c>
      <c r="Q539" s="304">
        <f t="shared" ca="1" si="251"/>
        <v>0</v>
      </c>
      <c r="R539" s="306">
        <f t="shared" ca="1" si="252"/>
        <v>0</v>
      </c>
      <c r="S539" s="307">
        <f t="shared" ca="1" si="253"/>
        <v>5.0829999999999913</v>
      </c>
      <c r="T539" s="304">
        <f t="shared" ca="1" si="233"/>
        <v>49.864229999999914</v>
      </c>
      <c r="U539" s="311">
        <f t="shared" ca="1" si="234"/>
        <v>0</v>
      </c>
      <c r="V539" s="306">
        <f t="shared" ca="1" si="235"/>
        <v>0.9805647320573766</v>
      </c>
      <c r="W539" s="304">
        <f t="shared" ca="1" si="236"/>
        <v>1.5729285626567593</v>
      </c>
      <c r="Y539" s="314" t="str">
        <f t="shared" ca="1" si="254"/>
        <v/>
      </c>
      <c r="Z539" s="315" t="str">
        <f t="shared" ca="1" si="255"/>
        <v/>
      </c>
      <c r="AA539" s="316" t="str">
        <f t="shared" ca="1" si="256"/>
        <v/>
      </c>
      <c r="AC539" s="310" t="e">
        <f t="shared" ca="1" si="257"/>
        <v>#N/A</v>
      </c>
      <c r="AD539" s="323" t="e">
        <f t="shared" ca="1" si="258"/>
        <v>#N/A</v>
      </c>
      <c r="AE539" s="324" t="e">
        <f t="shared" ca="1" si="237"/>
        <v>#N/A</v>
      </c>
      <c r="AG539" s="306">
        <f t="shared" ca="1" si="259"/>
        <v>-2.2118427668298093</v>
      </c>
      <c r="AH539" s="304">
        <f t="shared" ca="1" si="260"/>
        <v>-0.314925510299291</v>
      </c>
    </row>
    <row r="540" spans="1:34" x14ac:dyDescent="0.2">
      <c r="A540" s="347">
        <f t="shared" ca="1" si="238"/>
        <v>0.1</v>
      </c>
      <c r="B540" s="304">
        <f t="shared" ca="1" si="239"/>
        <v>17.599999999999937</v>
      </c>
      <c r="D540" s="306">
        <f t="shared" ca="1" si="240"/>
        <v>-0.30585895250727013</v>
      </c>
      <c r="E540" s="307">
        <f t="shared" ca="1" si="241"/>
        <v>-9.8569989256522064</v>
      </c>
      <c r="F540" s="304">
        <f t="shared" ca="1" si="242"/>
        <v>9.8617431278216525</v>
      </c>
      <c r="G540" s="306">
        <f t="shared" ca="1" si="243"/>
        <v>22.561012205063221</v>
      </c>
      <c r="H540" s="307">
        <f t="shared" ca="1" si="244"/>
        <v>2.4857722705912599</v>
      </c>
      <c r="I540" s="304">
        <f t="shared" ca="1" si="245"/>
        <v>22.697540296213862</v>
      </c>
      <c r="J540" s="306">
        <f t="shared" ca="1" si="246"/>
        <v>602.35126395989892</v>
      </c>
      <c r="K540" s="307">
        <f t="shared" ca="1" si="247"/>
        <v>2216.8301125774638</v>
      </c>
      <c r="L540" s="304">
        <f t="shared" ca="1" si="232"/>
        <v>2297.2076077760794</v>
      </c>
      <c r="M540" s="306">
        <f t="shared" ca="1" si="248"/>
        <v>0.10973736895965429</v>
      </c>
      <c r="N540" s="304">
        <f t="shared" ca="1" si="249"/>
        <v>6.2874880962581159</v>
      </c>
      <c r="P540" s="310">
        <f t="shared" ca="1" si="250"/>
        <v>23</v>
      </c>
      <c r="Q540" s="304">
        <f t="shared" ca="1" si="251"/>
        <v>0</v>
      </c>
      <c r="R540" s="306">
        <f t="shared" ca="1" si="252"/>
        <v>0</v>
      </c>
      <c r="S540" s="307">
        <f t="shared" ca="1" si="253"/>
        <v>5.0829999999999913</v>
      </c>
      <c r="T540" s="304">
        <f t="shared" ca="1" si="233"/>
        <v>49.864229999999914</v>
      </c>
      <c r="U540" s="311">
        <f t="shared" ca="1" si="234"/>
        <v>0</v>
      </c>
      <c r="V540" s="306">
        <f t="shared" ca="1" si="235"/>
        <v>0.98053516193383339</v>
      </c>
      <c r="W540" s="304">
        <f t="shared" ca="1" si="236"/>
        <v>1.5510443002617815</v>
      </c>
      <c r="Y540" s="314" t="str">
        <f t="shared" ca="1" si="254"/>
        <v/>
      </c>
      <c r="Z540" s="315" t="str">
        <f t="shared" ca="1" si="255"/>
        <v/>
      </c>
      <c r="AA540" s="316" t="str">
        <f t="shared" ca="1" si="256"/>
        <v/>
      </c>
      <c r="AC540" s="310" t="e">
        <f t="shared" ca="1" si="257"/>
        <v>#N/A</v>
      </c>
      <c r="AD540" s="323" t="e">
        <f t="shared" ca="1" si="258"/>
        <v>#N/A</v>
      </c>
      <c r="AE540" s="324" t="e">
        <f t="shared" ca="1" si="237"/>
        <v>#N/A</v>
      </c>
      <c r="AG540" s="306">
        <f t="shared" ca="1" si="259"/>
        <v>-1.7993863538985841</v>
      </c>
      <c r="AH540" s="304">
        <f t="shared" ca="1" si="260"/>
        <v>-0.30944886143158801</v>
      </c>
    </row>
    <row r="541" spans="1:34" x14ac:dyDescent="0.2">
      <c r="A541" s="347">
        <f t="shared" ca="1" si="238"/>
        <v>0.1</v>
      </c>
      <c r="B541" s="304">
        <f t="shared" ca="1" si="239"/>
        <v>17.699999999999939</v>
      </c>
      <c r="D541" s="306">
        <f t="shared" ca="1" si="240"/>
        <v>-0.30330800820956016</v>
      </c>
      <c r="E541" s="307">
        <f t="shared" ca="1" si="241"/>
        <v>-9.8434184756163727</v>
      </c>
      <c r="F541" s="304">
        <f t="shared" ca="1" si="242"/>
        <v>9.8480903242176758</v>
      </c>
      <c r="G541" s="306">
        <f t="shared" ca="1" si="243"/>
        <v>22.530681404242266</v>
      </c>
      <c r="H541" s="307">
        <f t="shared" ca="1" si="244"/>
        <v>1.5014304230296225</v>
      </c>
      <c r="I541" s="304">
        <f t="shared" ca="1" si="245"/>
        <v>22.580653175997085</v>
      </c>
      <c r="J541" s="306">
        <f t="shared" ca="1" si="246"/>
        <v>604.60584864036423</v>
      </c>
      <c r="K541" s="307">
        <f t="shared" ca="1" si="247"/>
        <v>2217.029472712145</v>
      </c>
      <c r="L541" s="304">
        <f t="shared" ca="1" si="232"/>
        <v>2297.9921486124417</v>
      </c>
      <c r="M541" s="306">
        <f t="shared" ca="1" si="248"/>
        <v>6.6540988220778766E-2</v>
      </c>
      <c r="N541" s="304">
        <f t="shared" ca="1" si="249"/>
        <v>3.8125177896803484</v>
      </c>
      <c r="P541" s="310">
        <f t="shared" ca="1" si="250"/>
        <v>23</v>
      </c>
      <c r="Q541" s="304">
        <f t="shared" ca="1" si="251"/>
        <v>0</v>
      </c>
      <c r="R541" s="306">
        <f t="shared" ca="1" si="252"/>
        <v>0</v>
      </c>
      <c r="S541" s="307">
        <f t="shared" ca="1" si="253"/>
        <v>5.0829999999999913</v>
      </c>
      <c r="T541" s="304">
        <f t="shared" ca="1" si="233"/>
        <v>49.864229999999914</v>
      </c>
      <c r="U541" s="311">
        <f t="shared" ca="1" si="234"/>
        <v>0</v>
      </c>
      <c r="V541" s="306">
        <f t="shared" ca="1" si="235"/>
        <v>0.98051537099880026</v>
      </c>
      <c r="W541" s="304">
        <f t="shared" ca="1" si="236"/>
        <v>1.5350794058669097</v>
      </c>
      <c r="Y541" s="314" t="str">
        <f t="shared" ca="1" si="254"/>
        <v/>
      </c>
      <c r="Z541" s="315" t="str">
        <f t="shared" ca="1" si="255"/>
        <v/>
      </c>
      <c r="AA541" s="316" t="str">
        <f t="shared" ca="1" si="256"/>
        <v/>
      </c>
      <c r="AC541" s="310" t="e">
        <f t="shared" ca="1" si="257"/>
        <v>#N/A</v>
      </c>
      <c r="AD541" s="323" t="e">
        <f t="shared" ca="1" si="258"/>
        <v>#N/A</v>
      </c>
      <c r="AE541" s="324" t="e">
        <f t="shared" ca="1" si="237"/>
        <v>#N/A</v>
      </c>
      <c r="AG541" s="306">
        <f t="shared" ca="1" si="259"/>
        <v>-1.3795077334809349</v>
      </c>
      <c r="AH541" s="304">
        <f t="shared" ca="1" si="260"/>
        <v>-0.30514347831237149</v>
      </c>
    </row>
    <row r="542" spans="1:34" x14ac:dyDescent="0.2">
      <c r="A542" s="347">
        <f t="shared" ca="1" si="238"/>
        <v>0.1</v>
      </c>
      <c r="B542" s="304">
        <f t="shared" ca="1" si="239"/>
        <v>17.79999999999994</v>
      </c>
      <c r="D542" s="306">
        <f t="shared" ca="1" si="240"/>
        <v>-0.30133429504014181</v>
      </c>
      <c r="E542" s="307">
        <f t="shared" ca="1" si="241"/>
        <v>-9.8300807276956252</v>
      </c>
      <c r="F542" s="304">
        <f t="shared" ca="1" si="242"/>
        <v>9.8346982399248173</v>
      </c>
      <c r="G542" s="306">
        <f t="shared" ca="1" si="243"/>
        <v>22.50054797473825</v>
      </c>
      <c r="H542" s="307">
        <f t="shared" ca="1" si="244"/>
        <v>0.51842235026005989</v>
      </c>
      <c r="I542" s="304">
        <f t="shared" ca="1" si="245"/>
        <v>22.506519519835731</v>
      </c>
      <c r="J542" s="306">
        <f t="shared" ca="1" si="246"/>
        <v>606.85741010931326</v>
      </c>
      <c r="K542" s="307">
        <f t="shared" ca="1" si="247"/>
        <v>2217.1304653508096</v>
      </c>
      <c r="L542" s="304">
        <f t="shared" ca="1" si="232"/>
        <v>2298.6829743553762</v>
      </c>
      <c r="M542" s="306">
        <f t="shared" ca="1" si="248"/>
        <v>2.3036356413437802E-2</v>
      </c>
      <c r="N542" s="304">
        <f t="shared" ca="1" si="249"/>
        <v>1.3198859978491122</v>
      </c>
      <c r="P542" s="310">
        <f t="shared" ca="1" si="250"/>
        <v>23</v>
      </c>
      <c r="Q542" s="304">
        <f t="shared" ca="1" si="251"/>
        <v>0</v>
      </c>
      <c r="R542" s="306">
        <f t="shared" ca="1" si="252"/>
        <v>0</v>
      </c>
      <c r="S542" s="307">
        <f t="shared" ca="1" si="253"/>
        <v>5.0829999999999913</v>
      </c>
      <c r="T542" s="304">
        <f t="shared" ca="1" si="233"/>
        <v>49.864229999999914</v>
      </c>
      <c r="U542" s="311">
        <f t="shared" ca="1" si="234"/>
        <v>0</v>
      </c>
      <c r="V542" s="306">
        <f t="shared" ca="1" si="235"/>
        <v>0.9805053453648741</v>
      </c>
      <c r="W542" s="304">
        <f t="shared" ca="1" si="236"/>
        <v>1.5250008407273723</v>
      </c>
      <c r="Y542" s="314" t="str">
        <f t="shared" ca="1" si="254"/>
        <v>Apogée</v>
      </c>
      <c r="Z542" s="315" t="str">
        <f t="shared" ca="1" si="255"/>
        <v/>
      </c>
      <c r="AA542" s="316" t="str">
        <f t="shared" ca="1" si="256"/>
        <v/>
      </c>
      <c r="AC542" s="310" t="e">
        <f t="shared" ca="1" si="257"/>
        <v>#N/A</v>
      </c>
      <c r="AD542" s="323" t="e">
        <f t="shared" ca="1" si="258"/>
        <v>#N/A</v>
      </c>
      <c r="AE542" s="324" t="e">
        <f t="shared" ca="1" si="237"/>
        <v>#N/A</v>
      </c>
      <c r="AG542" s="306">
        <f t="shared" ca="1" si="259"/>
        <v>-0.95428812865459789</v>
      </c>
      <c r="AH542" s="304">
        <f t="shared" ca="1" si="260"/>
        <v>-0.30200263739266425</v>
      </c>
    </row>
    <row r="543" spans="1:34" x14ac:dyDescent="0.2">
      <c r="A543" s="347">
        <f t="shared" ca="1" si="238"/>
        <v>0.1</v>
      </c>
      <c r="B543" s="304">
        <f t="shared" ca="1" si="239"/>
        <v>17.899999999999942</v>
      </c>
      <c r="D543" s="306">
        <f t="shared" ca="1" si="240"/>
        <v>-0.29994023601990705</v>
      </c>
      <c r="E543" s="307">
        <f t="shared" ca="1" si="241"/>
        <v>-9.8169107526745378</v>
      </c>
      <c r="F543" s="304">
        <f t="shared" ca="1" si="242"/>
        <v>9.8214917844063088</v>
      </c>
      <c r="G543" s="306">
        <f t="shared" ca="1" si="243"/>
        <v>22.47055395113626</v>
      </c>
      <c r="H543" s="307">
        <f t="shared" ca="1" si="244"/>
        <v>-0.46326872500739391</v>
      </c>
      <c r="I543" s="304">
        <f t="shared" ca="1" si="245"/>
        <v>22.475328980517624</v>
      </c>
      <c r="J543" s="306">
        <f t="shared" ca="1" si="246"/>
        <v>609.10596520560694</v>
      </c>
      <c r="K543" s="307">
        <f t="shared" ca="1" si="247"/>
        <v>2217.1332230320722</v>
      </c>
      <c r="L543" s="304">
        <f t="shared" ca="1" si="232"/>
        <v>2299.2802798966545</v>
      </c>
      <c r="M543" s="306">
        <f t="shared" ca="1" si="248"/>
        <v>-2.0613782176251729E-2</v>
      </c>
      <c r="N543" s="304">
        <f t="shared" ca="1" si="249"/>
        <v>-1.1810827185012254</v>
      </c>
      <c r="P543" s="310">
        <f t="shared" ca="1" si="250"/>
        <v>23</v>
      </c>
      <c r="Q543" s="304">
        <f t="shared" ca="1" si="251"/>
        <v>0</v>
      </c>
      <c r="R543" s="306">
        <f t="shared" ca="1" si="252"/>
        <v>0</v>
      </c>
      <c r="S543" s="307">
        <f t="shared" ca="1" si="253"/>
        <v>5.0829999999999913</v>
      </c>
      <c r="T543" s="304">
        <f t="shared" ca="1" si="233"/>
        <v>49.864229999999914</v>
      </c>
      <c r="U543" s="311">
        <f t="shared" ca="1" si="234"/>
        <v>0</v>
      </c>
      <c r="V543" s="306">
        <f t="shared" ca="1" si="235"/>
        <v>0.98050507160854794</v>
      </c>
      <c r="W543" s="304">
        <f t="shared" ca="1" si="236"/>
        <v>1.5207765165259168</v>
      </c>
      <c r="Y543" s="314" t="str">
        <f t="shared" ca="1" si="254"/>
        <v/>
      </c>
      <c r="Z543" s="315" t="str">
        <f t="shared" ca="1" si="255"/>
        <v/>
      </c>
      <c r="AA543" s="316" t="str">
        <f t="shared" ca="1" si="256"/>
        <v/>
      </c>
      <c r="AC543" s="310" t="e">
        <f t="shared" ca="1" si="257"/>
        <v>#N/A</v>
      </c>
      <c r="AD543" s="323" t="e">
        <f t="shared" ca="1" si="258"/>
        <v>#N/A</v>
      </c>
      <c r="AE543" s="324" t="e">
        <f t="shared" ca="1" si="237"/>
        <v>#N/A</v>
      </c>
      <c r="AG543" s="306">
        <f t="shared" ca="1" si="259"/>
        <v>-0.52598650823738846</v>
      </c>
      <c r="AH543" s="304">
        <f t="shared" ca="1" si="260"/>
        <v>-0.3000198388210456</v>
      </c>
    </row>
    <row r="544" spans="1:34" x14ac:dyDescent="0.2">
      <c r="A544" s="347">
        <f t="shared" ca="1" si="238"/>
        <v>0.1</v>
      </c>
      <c r="B544" s="304">
        <f t="shared" ca="1" si="239"/>
        <v>17.999999999999943</v>
      </c>
      <c r="D544" s="306">
        <f t="shared" ca="1" si="240"/>
        <v>-0.29912520513350993</v>
      </c>
      <c r="E544" s="307">
        <f t="shared" ca="1" si="241"/>
        <v>-9.8038330246463392</v>
      </c>
      <c r="F544" s="304">
        <f t="shared" ca="1" si="242"/>
        <v>9.808395274635517</v>
      </c>
      <c r="G544" s="306">
        <f t="shared" ca="1" si="243"/>
        <v>22.440641430622911</v>
      </c>
      <c r="H544" s="307">
        <f t="shared" ca="1" si="244"/>
        <v>-1.4436520274720279</v>
      </c>
      <c r="I544" s="304">
        <f t="shared" ca="1" si="245"/>
        <v>22.487030017194659</v>
      </c>
      <c r="J544" s="306">
        <f t="shared" ca="1" si="246"/>
        <v>611.35152497469494</v>
      </c>
      <c r="K544" s="307">
        <f t="shared" ca="1" si="247"/>
        <v>2217.0378769944482</v>
      </c>
      <c r="L544" s="304">
        <f t="shared" ca="1" si="232"/>
        <v>2299.7842583853244</v>
      </c>
      <c r="M544" s="306">
        <f t="shared" ca="1" si="248"/>
        <v>-6.4243501763754943E-2</v>
      </c>
      <c r="N544" s="304">
        <f t="shared" ca="1" si="249"/>
        <v>-3.6808815122044187</v>
      </c>
      <c r="P544" s="310">
        <f t="shared" ca="1" si="250"/>
        <v>23</v>
      </c>
      <c r="Q544" s="304">
        <f t="shared" ca="1" si="251"/>
        <v>0</v>
      </c>
      <c r="R544" s="306">
        <f t="shared" ca="1" si="252"/>
        <v>0</v>
      </c>
      <c r="S544" s="307">
        <f t="shared" ca="1" si="253"/>
        <v>5.0829999999999913</v>
      </c>
      <c r="T544" s="304">
        <f t="shared" ca="1" si="233"/>
        <v>49.864229999999914</v>
      </c>
      <c r="U544" s="311">
        <f t="shared" ca="1" si="234"/>
        <v>0</v>
      </c>
      <c r="V544" s="306">
        <f t="shared" ca="1" si="235"/>
        <v>0.98051453669433963</v>
      </c>
      <c r="W544" s="304">
        <f t="shared" ca="1" si="236"/>
        <v>1.5223751084742938</v>
      </c>
      <c r="Y544" s="314" t="str">
        <f t="shared" ca="1" si="254"/>
        <v/>
      </c>
      <c r="Z544" s="315" t="str">
        <f t="shared" ca="1" si="255"/>
        <v/>
      </c>
      <c r="AA544" s="316" t="str">
        <f t="shared" ca="1" si="256"/>
        <v/>
      </c>
      <c r="AC544" s="310">
        <f t="shared" ca="1" si="257"/>
        <v>17.999999999999943</v>
      </c>
      <c r="AD544" s="323">
        <f t="shared" ca="1" si="258"/>
        <v>611.35152497469494</v>
      </c>
      <c r="AE544" s="324" t="e">
        <f t="shared" ca="1" si="237"/>
        <v>#N/A</v>
      </c>
      <c r="AG544" s="306">
        <f t="shared" ca="1" si="259"/>
        <v>-9.6981887850157072E-2</v>
      </c>
      <c r="AH544" s="304">
        <f t="shared" ca="1" si="260"/>
        <v>-0.29918876972770397</v>
      </c>
    </row>
    <row r="545" spans="1:34" x14ac:dyDescent="0.2">
      <c r="A545" s="347">
        <f t="shared" ca="1" si="238"/>
        <v>0.1</v>
      </c>
      <c r="B545" s="304">
        <f t="shared" ca="1" si="239"/>
        <v>18.099999999999945</v>
      </c>
      <c r="D545" s="306">
        <f t="shared" ca="1" si="240"/>
        <v>-0.29888542093467751</v>
      </c>
      <c r="E545" s="307">
        <f t="shared" ca="1" si="241"/>
        <v>-9.7907720940041685</v>
      </c>
      <c r="F545" s="304">
        <f t="shared" ca="1" si="242"/>
        <v>9.7953331077395251</v>
      </c>
      <c r="G545" s="306">
        <f t="shared" ca="1" si="243"/>
        <v>22.410752888529444</v>
      </c>
      <c r="H545" s="307">
        <f t="shared" ca="1" si="244"/>
        <v>-2.4227292368724447</v>
      </c>
      <c r="I545" s="304">
        <f t="shared" ca="1" si="245"/>
        <v>22.541327866519474</v>
      </c>
      <c r="J545" s="306">
        <f t="shared" ca="1" si="246"/>
        <v>613.59409469065258</v>
      </c>
      <c r="K545" s="307">
        <f t="shared" ca="1" si="247"/>
        <v>2216.8445579312311</v>
      </c>
      <c r="L545" s="304">
        <f t="shared" ca="1" si="232"/>
        <v>2300.1951019573439</v>
      </c>
      <c r="M545" s="306">
        <f t="shared" ca="1" si="248"/>
        <v>-0.10768745121546418</v>
      </c>
      <c r="N545" s="304">
        <f t="shared" ca="1" si="249"/>
        <v>-6.1700364611670446</v>
      </c>
      <c r="P545" s="310">
        <f t="shared" ca="1" si="250"/>
        <v>23</v>
      </c>
      <c r="Q545" s="304">
        <f t="shared" ca="1" si="251"/>
        <v>0</v>
      </c>
      <c r="R545" s="306">
        <f t="shared" ca="1" si="252"/>
        <v>0</v>
      </c>
      <c r="S545" s="307">
        <f t="shared" ca="1" si="253"/>
        <v>5.0829999999999913</v>
      </c>
      <c r="T545" s="304">
        <f t="shared" ca="1" si="233"/>
        <v>49.864229999999914</v>
      </c>
      <c r="U545" s="311">
        <f t="shared" ca="1" si="234"/>
        <v>0</v>
      </c>
      <c r="V545" s="306">
        <f t="shared" ca="1" si="235"/>
        <v>0.9805337278986993</v>
      </c>
      <c r="W545" s="304">
        <f t="shared" ca="1" si="236"/>
        <v>1.5297658696101109</v>
      </c>
      <c r="Y545" s="314" t="str">
        <f t="shared" ca="1" si="254"/>
        <v/>
      </c>
      <c r="Z545" s="315" t="str">
        <f t="shared" ca="1" si="255"/>
        <v/>
      </c>
      <c r="AA545" s="316" t="str">
        <f t="shared" ca="1" si="256"/>
        <v/>
      </c>
      <c r="AC545" s="310" t="e">
        <f t="shared" ca="1" si="257"/>
        <v>#N/A</v>
      </c>
      <c r="AD545" s="323" t="e">
        <f t="shared" ca="1" si="258"/>
        <v>#N/A</v>
      </c>
      <c r="AE545" s="324" t="e">
        <f t="shared" ca="1" si="237"/>
        <v>#N/A</v>
      </c>
      <c r="AG545" s="306">
        <f t="shared" ca="1" si="259"/>
        <v>0.33029205805793466</v>
      </c>
      <c r="AH545" s="304">
        <f t="shared" ca="1" si="260"/>
        <v>-0.29950326745510453</v>
      </c>
    </row>
    <row r="546" spans="1:34" x14ac:dyDescent="0.2">
      <c r="A546" s="347">
        <f t="shared" ca="1" si="238"/>
        <v>0.1</v>
      </c>
      <c r="B546" s="304">
        <f t="shared" ca="1" si="239"/>
        <v>18.199999999999946</v>
      </c>
      <c r="D546" s="306">
        <f t="shared" ca="1" si="240"/>
        <v>-0.29921393006611863</v>
      </c>
      <c r="E546" s="307">
        <f t="shared" ca="1" si="241"/>
        <v>-9.7776532805454419</v>
      </c>
      <c r="F546" s="304">
        <f t="shared" ca="1" si="242"/>
        <v>9.7822304537618958</v>
      </c>
      <c r="G546" s="306">
        <f t="shared" ca="1" si="243"/>
        <v>22.380831495522834</v>
      </c>
      <c r="H546" s="307">
        <f t="shared" ca="1" si="244"/>
        <v>-3.4004945649269889</v>
      </c>
      <c r="I546" s="304">
        <f t="shared" ca="1" si="245"/>
        <v>22.637689407646814</v>
      </c>
      <c r="J546" s="306">
        <f t="shared" ca="1" si="246"/>
        <v>615.83367390985518</v>
      </c>
      <c r="K546" s="307">
        <f t="shared" ca="1" si="247"/>
        <v>2216.5533967411411</v>
      </c>
      <c r="L546" s="304">
        <f t="shared" ca="1" si="232"/>
        <v>2300.5130024683626</v>
      </c>
      <c r="M546" s="306">
        <f t="shared" ca="1" si="248"/>
        <v>-0.1507845772633242</v>
      </c>
      <c r="N546" s="304">
        <f t="shared" ca="1" si="249"/>
        <v>-8.6393198928527486</v>
      </c>
      <c r="P546" s="310">
        <f t="shared" ca="1" si="250"/>
        <v>23</v>
      </c>
      <c r="Q546" s="304">
        <f t="shared" ca="1" si="251"/>
        <v>0</v>
      </c>
      <c r="R546" s="306">
        <f t="shared" ca="1" si="252"/>
        <v>0</v>
      </c>
      <c r="S546" s="307">
        <f t="shared" ca="1" si="253"/>
        <v>5.0829999999999913</v>
      </c>
      <c r="T546" s="304">
        <f t="shared" ca="1" si="233"/>
        <v>49.864229999999914</v>
      </c>
      <c r="U546" s="311">
        <f t="shared" ca="1" si="234"/>
        <v>0</v>
      </c>
      <c r="V546" s="306">
        <f t="shared" ca="1" si="235"/>
        <v>0.98056263273436561</v>
      </c>
      <c r="W546" s="304">
        <f t="shared" ca="1" si="236"/>
        <v>1.5429184478286908</v>
      </c>
      <c r="Y546" s="314" t="str">
        <f t="shared" ca="1" si="254"/>
        <v/>
      </c>
      <c r="Z546" s="315" t="str">
        <f t="shared" ca="1" si="255"/>
        <v/>
      </c>
      <c r="AA546" s="316" t="str">
        <f t="shared" ca="1" si="256"/>
        <v/>
      </c>
      <c r="AC546" s="310" t="e">
        <f t="shared" ca="1" si="257"/>
        <v>#N/A</v>
      </c>
      <c r="AD546" s="323" t="e">
        <f t="shared" ca="1" si="258"/>
        <v>#N/A</v>
      </c>
      <c r="AE546" s="324" t="e">
        <f t="shared" ca="1" si="237"/>
        <v>#N/A</v>
      </c>
      <c r="AG546" s="306">
        <f t="shared" ca="1" si="259"/>
        <v>0.75341599766562384</v>
      </c>
      <c r="AH546" s="304">
        <f t="shared" ca="1" si="260"/>
        <v>-0.30095728302382718</v>
      </c>
    </row>
    <row r="547" spans="1:34" x14ac:dyDescent="0.2">
      <c r="A547" s="347">
        <f t="shared" ca="1" si="238"/>
        <v>0.1</v>
      </c>
      <c r="B547" s="304">
        <f t="shared" ca="1" si="239"/>
        <v>18.299999999999947</v>
      </c>
      <c r="D547" s="306">
        <f t="shared" ca="1" si="240"/>
        <v>-0.30010068200861378</v>
      </c>
      <c r="E547" s="307">
        <f t="shared" ca="1" si="241"/>
        <v>-9.7644033590393953</v>
      </c>
      <c r="F547" s="304">
        <f t="shared" ca="1" si="242"/>
        <v>9.7690139408930037</v>
      </c>
      <c r="G547" s="306">
        <f t="shared" ca="1" si="243"/>
        <v>22.350821427321971</v>
      </c>
      <c r="H547" s="307">
        <f t="shared" ca="1" si="244"/>
        <v>-4.3769349008309284</v>
      </c>
      <c r="I547" s="304">
        <f t="shared" ca="1" si="245"/>
        <v>22.775354609800193</v>
      </c>
      <c r="J547" s="306">
        <f t="shared" ca="1" si="246"/>
        <v>618.07025655599739</v>
      </c>
      <c r="K547" s="307">
        <f t="shared" ca="1" si="247"/>
        <v>2216.1645252678532</v>
      </c>
      <c r="L547" s="304">
        <f t="shared" ca="1" si="232"/>
        <v>2300.738152223083</v>
      </c>
      <c r="M547" s="306">
        <f t="shared" ca="1" si="248"/>
        <v>-0.1933816079254321</v>
      </c>
      <c r="N547" s="304">
        <f t="shared" ca="1" si="249"/>
        <v>-11.079949969580891</v>
      </c>
      <c r="P547" s="310">
        <f t="shared" ca="1" si="250"/>
        <v>23</v>
      </c>
      <c r="Q547" s="304">
        <f t="shared" ca="1" si="251"/>
        <v>0</v>
      </c>
      <c r="R547" s="306">
        <f t="shared" ca="1" si="252"/>
        <v>0</v>
      </c>
      <c r="S547" s="307">
        <f t="shared" ca="1" si="253"/>
        <v>5.0829999999999913</v>
      </c>
      <c r="T547" s="304">
        <f t="shared" ca="1" si="233"/>
        <v>49.864229999999914</v>
      </c>
      <c r="U547" s="311">
        <f t="shared" ca="1" si="234"/>
        <v>0</v>
      </c>
      <c r="V547" s="306">
        <f t="shared" ca="1" si="235"/>
        <v>0.98060123887582806</v>
      </c>
      <c r="W547" s="304">
        <f t="shared" ca="1" si="236"/>
        <v>1.5618027071987446</v>
      </c>
      <c r="Y547" s="314" t="str">
        <f t="shared" ca="1" si="254"/>
        <v/>
      </c>
      <c r="Z547" s="315" t="str">
        <f t="shared" ca="1" si="255"/>
        <v/>
      </c>
      <c r="AA547" s="316" t="str">
        <f t="shared" ca="1" si="256"/>
        <v/>
      </c>
      <c r="AC547" s="310" t="e">
        <f t="shared" ca="1" si="257"/>
        <v>#N/A</v>
      </c>
      <c r="AD547" s="323" t="e">
        <f t="shared" ca="1" si="258"/>
        <v>#N/A</v>
      </c>
      <c r="AE547" s="324" t="e">
        <f t="shared" ca="1" si="237"/>
        <v>#N/A</v>
      </c>
      <c r="AG547" s="306">
        <f t="shared" ca="1" si="259"/>
        <v>1.1700530597214946</v>
      </c>
      <c r="AH547" s="304">
        <f t="shared" ca="1" si="260"/>
        <v>-0.30354484513647323</v>
      </c>
    </row>
    <row r="548" spans="1:34" x14ac:dyDescent="0.2">
      <c r="A548" s="347">
        <f t="shared" ca="1" si="238"/>
        <v>0.1</v>
      </c>
      <c r="B548" s="304">
        <f t="shared" ca="1" si="239"/>
        <v>18.399999999999949</v>
      </c>
      <c r="D548" s="306">
        <f t="shared" ca="1" si="240"/>
        <v>-0.30153269043365605</v>
      </c>
      <c r="E548" s="307">
        <f t="shared" ca="1" si="241"/>
        <v>-9.7509512101918911</v>
      </c>
      <c r="F548" s="304">
        <f t="shared" ca="1" si="242"/>
        <v>9.7556123061006712</v>
      </c>
      <c r="G548" s="306">
        <f t="shared" ca="1" si="243"/>
        <v>22.320668158278608</v>
      </c>
      <c r="H548" s="307">
        <f t="shared" ca="1" si="244"/>
        <v>-5.3520300218501173</v>
      </c>
      <c r="I548" s="304">
        <f t="shared" ca="1" si="245"/>
        <v>22.953353837441217</v>
      </c>
      <c r="J548" s="306">
        <f t="shared" ca="1" si="246"/>
        <v>620.30383103527743</v>
      </c>
      <c r="K548" s="307">
        <f t="shared" ca="1" si="247"/>
        <v>2215.6780770217192</v>
      </c>
      <c r="L548" s="304">
        <f t="shared" ca="1" si="232"/>
        <v>2300.8707446946482</v>
      </c>
      <c r="M548" s="306">
        <f t="shared" ca="1" si="248"/>
        <v>-0.23533611380221253</v>
      </c>
      <c r="N548" s="304">
        <f t="shared" ca="1" si="249"/>
        <v>-13.483766087877219</v>
      </c>
      <c r="P548" s="310">
        <f t="shared" ca="1" si="250"/>
        <v>23</v>
      </c>
      <c r="Q548" s="304">
        <f t="shared" ca="1" si="251"/>
        <v>0</v>
      </c>
      <c r="R548" s="306">
        <f t="shared" ca="1" si="252"/>
        <v>0</v>
      </c>
      <c r="S548" s="307">
        <f t="shared" ca="1" si="253"/>
        <v>5.0829999999999913</v>
      </c>
      <c r="T548" s="304">
        <f t="shared" ca="1" si="233"/>
        <v>49.864229999999914</v>
      </c>
      <c r="U548" s="311">
        <f t="shared" ca="1" si="234"/>
        <v>0</v>
      </c>
      <c r="V548" s="306">
        <f t="shared" ca="1" si="235"/>
        <v>0.98064953408656186</v>
      </c>
      <c r="W548" s="304">
        <f t="shared" ca="1" si="236"/>
        <v>1.5863885550555501</v>
      </c>
      <c r="Y548" s="314" t="str">
        <f t="shared" ca="1" si="254"/>
        <v/>
      </c>
      <c r="Z548" s="315" t="str">
        <f t="shared" ca="1" si="255"/>
        <v/>
      </c>
      <c r="AA548" s="316" t="str">
        <f t="shared" ca="1" si="256"/>
        <v/>
      </c>
      <c r="AC548" s="310" t="e">
        <f t="shared" ca="1" si="257"/>
        <v>#N/A</v>
      </c>
      <c r="AD548" s="323" t="e">
        <f t="shared" ca="1" si="258"/>
        <v>#N/A</v>
      </c>
      <c r="AE548" s="324" t="e">
        <f t="shared" ca="1" si="237"/>
        <v>#N/A</v>
      </c>
      <c r="AG548" s="306">
        <f t="shared" ca="1" si="259"/>
        <v>1.5780116694359192</v>
      </c>
      <c r="AH548" s="304">
        <f t="shared" ca="1" si="260"/>
        <v>-0.3072600250243453</v>
      </c>
    </row>
    <row r="549" spans="1:34" x14ac:dyDescent="0.2">
      <c r="A549" s="347">
        <f t="shared" ca="1" si="238"/>
        <v>0.1</v>
      </c>
      <c r="B549" s="304">
        <f t="shared" ca="1" si="239"/>
        <v>18.49999999999995</v>
      </c>
      <c r="D549" s="306">
        <f t="shared" ca="1" si="240"/>
        <v>-0.30349427110823574</v>
      </c>
      <c r="E549" s="307">
        <f t="shared" ca="1" si="241"/>
        <v>-9.7372284127467594</v>
      </c>
      <c r="F549" s="304">
        <f t="shared" ca="1" si="242"/>
        <v>9.7419569868994138</v>
      </c>
      <c r="G549" s="306">
        <f t="shared" ca="1" si="243"/>
        <v>22.290318731167783</v>
      </c>
      <c r="H549" s="307">
        <f t="shared" ca="1" si="244"/>
        <v>-6.3257528631247935</v>
      </c>
      <c r="I549" s="304">
        <f t="shared" ca="1" si="245"/>
        <v>23.170529955578935</v>
      </c>
      <c r="J549" s="306">
        <f t="shared" ca="1" si="246"/>
        <v>622.53438037974979</v>
      </c>
      <c r="K549" s="307">
        <f t="shared" ca="1" si="247"/>
        <v>2215.0941878774706</v>
      </c>
      <c r="L549" s="304">
        <f t="shared" ca="1" si="232"/>
        <v>2300.9109752277141</v>
      </c>
      <c r="M549" s="306">
        <f t="shared" ca="1" si="248"/>
        <v>-0.27651900659237555</v>
      </c>
      <c r="N549" s="304">
        <f t="shared" ca="1" si="249"/>
        <v>-15.843372032893306</v>
      </c>
      <c r="P549" s="310">
        <f t="shared" ca="1" si="250"/>
        <v>23</v>
      </c>
      <c r="Q549" s="304">
        <f t="shared" ca="1" si="251"/>
        <v>0</v>
      </c>
      <c r="R549" s="306">
        <f t="shared" ca="1" si="252"/>
        <v>0</v>
      </c>
      <c r="S549" s="307">
        <f t="shared" ca="1" si="253"/>
        <v>5.0829999999999913</v>
      </c>
      <c r="T549" s="304">
        <f t="shared" ca="1" si="233"/>
        <v>49.864229999999914</v>
      </c>
      <c r="U549" s="311">
        <f t="shared" ca="1" si="234"/>
        <v>0</v>
      </c>
      <c r="V549" s="306">
        <f t="shared" ca="1" si="235"/>
        <v>0.98070750614862356</v>
      </c>
      <c r="W549" s="304">
        <f t="shared" ca="1" si="236"/>
        <v>1.616645776250403</v>
      </c>
      <c r="Y549" s="314" t="str">
        <f t="shared" ca="1" si="254"/>
        <v/>
      </c>
      <c r="Z549" s="315" t="str">
        <f t="shared" ca="1" si="255"/>
        <v/>
      </c>
      <c r="AA549" s="316" t="str">
        <f t="shared" ca="1" si="256"/>
        <v/>
      </c>
      <c r="AC549" s="310" t="e">
        <f t="shared" ca="1" si="257"/>
        <v>#N/A</v>
      </c>
      <c r="AD549" s="323" t="e">
        <f t="shared" ca="1" si="258"/>
        <v>#N/A</v>
      </c>
      <c r="AE549" s="324" t="e">
        <f t="shared" ca="1" si="237"/>
        <v>#N/A</v>
      </c>
      <c r="AG549" s="306">
        <f t="shared" ca="1" si="259"/>
        <v>1.9752993049464274</v>
      </c>
      <c r="AH549" s="304">
        <f t="shared" ca="1" si="260"/>
        <v>-0.31209690243075994</v>
      </c>
    </row>
    <row r="550" spans="1:34" x14ac:dyDescent="0.2">
      <c r="A550" s="347">
        <f t="shared" ca="1" si="238"/>
        <v>0.1</v>
      </c>
      <c r="B550" s="304">
        <f t="shared" ca="1" si="239"/>
        <v>18.599999999999952</v>
      </c>
      <c r="D550" s="306">
        <f t="shared" ca="1" si="240"/>
        <v>-0.30596734198615561</v>
      </c>
      <c r="E550" s="307">
        <f t="shared" ca="1" si="241"/>
        <v>-9.7231697571069144</v>
      </c>
      <c r="F550" s="304">
        <f t="shared" ca="1" si="242"/>
        <v>9.727982634641192</v>
      </c>
      <c r="G550" s="306">
        <f t="shared" ca="1" si="243"/>
        <v>22.259721996969169</v>
      </c>
      <c r="H550" s="307">
        <f t="shared" ca="1" si="244"/>
        <v>-7.2980698388354845</v>
      </c>
      <c r="I550" s="304">
        <f t="shared" ca="1" si="245"/>
        <v>23.425563958096575</v>
      </c>
      <c r="J550" s="306">
        <f t="shared" ca="1" si="246"/>
        <v>624.7618824161566</v>
      </c>
      <c r="K550" s="307">
        <f t="shared" ca="1" si="247"/>
        <v>2214.4129967423728</v>
      </c>
      <c r="L550" s="304">
        <f t="shared" ca="1" si="232"/>
        <v>2300.8590417193564</v>
      </c>
      <c r="M550" s="306">
        <f t="shared" ca="1" si="248"/>
        <v>-0.31681638656347849</v>
      </c>
      <c r="N550" s="304">
        <f t="shared" ca="1" si="249"/>
        <v>-18.152241830672519</v>
      </c>
      <c r="P550" s="310">
        <f t="shared" ca="1" si="250"/>
        <v>23</v>
      </c>
      <c r="Q550" s="304">
        <f t="shared" ca="1" si="251"/>
        <v>0</v>
      </c>
      <c r="R550" s="306">
        <f t="shared" ca="1" si="252"/>
        <v>0</v>
      </c>
      <c r="S550" s="307">
        <f t="shared" ca="1" si="253"/>
        <v>5.0829999999999913</v>
      </c>
      <c r="T550" s="304">
        <f t="shared" ca="1" si="233"/>
        <v>49.864229999999914</v>
      </c>
      <c r="U550" s="311">
        <f t="shared" ca="1" si="234"/>
        <v>0</v>
      </c>
      <c r="V550" s="306">
        <f t="shared" ca="1" si="235"/>
        <v>0.9807751427951571</v>
      </c>
      <c r="W550" s="304">
        <f t="shared" ca="1" si="236"/>
        <v>1.652543875769898</v>
      </c>
      <c r="Y550" s="314" t="str">
        <f t="shared" ca="1" si="254"/>
        <v/>
      </c>
      <c r="Z550" s="315" t="str">
        <f t="shared" ca="1" si="255"/>
        <v/>
      </c>
      <c r="AA550" s="316" t="str">
        <f t="shared" ca="1" si="256"/>
        <v/>
      </c>
      <c r="AC550" s="310" t="e">
        <f t="shared" ca="1" si="257"/>
        <v>#N/A</v>
      </c>
      <c r="AD550" s="323" t="e">
        <f t="shared" ca="1" si="258"/>
        <v>#N/A</v>
      </c>
      <c r="AE550" s="324" t="e">
        <f t="shared" ca="1" si="237"/>
        <v>#N/A</v>
      </c>
      <c r="AG550" s="306">
        <f t="shared" ca="1" si="259"/>
        <v>2.3601643751916268</v>
      </c>
      <c r="AH550" s="304">
        <f t="shared" ca="1" si="260"/>
        <v>-0.31804953300224392</v>
      </c>
    </row>
    <row r="551" spans="1:34" x14ac:dyDescent="0.2">
      <c r="A551" s="347">
        <f t="shared" ca="1" si="238"/>
        <v>0.1</v>
      </c>
      <c r="B551" s="304">
        <f t="shared" ca="1" si="239"/>
        <v>18.699999999999953</v>
      </c>
      <c r="D551" s="306">
        <f t="shared" ca="1" si="240"/>
        <v>-0.30893176832505526</v>
      </c>
      <c r="E551" s="307">
        <f t="shared" ca="1" si="241"/>
        <v>-9.7087136667305121</v>
      </c>
      <c r="F551" s="304">
        <f t="shared" ca="1" si="242"/>
        <v>9.7136275355832069</v>
      </c>
      <c r="G551" s="306">
        <f t="shared" ca="1" si="243"/>
        <v>22.228828820136663</v>
      </c>
      <c r="H551" s="307">
        <f t="shared" ca="1" si="244"/>
        <v>-8.2689412055085363</v>
      </c>
      <c r="I551" s="304">
        <f t="shared" ca="1" si="245"/>
        <v>23.717002748557739</v>
      </c>
      <c r="J551" s="306">
        <f t="shared" ca="1" si="246"/>
        <v>626.98630995701194</v>
      </c>
      <c r="K551" s="307">
        <f t="shared" ca="1" si="247"/>
        <v>2213.6346461901558</v>
      </c>
      <c r="L551" s="304">
        <f t="shared" ca="1" si="232"/>
        <v>2300.7151452726448</v>
      </c>
      <c r="M551" s="306">
        <f t="shared" ca="1" si="248"/>
        <v>-0.35613070632247368</v>
      </c>
      <c r="N551" s="304">
        <f t="shared" ca="1" si="249"/>
        <v>-20.404786427290723</v>
      </c>
      <c r="P551" s="310">
        <f t="shared" ca="1" si="250"/>
        <v>23</v>
      </c>
      <c r="Q551" s="304">
        <f t="shared" ca="1" si="251"/>
        <v>0</v>
      </c>
      <c r="R551" s="306">
        <f t="shared" ca="1" si="252"/>
        <v>0</v>
      </c>
      <c r="S551" s="307">
        <f t="shared" ca="1" si="253"/>
        <v>5.0829999999999913</v>
      </c>
      <c r="T551" s="304">
        <f t="shared" ca="1" si="233"/>
        <v>49.864229999999914</v>
      </c>
      <c r="U551" s="311">
        <f t="shared" ca="1" si="234"/>
        <v>0</v>
      </c>
      <c r="V551" s="306">
        <f t="shared" ca="1" si="235"/>
        <v>0.98085243164625269</v>
      </c>
      <c r="W551" s="304">
        <f t="shared" ca="1" si="236"/>
        <v>1.6940519307357835</v>
      </c>
      <c r="Y551" s="314" t="str">
        <f t="shared" ca="1" si="254"/>
        <v/>
      </c>
      <c r="Z551" s="315" t="str">
        <f t="shared" ca="1" si="255"/>
        <v/>
      </c>
      <c r="AA551" s="316" t="str">
        <f t="shared" ca="1" si="256"/>
        <v/>
      </c>
      <c r="AC551" s="310" t="e">
        <f t="shared" ca="1" si="257"/>
        <v>#N/A</v>
      </c>
      <c r="AD551" s="323" t="e">
        <f t="shared" ca="1" si="258"/>
        <v>#N/A</v>
      </c>
      <c r="AE551" s="324" t="e">
        <f t="shared" ca="1" si="237"/>
        <v>#N/A</v>
      </c>
      <c r="AG551" s="306">
        <f t="shared" ca="1" si="259"/>
        <v>2.731124647438647</v>
      </c>
      <c r="AH551" s="304">
        <f t="shared" ca="1" si="260"/>
        <v>-0.32511191732636258</v>
      </c>
    </row>
    <row r="552" spans="1:34" x14ac:dyDescent="0.2">
      <c r="A552" s="347">
        <f t="shared" ca="1" si="238"/>
        <v>0.1</v>
      </c>
      <c r="B552" s="304">
        <f t="shared" ca="1" si="239"/>
        <v>18.799999999999955</v>
      </c>
      <c r="D552" s="306">
        <f t="shared" ca="1" si="240"/>
        <v>-0.31236573455510092</v>
      </c>
      <c r="E552" s="307">
        <f t="shared" ca="1" si="241"/>
        <v>-9.6938025199370035</v>
      </c>
      <c r="F552" s="304">
        <f t="shared" ca="1" si="242"/>
        <v>9.6988339323684229</v>
      </c>
      <c r="G552" s="306">
        <f t="shared" ca="1" si="243"/>
        <v>22.197592246681154</v>
      </c>
      <c r="H552" s="307">
        <f t="shared" ca="1" si="244"/>
        <v>-9.2383214575022361</v>
      </c>
      <c r="I552" s="304">
        <f t="shared" ca="1" si="245"/>
        <v>24.043287730717392</v>
      </c>
      <c r="J552" s="306">
        <f t="shared" ca="1" si="246"/>
        <v>629.20763101035288</v>
      </c>
      <c r="K552" s="307">
        <f t="shared" ca="1" si="247"/>
        <v>2212.7592830570052</v>
      </c>
      <c r="L552" s="304">
        <f t="shared" ca="1" si="232"/>
        <v>2300.4794908185145</v>
      </c>
      <c r="M552" s="306">
        <f t="shared" ca="1" si="248"/>
        <v>-0.39438126999483281</v>
      </c>
      <c r="N552" s="304">
        <f t="shared" ca="1" si="249"/>
        <v>-22.596382289713329</v>
      </c>
      <c r="P552" s="310">
        <f t="shared" ca="1" si="250"/>
        <v>23</v>
      </c>
      <c r="Q552" s="304">
        <f t="shared" ca="1" si="251"/>
        <v>0</v>
      </c>
      <c r="R552" s="306">
        <f t="shared" ca="1" si="252"/>
        <v>0</v>
      </c>
      <c r="S552" s="307">
        <f t="shared" ca="1" si="253"/>
        <v>5.0829999999999913</v>
      </c>
      <c r="T552" s="304">
        <f t="shared" ca="1" si="233"/>
        <v>49.864229999999914</v>
      </c>
      <c r="U552" s="311">
        <f t="shared" ca="1" si="234"/>
        <v>0</v>
      </c>
      <c r="V552" s="306">
        <f t="shared" ca="1" si="235"/>
        <v>0.9809393601485259</v>
      </c>
      <c r="W552" s="304">
        <f t="shared" ca="1" si="236"/>
        <v>1.7411384525704101</v>
      </c>
      <c r="Y552" s="314" t="str">
        <f t="shared" ca="1" si="254"/>
        <v/>
      </c>
      <c r="Z552" s="315" t="str">
        <f t="shared" ca="1" si="255"/>
        <v/>
      </c>
      <c r="AA552" s="316" t="str">
        <f t="shared" ca="1" si="256"/>
        <v/>
      </c>
      <c r="AC552" s="310" t="e">
        <f t="shared" ca="1" si="257"/>
        <v>#N/A</v>
      </c>
      <c r="AD552" s="323" t="e">
        <f t="shared" ca="1" si="258"/>
        <v>#N/A</v>
      </c>
      <c r="AE552" s="324" t="e">
        <f t="shared" ca="1" si="237"/>
        <v>#N/A</v>
      </c>
      <c r="AG552" s="306">
        <f t="shared" ca="1" si="259"/>
        <v>3.0869819187806193</v>
      </c>
      <c r="AH552" s="304">
        <f t="shared" ca="1" si="260"/>
        <v>-0.33327797181502783</v>
      </c>
    </row>
    <row r="553" spans="1:34" x14ac:dyDescent="0.2">
      <c r="A553" s="347">
        <f t="shared" ca="1" si="238"/>
        <v>0.1</v>
      </c>
      <c r="B553" s="304">
        <f t="shared" ca="1" si="239"/>
        <v>18.899999999999956</v>
      </c>
      <c r="D553" s="306">
        <f t="shared" ca="1" si="240"/>
        <v>-0.3162461251127473</v>
      </c>
      <c r="E553" s="307">
        <f t="shared" ca="1" si="241"/>
        <v>-9.6783828709432296</v>
      </c>
      <c r="F553" s="304">
        <f t="shared" ca="1" si="242"/>
        <v>9.6835482447404644</v>
      </c>
      <c r="G553" s="306">
        <f t="shared" ca="1" si="243"/>
        <v>22.165967634169878</v>
      </c>
      <c r="H553" s="307">
        <f t="shared" ca="1" si="244"/>
        <v>-10.206159744596558</v>
      </c>
      <c r="I553" s="304">
        <f t="shared" ca="1" si="245"/>
        <v>24.402782994799789</v>
      </c>
      <c r="J553" s="306">
        <f t="shared" ca="1" si="246"/>
        <v>631.42580900439543</v>
      </c>
      <c r="K553" s="307">
        <f t="shared" ca="1" si="247"/>
        <v>2211.7870589969002</v>
      </c>
      <c r="L553" s="304">
        <f t="shared" ca="1" si="232"/>
        <v>2300.1522877024931</v>
      </c>
      <c r="M553" s="306">
        <f t="shared" ca="1" si="248"/>
        <v>-0.43150412939051236</v>
      </c>
      <c r="N553" s="304">
        <f t="shared" ca="1" si="249"/>
        <v>-24.723365456543341</v>
      </c>
      <c r="P553" s="310">
        <f t="shared" ca="1" si="250"/>
        <v>23</v>
      </c>
      <c r="Q553" s="304">
        <f t="shared" ca="1" si="251"/>
        <v>0</v>
      </c>
      <c r="R553" s="306">
        <f t="shared" ca="1" si="252"/>
        <v>0</v>
      </c>
      <c r="S553" s="307">
        <f t="shared" ca="1" si="253"/>
        <v>5.0829999999999913</v>
      </c>
      <c r="T553" s="304">
        <f t="shared" ca="1" si="233"/>
        <v>49.864229999999914</v>
      </c>
      <c r="U553" s="311">
        <f t="shared" ca="1" si="234"/>
        <v>0</v>
      </c>
      <c r="V553" s="306">
        <f t="shared" ca="1" si="235"/>
        <v>0.98103591551867153</v>
      </c>
      <c r="W553" s="304">
        <f t="shared" ca="1" si="236"/>
        <v>1.7937712598788518</v>
      </c>
      <c r="Y553" s="314" t="str">
        <f t="shared" ca="1" si="254"/>
        <v/>
      </c>
      <c r="Z553" s="315" t="str">
        <f t="shared" ca="1" si="255"/>
        <v/>
      </c>
      <c r="AA553" s="316" t="str">
        <f t="shared" ca="1" si="256"/>
        <v/>
      </c>
      <c r="AC553" s="310" t="e">
        <f t="shared" ca="1" si="257"/>
        <v>#N/A</v>
      </c>
      <c r="AD553" s="323" t="e">
        <f t="shared" ca="1" si="258"/>
        <v>#N/A</v>
      </c>
      <c r="AE553" s="324" t="e">
        <f t="shared" ca="1" si="237"/>
        <v>#N/A</v>
      </c>
      <c r="AG553" s="306">
        <f t="shared" ca="1" si="259"/>
        <v>3.4268237579858165</v>
      </c>
      <c r="AH553" s="304">
        <f t="shared" ca="1" si="260"/>
        <v>-0.34254150158772634</v>
      </c>
    </row>
    <row r="554" spans="1:34" x14ac:dyDescent="0.2">
      <c r="A554" s="347">
        <f t="shared" ca="1" si="238"/>
        <v>0.1</v>
      </c>
      <c r="B554" s="304">
        <f t="shared" ca="1" si="239"/>
        <v>18.999999999999957</v>
      </c>
      <c r="D554" s="306">
        <f t="shared" ca="1" si="240"/>
        <v>-0.32054889826311905</v>
      </c>
      <c r="E554" s="307">
        <f t="shared" ca="1" si="241"/>
        <v>-9.6624055743641648</v>
      </c>
      <c r="F554" s="304">
        <f t="shared" ca="1" si="242"/>
        <v>9.6677211937292338</v>
      </c>
      <c r="G554" s="306">
        <f t="shared" ca="1" si="243"/>
        <v>22.133912744343565</v>
      </c>
      <c r="H554" s="307">
        <f t="shared" ca="1" si="244"/>
        <v>-11.172400302032974</v>
      </c>
      <c r="I554" s="304">
        <f t="shared" ca="1" si="245"/>
        <v>24.793802086067419</v>
      </c>
      <c r="J554" s="306">
        <f t="shared" ca="1" si="246"/>
        <v>633.64080302332115</v>
      </c>
      <c r="K554" s="307">
        <f t="shared" ca="1" si="247"/>
        <v>2210.7181309945686</v>
      </c>
      <c r="L554" s="304">
        <f t="shared" ca="1" si="232"/>
        <v>2299.7337502337432</v>
      </c>
      <c r="M554" s="306">
        <f t="shared" ca="1" si="248"/>
        <v>-0.46745146873580795</v>
      </c>
      <c r="N554" s="304">
        <f t="shared" ca="1" si="249"/>
        <v>-26.782996285753349</v>
      </c>
      <c r="P554" s="310">
        <f t="shared" ca="1" si="250"/>
        <v>23</v>
      </c>
      <c r="Q554" s="304">
        <f t="shared" ca="1" si="251"/>
        <v>0</v>
      </c>
      <c r="R554" s="306">
        <f t="shared" ca="1" si="252"/>
        <v>0</v>
      </c>
      <c r="S554" s="307">
        <f t="shared" ca="1" si="253"/>
        <v>5.0829999999999913</v>
      </c>
      <c r="T554" s="304">
        <f t="shared" ca="1" si="233"/>
        <v>49.864229999999914</v>
      </c>
      <c r="U554" s="311">
        <f t="shared" ca="1" si="234"/>
        <v>0</v>
      </c>
      <c r="V554" s="306">
        <f t="shared" ca="1" si="235"/>
        <v>0.98114208469115527</v>
      </c>
      <c r="W554" s="304">
        <f t="shared" ca="1" si="236"/>
        <v>1.8519173623701355</v>
      </c>
      <c r="Y554" s="314" t="str">
        <f t="shared" ca="1" si="254"/>
        <v/>
      </c>
      <c r="Z554" s="315" t="str">
        <f t="shared" ca="1" si="255"/>
        <v/>
      </c>
      <c r="AA554" s="316" t="str">
        <f t="shared" ca="1" si="256"/>
        <v/>
      </c>
      <c r="AC554" s="310">
        <f t="shared" ca="1" si="257"/>
        <v>18.999999999999957</v>
      </c>
      <c r="AD554" s="323">
        <f t="shared" ca="1" si="258"/>
        <v>633.64080302332115</v>
      </c>
      <c r="AE554" s="324" t="e">
        <f t="shared" ca="1" si="237"/>
        <v>#N/A</v>
      </c>
      <c r="AG554" s="306">
        <f t="shared" ca="1" si="259"/>
        <v>3.750014017846762</v>
      </c>
      <c r="AH554" s="304">
        <f t="shared" ca="1" si="260"/>
        <v>-0.35289617546308377</v>
      </c>
    </row>
    <row r="555" spans="1:34" x14ac:dyDescent="0.2">
      <c r="A555" s="347">
        <f t="shared" ca="1" si="238"/>
        <v>0.1</v>
      </c>
      <c r="B555" s="304">
        <f t="shared" ca="1" si="239"/>
        <v>19.099999999999959</v>
      </c>
      <c r="D555" s="306">
        <f t="shared" ca="1" si="240"/>
        <v>-0.3252494396696356</v>
      </c>
      <c r="E555" s="307">
        <f t="shared" ca="1" si="241"/>
        <v>-9.6458258216713304</v>
      </c>
      <c r="F555" s="304">
        <f t="shared" ca="1" si="242"/>
        <v>9.6513078378024399</v>
      </c>
      <c r="G555" s="306">
        <f t="shared" ca="1" si="243"/>
        <v>22.101387800376603</v>
      </c>
      <c r="H555" s="307">
        <f t="shared" ca="1" si="244"/>
        <v>-12.136982884200107</v>
      </c>
      <c r="I555" s="304">
        <f t="shared" ca="1" si="245"/>
        <v>25.214632581776836</v>
      </c>
      <c r="J555" s="306">
        <f t="shared" ca="1" si="246"/>
        <v>635.85256805055712</v>
      </c>
      <c r="K555" s="307">
        <f t="shared" ca="1" si="247"/>
        <v>2209.5526618352569</v>
      </c>
      <c r="L555" s="304">
        <f t="shared" ca="1" si="232"/>
        <v>2299.2240981948144</v>
      </c>
      <c r="M555" s="306">
        <f t="shared" ca="1" si="248"/>
        <v>-0.50219058624140045</v>
      </c>
      <c r="N555" s="304">
        <f t="shared" ca="1" si="249"/>
        <v>-28.773401102832832</v>
      </c>
      <c r="P555" s="310">
        <f t="shared" ca="1" si="250"/>
        <v>23</v>
      </c>
      <c r="Q555" s="304">
        <f t="shared" ca="1" si="251"/>
        <v>0</v>
      </c>
      <c r="R555" s="306">
        <f t="shared" ca="1" si="252"/>
        <v>0</v>
      </c>
      <c r="S555" s="307">
        <f t="shared" ca="1" si="253"/>
        <v>5.0829999999999913</v>
      </c>
      <c r="T555" s="304">
        <f t="shared" ca="1" si="233"/>
        <v>49.864229999999914</v>
      </c>
      <c r="U555" s="311">
        <f t="shared" ca="1" si="234"/>
        <v>0</v>
      </c>
      <c r="V555" s="306">
        <f t="shared" ca="1" si="235"/>
        <v>0.98125785427012524</v>
      </c>
      <c r="W555" s="304">
        <f t="shared" ca="1" si="236"/>
        <v>1.9155428559276544</v>
      </c>
      <c r="Y555" s="314" t="str">
        <f t="shared" ca="1" si="254"/>
        <v/>
      </c>
      <c r="Z555" s="315" t="str">
        <f t="shared" ca="1" si="255"/>
        <v/>
      </c>
      <c r="AA555" s="316" t="str">
        <f t="shared" ca="1" si="256"/>
        <v/>
      </c>
      <c r="AC555" s="310" t="e">
        <f t="shared" ca="1" si="257"/>
        <v>#N/A</v>
      </c>
      <c r="AD555" s="323" t="e">
        <f t="shared" ca="1" si="258"/>
        <v>#N/A</v>
      </c>
      <c r="AE555" s="324" t="e">
        <f t="shared" ca="1" si="237"/>
        <v>#N/A</v>
      </c>
      <c r="AG555" s="306">
        <f t="shared" ca="1" si="259"/>
        <v>4.0561743719861694</v>
      </c>
      <c r="AH555" s="304">
        <f t="shared" ca="1" si="260"/>
        <v>-0.3643355031221992</v>
      </c>
    </row>
    <row r="556" spans="1:34" x14ac:dyDescent="0.2">
      <c r="A556" s="347">
        <f t="shared" ca="1" si="238"/>
        <v>0.1</v>
      </c>
      <c r="B556" s="304">
        <f t="shared" ca="1" si="239"/>
        <v>19.19999999999996</v>
      </c>
      <c r="D556" s="306">
        <f t="shared" ca="1" si="240"/>
        <v>-0.33032288569546059</v>
      </c>
      <c r="E556" s="307">
        <f t="shared" ca="1" si="241"/>
        <v>-9.6286031010289292</v>
      </c>
      <c r="F556" s="304">
        <f t="shared" ca="1" si="242"/>
        <v>9.6342675324052571</v>
      </c>
      <c r="G556" s="306">
        <f t="shared" ca="1" si="243"/>
        <v>22.068355511807056</v>
      </c>
      <c r="H556" s="307">
        <f t="shared" ca="1" si="244"/>
        <v>-13.099843194303</v>
      </c>
      <c r="I556" s="304">
        <f t="shared" ca="1" si="245"/>
        <v>25.663557951126563</v>
      </c>
      <c r="J556" s="306">
        <f t="shared" ca="1" si="246"/>
        <v>638.06105521616632</v>
      </c>
      <c r="K556" s="307">
        <f t="shared" ca="1" si="247"/>
        <v>2208.290820531332</v>
      </c>
      <c r="L556" s="304">
        <f t="shared" ca="1" si="232"/>
        <v>2298.6235573113122</v>
      </c>
      <c r="M556" s="306">
        <f t="shared" ca="1" si="248"/>
        <v>-0.5357025852523386</v>
      </c>
      <c r="N556" s="304">
        <f t="shared" ca="1" si="249"/>
        <v>-30.693497209206178</v>
      </c>
      <c r="P556" s="310">
        <f t="shared" ca="1" si="250"/>
        <v>23</v>
      </c>
      <c r="Q556" s="304">
        <f t="shared" ca="1" si="251"/>
        <v>0</v>
      </c>
      <c r="R556" s="306">
        <f t="shared" ca="1" si="252"/>
        <v>0</v>
      </c>
      <c r="S556" s="307">
        <f t="shared" ca="1" si="253"/>
        <v>5.0829999999999913</v>
      </c>
      <c r="T556" s="304">
        <f t="shared" ca="1" si="233"/>
        <v>49.864229999999914</v>
      </c>
      <c r="U556" s="311">
        <f t="shared" ca="1" si="234"/>
        <v>0</v>
      </c>
      <c r="V556" s="306">
        <f t="shared" ca="1" si="235"/>
        <v>0.98138321048551902</v>
      </c>
      <c r="W556" s="304">
        <f t="shared" ca="1" si="236"/>
        <v>1.9846128287507803</v>
      </c>
      <c r="Y556" s="314" t="str">
        <f t="shared" ca="1" si="254"/>
        <v/>
      </c>
      <c r="Z556" s="315" t="str">
        <f t="shared" ca="1" si="255"/>
        <v/>
      </c>
      <c r="AA556" s="316" t="str">
        <f t="shared" ca="1" si="256"/>
        <v/>
      </c>
      <c r="AC556" s="310" t="e">
        <f t="shared" ca="1" si="257"/>
        <v>#N/A</v>
      </c>
      <c r="AD556" s="323" t="e">
        <f t="shared" ca="1" si="258"/>
        <v>#N/A</v>
      </c>
      <c r="AE556" s="324" t="e">
        <f t="shared" ca="1" si="237"/>
        <v>#N/A</v>
      </c>
      <c r="AG556" s="306">
        <f t="shared" ca="1" si="259"/>
        <v>4.3451593627040133</v>
      </c>
      <c r="AH556" s="304">
        <f t="shared" ca="1" si="260"/>
        <v>-0.37685281446540581</v>
      </c>
    </row>
    <row r="557" spans="1:34" x14ac:dyDescent="0.2">
      <c r="A557" s="347">
        <f t="shared" ca="1" si="238"/>
        <v>0.1</v>
      </c>
      <c r="B557" s="304">
        <f t="shared" ca="1" si="239"/>
        <v>19.299999999999962</v>
      </c>
      <c r="D557" s="306">
        <f t="shared" ca="1" si="240"/>
        <v>-0.33574440973908209</v>
      </c>
      <c r="E557" s="307">
        <f t="shared" ca="1" si="241"/>
        <v>-9.6107010935367327</v>
      </c>
      <c r="F557" s="304">
        <f t="shared" ca="1" si="242"/>
        <v>9.6165638259192772</v>
      </c>
      <c r="G557" s="306">
        <f t="shared" ca="1" si="243"/>
        <v>22.034781070833148</v>
      </c>
      <c r="H557" s="307">
        <f t="shared" ca="1" si="244"/>
        <v>-14.060913303656674</v>
      </c>
      <c r="I557" s="304">
        <f t="shared" ca="1" si="245"/>
        <v>26.138876406083259</v>
      </c>
      <c r="J557" s="306">
        <f t="shared" ca="1" si="246"/>
        <v>640.26621204529829</v>
      </c>
      <c r="K557" s="307">
        <f t="shared" ca="1" si="247"/>
        <v>2206.932782706434</v>
      </c>
      <c r="L557" s="304">
        <f t="shared" ca="1" si="232"/>
        <v>2297.9323596814593</v>
      </c>
      <c r="M557" s="306">
        <f t="shared" ca="1" si="248"/>
        <v>-0.56798088235781774</v>
      </c>
      <c r="N557" s="304">
        <f t="shared" ca="1" si="249"/>
        <v>-32.542907403219473</v>
      </c>
      <c r="P557" s="310">
        <f t="shared" ca="1" si="250"/>
        <v>23</v>
      </c>
      <c r="Q557" s="304">
        <f t="shared" ca="1" si="251"/>
        <v>0</v>
      </c>
      <c r="R557" s="306">
        <f t="shared" ca="1" si="252"/>
        <v>0</v>
      </c>
      <c r="S557" s="307">
        <f t="shared" ca="1" si="253"/>
        <v>5.0829999999999913</v>
      </c>
      <c r="T557" s="304">
        <f t="shared" ca="1" si="233"/>
        <v>49.864229999999914</v>
      </c>
      <c r="U557" s="311">
        <f t="shared" ca="1" si="234"/>
        <v>0</v>
      </c>
      <c r="V557" s="306">
        <f t="shared" ca="1" si="235"/>
        <v>0.98151813915330843</v>
      </c>
      <c r="W557" s="304">
        <f t="shared" ca="1" si="236"/>
        <v>2.059091278330885</v>
      </c>
      <c r="Y557" s="314" t="str">
        <f t="shared" ca="1" si="254"/>
        <v/>
      </c>
      <c r="Z557" s="315" t="str">
        <f t="shared" ca="1" si="255"/>
        <v/>
      </c>
      <c r="AA557" s="316" t="str">
        <f t="shared" ca="1" si="256"/>
        <v/>
      </c>
      <c r="AC557" s="310" t="e">
        <f t="shared" ca="1" si="257"/>
        <v>#N/A</v>
      </c>
      <c r="AD557" s="323" t="e">
        <f t="shared" ca="1" si="258"/>
        <v>#N/A</v>
      </c>
      <c r="AE557" s="324" t="e">
        <f t="shared" ca="1" si="237"/>
        <v>#N/A</v>
      </c>
      <c r="AG557" s="306">
        <f t="shared" ca="1" si="259"/>
        <v>4.6170274029452063</v>
      </c>
      <c r="AH557" s="304">
        <f t="shared" ca="1" si="260"/>
        <v>-0.39044124114711465</v>
      </c>
    </row>
    <row r="558" spans="1:34" x14ac:dyDescent="0.2">
      <c r="A558" s="347">
        <f t="shared" ca="1" si="238"/>
        <v>0.1</v>
      </c>
      <c r="B558" s="304">
        <f t="shared" ca="1" si="239"/>
        <v>19.399999999999963</v>
      </c>
      <c r="D558" s="306">
        <f t="shared" ca="1" si="240"/>
        <v>-0.34148946799917879</v>
      </c>
      <c r="E558" s="307">
        <f t="shared" ca="1" si="241"/>
        <v>-9.5920875193534769</v>
      </c>
      <c r="F558" s="304">
        <f t="shared" ca="1" si="242"/>
        <v>9.5981643055165033</v>
      </c>
      <c r="G558" s="306">
        <f t="shared" ca="1" si="243"/>
        <v>22.000632124033231</v>
      </c>
      <c r="H558" s="307">
        <f t="shared" ca="1" si="244"/>
        <v>-15.020122055592022</v>
      </c>
      <c r="I558" s="304">
        <f t="shared" ca="1" si="245"/>
        <v>26.638916652557871</v>
      </c>
      <c r="J558" s="306">
        <f t="shared" ca="1" si="246"/>
        <v>642.46798270504166</v>
      </c>
      <c r="K558" s="307">
        <f t="shared" ca="1" si="247"/>
        <v>2205.4787309384715</v>
      </c>
      <c r="L558" s="304">
        <f t="shared" ca="1" si="232"/>
        <v>2297.1507441661411</v>
      </c>
      <c r="M558" s="306">
        <f t="shared" ca="1" si="248"/>
        <v>-0.59902962757863421</v>
      </c>
      <c r="N558" s="304">
        <f t="shared" ca="1" si="249"/>
        <v>-34.321869463549241</v>
      </c>
      <c r="P558" s="310">
        <f t="shared" ca="1" si="250"/>
        <v>23</v>
      </c>
      <c r="Q558" s="304">
        <f t="shared" ca="1" si="251"/>
        <v>0</v>
      </c>
      <c r="R558" s="306">
        <f t="shared" ca="1" si="252"/>
        <v>0</v>
      </c>
      <c r="S558" s="307">
        <f t="shared" ca="1" si="253"/>
        <v>5.0829999999999913</v>
      </c>
      <c r="T558" s="304">
        <f t="shared" ca="1" si="233"/>
        <v>49.864229999999914</v>
      </c>
      <c r="U558" s="311">
        <f t="shared" ca="1" si="234"/>
        <v>0</v>
      </c>
      <c r="V558" s="306">
        <f t="shared" ca="1" si="235"/>
        <v>0.98166262563973616</v>
      </c>
      <c r="W558" s="304">
        <f t="shared" ca="1" si="236"/>
        <v>2.1389410388973862</v>
      </c>
      <c r="Y558" s="314" t="str">
        <f t="shared" ca="1" si="254"/>
        <v/>
      </c>
      <c r="Z558" s="315" t="str">
        <f t="shared" ca="1" si="255"/>
        <v/>
      </c>
      <c r="AA558" s="316" t="str">
        <f t="shared" ca="1" si="256"/>
        <v/>
      </c>
      <c r="AC558" s="310" t="e">
        <f t="shared" ca="1" si="257"/>
        <v>#N/A</v>
      </c>
      <c r="AD558" s="323" t="e">
        <f t="shared" ca="1" si="258"/>
        <v>#N/A</v>
      </c>
      <c r="AE558" s="324" t="e">
        <f t="shared" ca="1" si="237"/>
        <v>#N/A</v>
      </c>
      <c r="AG558" s="306">
        <f t="shared" ca="1" si="259"/>
        <v>4.872009927546908</v>
      </c>
      <c r="AH558" s="304">
        <f t="shared" ca="1" si="260"/>
        <v>-0.40509370024215791</v>
      </c>
    </row>
    <row r="559" spans="1:34" x14ac:dyDescent="0.2">
      <c r="A559" s="347">
        <f t="shared" ca="1" si="238"/>
        <v>0.1</v>
      </c>
      <c r="B559" s="304">
        <f t="shared" ca="1" si="239"/>
        <v>19.499999999999964</v>
      </c>
      <c r="D559" s="306">
        <f t="shared" ca="1" si="240"/>
        <v>-0.3475340037188599</v>
      </c>
      <c r="E559" s="307">
        <f t="shared" ca="1" si="241"/>
        <v>-9.5727339466931234</v>
      </c>
      <c r="F559" s="304">
        <f t="shared" ca="1" si="242"/>
        <v>9.5790404059024503</v>
      </c>
      <c r="G559" s="306">
        <f t="shared" ca="1" si="243"/>
        <v>21.965878723661344</v>
      </c>
      <c r="H559" s="307">
        <f t="shared" ca="1" si="244"/>
        <v>-15.977395450261335</v>
      </c>
      <c r="I559" s="304">
        <f t="shared" ca="1" si="245"/>
        <v>27.162050612511379</v>
      </c>
      <c r="J559" s="306">
        <f t="shared" ca="1" si="246"/>
        <v>644.6663082474264</v>
      </c>
      <c r="K559" s="307">
        <f t="shared" ca="1" si="247"/>
        <v>2203.9288550631786</v>
      </c>
      <c r="L559" s="304">
        <f t="shared" ca="1" si="232"/>
        <v>2296.278956740548</v>
      </c>
      <c r="M559" s="306">
        <f t="shared" ca="1" si="248"/>
        <v>-0.6288621155391122</v>
      </c>
      <c r="N559" s="304">
        <f t="shared" ca="1" si="249"/>
        <v>-36.03114511605947</v>
      </c>
      <c r="P559" s="310">
        <f t="shared" ca="1" si="250"/>
        <v>23</v>
      </c>
      <c r="Q559" s="304">
        <f t="shared" ca="1" si="251"/>
        <v>0</v>
      </c>
      <c r="R559" s="306">
        <f t="shared" ca="1" si="252"/>
        <v>0</v>
      </c>
      <c r="S559" s="307">
        <f t="shared" ca="1" si="253"/>
        <v>5.0829999999999913</v>
      </c>
      <c r="T559" s="304">
        <f t="shared" ca="1" si="233"/>
        <v>49.864229999999914</v>
      </c>
      <c r="U559" s="311">
        <f t="shared" ca="1" si="234"/>
        <v>0</v>
      </c>
      <c r="V559" s="306">
        <f t="shared" ca="1" si="235"/>
        <v>0.98181665482937697</v>
      </c>
      <c r="W559" s="304">
        <f t="shared" ca="1" si="236"/>
        <v>2.2241237188727347</v>
      </c>
      <c r="Y559" s="314" t="str">
        <f t="shared" ca="1" si="254"/>
        <v/>
      </c>
      <c r="Z559" s="315" t="str">
        <f t="shared" ca="1" si="255"/>
        <v/>
      </c>
      <c r="AA559" s="316" t="str">
        <f t="shared" ca="1" si="256"/>
        <v/>
      </c>
      <c r="AC559" s="310" t="e">
        <f t="shared" ca="1" si="257"/>
        <v>#N/A</v>
      </c>
      <c r="AD559" s="323" t="e">
        <f t="shared" ca="1" si="258"/>
        <v>#N/A</v>
      </c>
      <c r="AE559" s="324" t="e">
        <f t="shared" ca="1" si="237"/>
        <v>#N/A</v>
      </c>
      <c r="AG559" s="306">
        <f t="shared" ca="1" si="259"/>
        <v>5.1104805159393329</v>
      </c>
      <c r="AH559" s="304">
        <f t="shared" ca="1" si="260"/>
        <v>-0.42080287997194371</v>
      </c>
    </row>
    <row r="560" spans="1:34" x14ac:dyDescent="0.2">
      <c r="A560" s="347">
        <f t="shared" ca="1" si="238"/>
        <v>0.1</v>
      </c>
      <c r="B560" s="304">
        <f t="shared" ca="1" si="239"/>
        <v>19.599999999999966</v>
      </c>
      <c r="D560" s="306">
        <f t="shared" ca="1" si="240"/>
        <v>-0.35385461106575211</v>
      </c>
      <c r="E560" s="307">
        <f t="shared" ca="1" si="241"/>
        <v>-9.5526155755469109</v>
      </c>
      <c r="F560" s="304">
        <f t="shared" ca="1" si="242"/>
        <v>9.5591671928026205</v>
      </c>
      <c r="G560" s="306">
        <f t="shared" ca="1" si="243"/>
        <v>21.930493262554769</v>
      </c>
      <c r="H560" s="307">
        <f t="shared" ca="1" si="244"/>
        <v>-16.932657007816026</v>
      </c>
      <c r="I560" s="304">
        <f t="shared" ca="1" si="245"/>
        <v>27.706703305938461</v>
      </c>
      <c r="J560" s="306">
        <f t="shared" ca="1" si="246"/>
        <v>646.86112684673719</v>
      </c>
      <c r="K560" s="307">
        <f t="shared" ca="1" si="247"/>
        <v>2202.2833524402749</v>
      </c>
      <c r="L560" s="304">
        <f t="shared" ca="1" si="232"/>
        <v>2295.3172508089174</v>
      </c>
      <c r="M560" s="306">
        <f t="shared" ca="1" si="248"/>
        <v>-0.65749924889905065</v>
      </c>
      <c r="N560" s="304">
        <f t="shared" ca="1" si="249"/>
        <v>-37.671931994937239</v>
      </c>
      <c r="P560" s="310">
        <f t="shared" ca="1" si="250"/>
        <v>23</v>
      </c>
      <c r="Q560" s="304">
        <f t="shared" ca="1" si="251"/>
        <v>0</v>
      </c>
      <c r="R560" s="306">
        <f t="shared" ca="1" si="252"/>
        <v>0</v>
      </c>
      <c r="S560" s="307">
        <f t="shared" ca="1" si="253"/>
        <v>5.0829999999999913</v>
      </c>
      <c r="T560" s="304">
        <f t="shared" ca="1" si="233"/>
        <v>49.864229999999914</v>
      </c>
      <c r="U560" s="311">
        <f t="shared" ca="1" si="234"/>
        <v>0</v>
      </c>
      <c r="V560" s="306">
        <f t="shared" ca="1" si="235"/>
        <v>0.98198021109681788</v>
      </c>
      <c r="W560" s="304">
        <f t="shared" ca="1" si="236"/>
        <v>2.3145996478072801</v>
      </c>
      <c r="Y560" s="314" t="str">
        <f t="shared" ca="1" si="254"/>
        <v/>
      </c>
      <c r="Z560" s="315" t="str">
        <f t="shared" ca="1" si="255"/>
        <v/>
      </c>
      <c r="AA560" s="316" t="str">
        <f t="shared" ca="1" si="256"/>
        <v/>
      </c>
      <c r="AC560" s="310" t="e">
        <f t="shared" ca="1" si="257"/>
        <v>#N/A</v>
      </c>
      <c r="AD560" s="323" t="e">
        <f t="shared" ca="1" si="258"/>
        <v>#N/A</v>
      </c>
      <c r="AE560" s="324" t="e">
        <f t="shared" ca="1" si="237"/>
        <v>#N/A</v>
      </c>
      <c r="AG560" s="306">
        <f t="shared" ca="1" si="259"/>
        <v>5.3329253828736274</v>
      </c>
      <c r="AH560" s="304">
        <f t="shared" ca="1" si="260"/>
        <v>-0.43756122739971248</v>
      </c>
    </row>
    <row r="561" spans="1:34" x14ac:dyDescent="0.2">
      <c r="A561" s="347">
        <f t="shared" ca="1" si="238"/>
        <v>0.1</v>
      </c>
      <c r="B561" s="304">
        <f t="shared" ca="1" si="239"/>
        <v>19.699999999999967</v>
      </c>
      <c r="D561" s="306">
        <f t="shared" ca="1" si="240"/>
        <v>-0.36042866133762202</v>
      </c>
      <c r="E561" s="307">
        <f t="shared" ca="1" si="241"/>
        <v>-9.5317110064443096</v>
      </c>
      <c r="F561" s="304">
        <f t="shared" ca="1" si="242"/>
        <v>9.5385231315065351</v>
      </c>
      <c r="G561" s="306">
        <f t="shared" ca="1" si="243"/>
        <v>21.894450396421007</v>
      </c>
      <c r="H561" s="307">
        <f t="shared" ca="1" si="244"/>
        <v>-17.885828108460458</v>
      </c>
      <c r="I561" s="304">
        <f t="shared" ca="1" si="245"/>
        <v>28.271360159828433</v>
      </c>
      <c r="J561" s="306">
        <f t="shared" ca="1" si="246"/>
        <v>649.05237402968601</v>
      </c>
      <c r="K561" s="307">
        <f t="shared" ca="1" si="247"/>
        <v>2200.5424281844612</v>
      </c>
      <c r="L561" s="304">
        <f t="shared" ca="1" si="232"/>
        <v>2294.2658874841723</v>
      </c>
      <c r="M561" s="306">
        <f t="shared" ca="1" si="248"/>
        <v>-0.6849680981887426</v>
      </c>
      <c r="N561" s="304">
        <f t="shared" ca="1" si="249"/>
        <v>-39.245781127317521</v>
      </c>
      <c r="P561" s="310">
        <f t="shared" ca="1" si="250"/>
        <v>23</v>
      </c>
      <c r="Q561" s="304">
        <f t="shared" ca="1" si="251"/>
        <v>0</v>
      </c>
      <c r="R561" s="306">
        <f t="shared" ca="1" si="252"/>
        <v>0</v>
      </c>
      <c r="S561" s="307">
        <f t="shared" ca="1" si="253"/>
        <v>5.0829999999999913</v>
      </c>
      <c r="T561" s="304">
        <f t="shared" ca="1" si="233"/>
        <v>49.864229999999914</v>
      </c>
      <c r="U561" s="311">
        <f t="shared" ca="1" si="234"/>
        <v>0</v>
      </c>
      <c r="V561" s="306">
        <f t="shared" ca="1" si="235"/>
        <v>0.98215327828173138</v>
      </c>
      <c r="W561" s="304">
        <f t="shared" ca="1" si="236"/>
        <v>2.4103278322223831</v>
      </c>
      <c r="Y561" s="314" t="str">
        <f t="shared" ca="1" si="254"/>
        <v/>
      </c>
      <c r="Z561" s="315" t="str">
        <f t="shared" ca="1" si="255"/>
        <v/>
      </c>
      <c r="AA561" s="316" t="str">
        <f t="shared" ca="1" si="256"/>
        <v/>
      </c>
      <c r="AC561" s="310" t="e">
        <f t="shared" ca="1" si="257"/>
        <v>#N/A</v>
      </c>
      <c r="AD561" s="323" t="e">
        <f t="shared" ca="1" si="258"/>
        <v>#N/A</v>
      </c>
      <c r="AE561" s="324" t="e">
        <f t="shared" ca="1" si="237"/>
        <v>#N/A</v>
      </c>
      <c r="AG561" s="306">
        <f t="shared" ca="1" si="259"/>
        <v>5.5399162125416579</v>
      </c>
      <c r="AH561" s="304">
        <f t="shared" ca="1" si="260"/>
        <v>-0.4553609379908094</v>
      </c>
    </row>
    <row r="562" spans="1:34" x14ac:dyDescent="0.2">
      <c r="A562" s="347">
        <f t="shared" ca="1" si="238"/>
        <v>0.1</v>
      </c>
      <c r="B562" s="304">
        <f t="shared" ca="1" si="239"/>
        <v>19.799999999999969</v>
      </c>
      <c r="D562" s="306">
        <f t="shared" ca="1" si="240"/>
        <v>-0.36723439518117501</v>
      </c>
      <c r="E562" s="307">
        <f t="shared" ca="1" si="241"/>
        <v>-9.5100020028454963</v>
      </c>
      <c r="F562" s="304">
        <f t="shared" ca="1" si="242"/>
        <v>9.5170898490625504</v>
      </c>
      <c r="G562" s="306">
        <f t="shared" ca="1" si="243"/>
        <v>21.857726956902891</v>
      </c>
      <c r="H562" s="307">
        <f t="shared" ca="1" si="244"/>
        <v>-18.836828308745009</v>
      </c>
      <c r="I562" s="304">
        <f t="shared" ca="1" si="245"/>
        <v>28.854572054626917</v>
      </c>
      <c r="J562" s="306">
        <f t="shared" ca="1" si="246"/>
        <v>651.23998289735221</v>
      </c>
      <c r="K562" s="307">
        <f t="shared" ca="1" si="247"/>
        <v>2198.7062953636009</v>
      </c>
      <c r="L562" s="304">
        <f t="shared" ca="1" si="232"/>
        <v>2293.1251358344302</v>
      </c>
      <c r="M562" s="306">
        <f t="shared" ca="1" si="248"/>
        <v>-0.71130058682425501</v>
      </c>
      <c r="N562" s="304">
        <f t="shared" ca="1" si="249"/>
        <v>-40.754521590208583</v>
      </c>
      <c r="P562" s="310">
        <f t="shared" ca="1" si="250"/>
        <v>23</v>
      </c>
      <c r="Q562" s="304">
        <f t="shared" ca="1" si="251"/>
        <v>0</v>
      </c>
      <c r="R562" s="306">
        <f t="shared" ca="1" si="252"/>
        <v>0</v>
      </c>
      <c r="S562" s="307">
        <f t="shared" ca="1" si="253"/>
        <v>5.0829999999999913</v>
      </c>
      <c r="T562" s="304">
        <f t="shared" ca="1" si="233"/>
        <v>49.864229999999914</v>
      </c>
      <c r="U562" s="311">
        <f t="shared" ca="1" si="234"/>
        <v>0</v>
      </c>
      <c r="V562" s="306">
        <f t="shared" ca="1" si="235"/>
        <v>0.98233583966711113</v>
      </c>
      <c r="W562" s="304">
        <f t="shared" ca="1" si="236"/>
        <v>2.5112659197691221</v>
      </c>
      <c r="Y562" s="314" t="str">
        <f t="shared" ca="1" si="254"/>
        <v/>
      </c>
      <c r="Z562" s="315" t="str">
        <f t="shared" ca="1" si="255"/>
        <v/>
      </c>
      <c r="AA562" s="316" t="str">
        <f t="shared" ca="1" si="256"/>
        <v/>
      </c>
      <c r="AC562" s="310" t="e">
        <f t="shared" ca="1" si="257"/>
        <v>#N/A</v>
      </c>
      <c r="AD562" s="323" t="e">
        <f t="shared" ca="1" si="258"/>
        <v>#N/A</v>
      </c>
      <c r="AE562" s="324" t="e">
        <f t="shared" ca="1" si="237"/>
        <v>#N/A</v>
      </c>
      <c r="AG562" s="306">
        <f t="shared" ca="1" si="259"/>
        <v>5.7320859332096168</v>
      </c>
      <c r="AH562" s="304">
        <f t="shared" ca="1" si="260"/>
        <v>-0.47419394692551392</v>
      </c>
    </row>
    <row r="563" spans="1:34" x14ac:dyDescent="0.2">
      <c r="A563" s="347">
        <f t="shared" ca="1" si="238"/>
        <v>0.1</v>
      </c>
      <c r="B563" s="304">
        <f t="shared" ca="1" si="239"/>
        <v>19.89999999999997</v>
      </c>
      <c r="D563" s="306">
        <f t="shared" ca="1" si="240"/>
        <v>-0.37425098505049353</v>
      </c>
      <c r="E563" s="307">
        <f t="shared" ca="1" si="241"/>
        <v>-9.4874732540270639</v>
      </c>
      <c r="F563" s="304">
        <f t="shared" ca="1" si="242"/>
        <v>9.4948518969855531</v>
      </c>
      <c r="G563" s="306">
        <f t="shared" ca="1" si="243"/>
        <v>21.820301858397841</v>
      </c>
      <c r="H563" s="307">
        <f t="shared" ca="1" si="244"/>
        <v>-19.785575634147715</v>
      </c>
      <c r="I563" s="304">
        <f t="shared" ca="1" si="245"/>
        <v>29.454958434297271</v>
      </c>
      <c r="J563" s="306">
        <f t="shared" ca="1" si="246"/>
        <v>653.4238843381172</v>
      </c>
      <c r="K563" s="307">
        <f t="shared" ca="1" si="247"/>
        <v>2196.7751751664564</v>
      </c>
      <c r="L563" s="304">
        <f t="shared" ca="1" si="232"/>
        <v>2291.8952730984738</v>
      </c>
      <c r="M563" s="306">
        <f t="shared" ca="1" si="248"/>
        <v>-0.73653231716684608</v>
      </c>
      <c r="N563" s="304">
        <f t="shared" ca="1" si="249"/>
        <v>-42.200193248651232</v>
      </c>
      <c r="P563" s="310">
        <f t="shared" ca="1" si="250"/>
        <v>23</v>
      </c>
      <c r="Q563" s="304">
        <f t="shared" ca="1" si="251"/>
        <v>0</v>
      </c>
      <c r="R563" s="306">
        <f t="shared" ca="1" si="252"/>
        <v>0</v>
      </c>
      <c r="S563" s="307">
        <f t="shared" ca="1" si="253"/>
        <v>5.0829999999999913</v>
      </c>
      <c r="T563" s="304">
        <f t="shared" ca="1" si="233"/>
        <v>49.864229999999914</v>
      </c>
      <c r="U563" s="311">
        <f t="shared" ca="1" si="234"/>
        <v>0</v>
      </c>
      <c r="V563" s="306">
        <f t="shared" ca="1" si="235"/>
        <v>0.98252787796043206</v>
      </c>
      <c r="W563" s="304">
        <f t="shared" ca="1" si="236"/>
        <v>2.6173701711063648</v>
      </c>
      <c r="Y563" s="314" t="str">
        <f t="shared" ca="1" si="254"/>
        <v/>
      </c>
      <c r="Z563" s="315" t="str">
        <f t="shared" ca="1" si="255"/>
        <v/>
      </c>
      <c r="AA563" s="316" t="str">
        <f t="shared" ca="1" si="256"/>
        <v/>
      </c>
      <c r="AC563" s="310" t="e">
        <f t="shared" ca="1" si="257"/>
        <v>#N/A</v>
      </c>
      <c r="AD563" s="323" t="e">
        <f t="shared" ca="1" si="258"/>
        <v>#N/A</v>
      </c>
      <c r="AE563" s="324" t="e">
        <f t="shared" ca="1" si="237"/>
        <v>#N/A</v>
      </c>
      <c r="AG563" s="306">
        <f t="shared" ca="1" si="259"/>
        <v>5.9101077154248376</v>
      </c>
      <c r="AH563" s="304">
        <f t="shared" ca="1" si="260"/>
        <v>-0.49405192204783127</v>
      </c>
    </row>
    <row r="564" spans="1:34" x14ac:dyDescent="0.2">
      <c r="A564" s="347">
        <f t="shared" ca="1" si="238"/>
        <v>0.1</v>
      </c>
      <c r="B564" s="304">
        <f t="shared" ca="1" si="239"/>
        <v>19.999999999999972</v>
      </c>
      <c r="D564" s="306">
        <f t="shared" ca="1" si="240"/>
        <v>-0.38145857230466362</v>
      </c>
      <c r="E564" s="307">
        <f t="shared" ca="1" si="241"/>
        <v>-9.4641121436996443</v>
      </c>
      <c r="F564" s="304">
        <f t="shared" ca="1" si="242"/>
        <v>9.4717965197161931</v>
      </c>
      <c r="G564" s="306">
        <f t="shared" ca="1" si="243"/>
        <v>21.782156001167372</v>
      </c>
      <c r="H564" s="307">
        <f t="shared" ca="1" si="244"/>
        <v>-20.731986848517678</v>
      </c>
      <c r="I564" s="304">
        <f t="shared" ca="1" si="245"/>
        <v>30.071208800882975</v>
      </c>
      <c r="J564" s="306">
        <f t="shared" ca="1" si="246"/>
        <v>655.60400723109547</v>
      </c>
      <c r="K564" s="307">
        <f t="shared" ca="1" si="247"/>
        <v>2194.7492970423232</v>
      </c>
      <c r="L564" s="304">
        <f t="shared" ca="1" si="232"/>
        <v>2290.5765848722986</v>
      </c>
      <c r="M564" s="306">
        <f t="shared" ca="1" si="248"/>
        <v>-0.76070154325803541</v>
      </c>
      <c r="N564" s="304">
        <f t="shared" ca="1" si="249"/>
        <v>-43.58498789777385</v>
      </c>
      <c r="P564" s="310">
        <f t="shared" ca="1" si="250"/>
        <v>23</v>
      </c>
      <c r="Q564" s="304">
        <f t="shared" ca="1" si="251"/>
        <v>0</v>
      </c>
      <c r="R564" s="306">
        <f t="shared" ca="1" si="252"/>
        <v>0</v>
      </c>
      <c r="S564" s="307">
        <f t="shared" ca="1" si="253"/>
        <v>5.0829999999999913</v>
      </c>
      <c r="T564" s="304">
        <f t="shared" ca="1" si="233"/>
        <v>49.864229999999914</v>
      </c>
      <c r="U564" s="311">
        <f t="shared" ca="1" si="234"/>
        <v>0</v>
      </c>
      <c r="V564" s="306">
        <f t="shared" ca="1" si="235"/>
        <v>0.98272937527750093</v>
      </c>
      <c r="W564" s="304">
        <f t="shared" ca="1" si="236"/>
        <v>2.7285954389118876</v>
      </c>
      <c r="Y564" s="314" t="str">
        <f t="shared" ca="1" si="254"/>
        <v/>
      </c>
      <c r="Z564" s="315" t="str">
        <f t="shared" ca="1" si="255"/>
        <v/>
      </c>
      <c r="AA564" s="316" t="str">
        <f t="shared" ca="1" si="256"/>
        <v/>
      </c>
      <c r="AC564" s="310">
        <f t="shared" ca="1" si="257"/>
        <v>19.999999999999972</v>
      </c>
      <c r="AD564" s="323">
        <f t="shared" ca="1" si="258"/>
        <v>655.60400723109547</v>
      </c>
      <c r="AE564" s="324" t="e">
        <f t="shared" ca="1" si="237"/>
        <v>#N/A</v>
      </c>
      <c r="AG564" s="306">
        <f t="shared" ca="1" si="259"/>
        <v>6.0746772341976571</v>
      </c>
      <c r="AH564" s="304">
        <f t="shared" ca="1" si="260"/>
        <v>-0.51492625833294692</v>
      </c>
    </row>
    <row r="565" spans="1:34" x14ac:dyDescent="0.2">
      <c r="A565" s="347">
        <f t="shared" ca="1" si="238"/>
        <v>0.1</v>
      </c>
      <c r="B565" s="304">
        <f t="shared" ca="1" si="239"/>
        <v>20.099999999999973</v>
      </c>
      <c r="D565" s="306">
        <f t="shared" ca="1" si="240"/>
        <v>-0.38883828324651487</v>
      </c>
      <c r="E565" s="307">
        <f t="shared" ca="1" si="241"/>
        <v>-9.4399085281532784</v>
      </c>
      <c r="F565" s="304">
        <f t="shared" ca="1" si="242"/>
        <v>9.4479134326272849</v>
      </c>
      <c r="G565" s="306">
        <f t="shared" ca="1" si="243"/>
        <v>21.743272172842723</v>
      </c>
      <c r="H565" s="307">
        <f t="shared" ca="1" si="244"/>
        <v>-21.675977701333007</v>
      </c>
      <c r="I565" s="304">
        <f t="shared" ca="1" si="245"/>
        <v>30.702082894992685</v>
      </c>
      <c r="J565" s="306">
        <f t="shared" ca="1" si="246"/>
        <v>657.78027863979594</v>
      </c>
      <c r="K565" s="307">
        <f t="shared" ca="1" si="247"/>
        <v>2192.6288988148308</v>
      </c>
      <c r="L565" s="304">
        <f t="shared" ca="1" si="232"/>
        <v>2289.1693652688491</v>
      </c>
      <c r="M565" s="306">
        <f t="shared" ca="1" si="248"/>
        <v>-0.78384828821946295</v>
      </c>
      <c r="N565" s="304">
        <f t="shared" ca="1" si="249"/>
        <v>-44.91119869352935</v>
      </c>
      <c r="P565" s="310">
        <f t="shared" ca="1" si="250"/>
        <v>23</v>
      </c>
      <c r="Q565" s="304">
        <f t="shared" ca="1" si="251"/>
        <v>0</v>
      </c>
      <c r="R565" s="306">
        <f t="shared" ca="1" si="252"/>
        <v>0</v>
      </c>
      <c r="S565" s="307">
        <f t="shared" ca="1" si="253"/>
        <v>5.0829999999999913</v>
      </c>
      <c r="T565" s="304">
        <f t="shared" ca="1" si="233"/>
        <v>49.864229999999914</v>
      </c>
      <c r="U565" s="311">
        <f t="shared" ca="1" si="234"/>
        <v>0</v>
      </c>
      <c r="V565" s="306">
        <f t="shared" ca="1" si="235"/>
        <v>0.98294031312877883</v>
      </c>
      <c r="W565" s="304">
        <f t="shared" ca="1" si="236"/>
        <v>2.844895153460234</v>
      </c>
      <c r="Y565" s="314" t="str">
        <f t="shared" ca="1" si="254"/>
        <v/>
      </c>
      <c r="Z565" s="315" t="str">
        <f t="shared" ca="1" si="255"/>
        <v/>
      </c>
      <c r="AA565" s="316" t="str">
        <f t="shared" ca="1" si="256"/>
        <v/>
      </c>
      <c r="AC565" s="310" t="e">
        <f t="shared" ca="1" si="257"/>
        <v>#N/A</v>
      </c>
      <c r="AD565" s="323" t="e">
        <f t="shared" ca="1" si="258"/>
        <v>#N/A</v>
      </c>
      <c r="AE565" s="324" t="e">
        <f t="shared" ca="1" si="237"/>
        <v>#N/A</v>
      </c>
      <c r="AG565" s="306">
        <f t="shared" ca="1" si="259"/>
        <v>6.2264980617102461</v>
      </c>
      <c r="AH565" s="304">
        <f t="shared" ca="1" si="260"/>
        <v>-0.53680807375799577</v>
      </c>
    </row>
    <row r="566" spans="1:34" x14ac:dyDescent="0.2">
      <c r="A566" s="347">
        <f t="shared" ca="1" si="238"/>
        <v>0.1</v>
      </c>
      <c r="B566" s="304">
        <f t="shared" ca="1" si="239"/>
        <v>20.199999999999974</v>
      </c>
      <c r="D566" s="306">
        <f t="shared" ca="1" si="240"/>
        <v>-0.3963722281225957</v>
      </c>
      <c r="E566" s="307">
        <f t="shared" ca="1" si="241"/>
        <v>-9.4148545264983561</v>
      </c>
      <c r="F566" s="304">
        <f t="shared" ca="1" si="242"/>
        <v>9.4231946121447301</v>
      </c>
      <c r="G566" s="306">
        <f t="shared" ca="1" si="243"/>
        <v>21.703634950030462</v>
      </c>
      <c r="H566" s="307">
        <f t="shared" ca="1" si="244"/>
        <v>-22.617463153982843</v>
      </c>
      <c r="I566" s="304">
        <f t="shared" ca="1" si="245"/>
        <v>31.34640983535364</v>
      </c>
      <c r="J566" s="306">
        <f t="shared" ca="1" si="246"/>
        <v>659.95262399593958</v>
      </c>
      <c r="K566" s="307">
        <f t="shared" ca="1" si="247"/>
        <v>2190.4142267720649</v>
      </c>
      <c r="L566" s="304">
        <f t="shared" ca="1" si="232"/>
        <v>2287.6739170529941</v>
      </c>
      <c r="M566" s="306">
        <f t="shared" ca="1" si="248"/>
        <v>-0.80601359896961966</v>
      </c>
      <c r="N566" s="304">
        <f t="shared" ca="1" si="249"/>
        <v>-46.181177451109285</v>
      </c>
      <c r="P566" s="310">
        <f t="shared" ca="1" si="250"/>
        <v>23</v>
      </c>
      <c r="Q566" s="304">
        <f t="shared" ca="1" si="251"/>
        <v>0</v>
      </c>
      <c r="R566" s="306">
        <f t="shared" ca="1" si="252"/>
        <v>0</v>
      </c>
      <c r="S566" s="307">
        <f t="shared" ca="1" si="253"/>
        <v>5.0829999999999913</v>
      </c>
      <c r="T566" s="304">
        <f t="shared" ca="1" si="233"/>
        <v>49.864229999999914</v>
      </c>
      <c r="U566" s="311">
        <f t="shared" ca="1" si="234"/>
        <v>0</v>
      </c>
      <c r="V566" s="306">
        <f t="shared" ca="1" si="235"/>
        <v>0.9831606724079528</v>
      </c>
      <c r="W566" s="304">
        <f t="shared" ca="1" si="236"/>
        <v>2.966221314227842</v>
      </c>
      <c r="Y566" s="314" t="str">
        <f t="shared" ca="1" si="254"/>
        <v/>
      </c>
      <c r="Z566" s="315" t="str">
        <f t="shared" ca="1" si="255"/>
        <v/>
      </c>
      <c r="AA566" s="316" t="str">
        <f t="shared" ca="1" si="256"/>
        <v/>
      </c>
      <c r="AC566" s="310" t="e">
        <f t="shared" ca="1" si="257"/>
        <v>#N/A</v>
      </c>
      <c r="AD566" s="323" t="e">
        <f t="shared" ca="1" si="258"/>
        <v>#N/A</v>
      </c>
      <c r="AE566" s="324" t="e">
        <f t="shared" ca="1" si="237"/>
        <v>#N/A</v>
      </c>
      <c r="AG566" s="306">
        <f t="shared" ca="1" si="259"/>
        <v>6.3662699435849905</v>
      </c>
      <c r="AH566" s="304">
        <f t="shared" ca="1" si="260"/>
        <v>-0.55968820646473316</v>
      </c>
    </row>
    <row r="567" spans="1:34" x14ac:dyDescent="0.2">
      <c r="A567" s="347">
        <f t="shared" ca="1" si="238"/>
        <v>0.1</v>
      </c>
      <c r="B567" s="304">
        <f t="shared" ca="1" si="239"/>
        <v>20.299999999999976</v>
      </c>
      <c r="D567" s="306">
        <f t="shared" ca="1" si="240"/>
        <v>-0.40404348671114032</v>
      </c>
      <c r="E567" s="307">
        <f t="shared" ca="1" si="241"/>
        <v>-9.3889443245642532</v>
      </c>
      <c r="F567" s="304">
        <f t="shared" ca="1" si="242"/>
        <v>9.3976340995444705</v>
      </c>
      <c r="G567" s="306">
        <f t="shared" ca="1" si="243"/>
        <v>21.663230601359349</v>
      </c>
      <c r="H567" s="307">
        <f t="shared" ca="1" si="244"/>
        <v>-23.556357586439269</v>
      </c>
      <c r="I567" s="304">
        <f t="shared" ca="1" si="245"/>
        <v>32.003086457838201</v>
      </c>
      <c r="J567" s="306">
        <f t="shared" ca="1" si="246"/>
        <v>662.12096727350911</v>
      </c>
      <c r="K567" s="307">
        <f t="shared" ca="1" si="247"/>
        <v>2188.1055357350438</v>
      </c>
      <c r="L567" s="304">
        <f t="shared" ca="1" si="232"/>
        <v>2286.090551753703</v>
      </c>
      <c r="M567" s="306">
        <f t="shared" ca="1" si="248"/>
        <v>-0.82723892749961225</v>
      </c>
      <c r="N567" s="304">
        <f t="shared" ca="1" si="249"/>
        <v>-47.397299194656476</v>
      </c>
      <c r="P567" s="310">
        <f t="shared" ca="1" si="250"/>
        <v>23</v>
      </c>
      <c r="Q567" s="304">
        <f t="shared" ca="1" si="251"/>
        <v>0</v>
      </c>
      <c r="R567" s="306">
        <f t="shared" ca="1" si="252"/>
        <v>0</v>
      </c>
      <c r="S567" s="307">
        <f t="shared" ca="1" si="253"/>
        <v>5.0829999999999913</v>
      </c>
      <c r="T567" s="304">
        <f t="shared" ca="1" si="233"/>
        <v>49.864229999999914</v>
      </c>
      <c r="U567" s="311">
        <f t="shared" ca="1" si="234"/>
        <v>0</v>
      </c>
      <c r="V567" s="306">
        <f t="shared" ca="1" si="235"/>
        <v>0.98339043338256482</v>
      </c>
      <c r="W567" s="304">
        <f t="shared" ca="1" si="236"/>
        <v>3.0925244870173088</v>
      </c>
      <c r="Y567" s="314" t="str">
        <f t="shared" ca="1" si="254"/>
        <v/>
      </c>
      <c r="Z567" s="315" t="str">
        <f t="shared" ca="1" si="255"/>
        <v/>
      </c>
      <c r="AA567" s="316" t="str">
        <f t="shared" ca="1" si="256"/>
        <v/>
      </c>
      <c r="AC567" s="310" t="e">
        <f t="shared" ca="1" si="257"/>
        <v>#N/A</v>
      </c>
      <c r="AD567" s="323" t="e">
        <f t="shared" ca="1" si="258"/>
        <v>#N/A</v>
      </c>
      <c r="AE567" s="324" t="e">
        <f t="shared" ca="1" si="237"/>
        <v>#N/A</v>
      </c>
      <c r="AG567" s="306">
        <f t="shared" ca="1" si="259"/>
        <v>6.494679647380277</v>
      </c>
      <c r="AH567" s="304">
        <f t="shared" ca="1" si="260"/>
        <v>-0.58355721310797704</v>
      </c>
    </row>
    <row r="568" spans="1:34" x14ac:dyDescent="0.2">
      <c r="A568" s="347">
        <f t="shared" ca="1" si="238"/>
        <v>0.1</v>
      </c>
      <c r="B568" s="304">
        <f t="shared" ca="1" si="239"/>
        <v>20.399999999999977</v>
      </c>
      <c r="D568" s="306">
        <f t="shared" ca="1" si="240"/>
        <v>-0.41183608367685903</v>
      </c>
      <c r="E568" s="307">
        <f t="shared" ca="1" si="241"/>
        <v>-9.3621739932232426</v>
      </c>
      <c r="F568" s="304">
        <f t="shared" ca="1" si="242"/>
        <v>9.3712278191923133</v>
      </c>
      <c r="G568" s="306">
        <f t="shared" ca="1" si="243"/>
        <v>21.622046992991663</v>
      </c>
      <c r="H568" s="307">
        <f t="shared" ca="1" si="244"/>
        <v>-24.492574985761593</v>
      </c>
      <c r="I568" s="304">
        <f t="shared" ca="1" si="245"/>
        <v>32.671075060369446</v>
      </c>
      <c r="J568" s="306">
        <f t="shared" ca="1" si="246"/>
        <v>664.28523115322662</v>
      </c>
      <c r="K568" s="307">
        <f t="shared" ca="1" si="247"/>
        <v>2185.7030891064337</v>
      </c>
      <c r="L568" s="304">
        <f t="shared" ca="1" si="232"/>
        <v>2284.4195897552845</v>
      </c>
      <c r="M568" s="306">
        <f t="shared" ca="1" si="248"/>
        <v>-0.84756562606713981</v>
      </c>
      <c r="N568" s="304">
        <f t="shared" ca="1" si="249"/>
        <v>-48.561933234010425</v>
      </c>
      <c r="P568" s="310">
        <f t="shared" ca="1" si="250"/>
        <v>23</v>
      </c>
      <c r="Q568" s="304">
        <f t="shared" ca="1" si="251"/>
        <v>0</v>
      </c>
      <c r="R568" s="306">
        <f t="shared" ca="1" si="252"/>
        <v>0</v>
      </c>
      <c r="S568" s="307">
        <f t="shared" ca="1" si="253"/>
        <v>5.0829999999999913</v>
      </c>
      <c r="T568" s="304">
        <f t="shared" ca="1" si="233"/>
        <v>49.864229999999914</v>
      </c>
      <c r="U568" s="311">
        <f t="shared" ca="1" si="234"/>
        <v>0</v>
      </c>
      <c r="V568" s="306">
        <f t="shared" ca="1" si="235"/>
        <v>0.98362957568650833</v>
      </c>
      <c r="W568" s="304">
        <f t="shared" ca="1" si="236"/>
        <v>3.223753806126298</v>
      </c>
      <c r="Y568" s="314" t="str">
        <f t="shared" ca="1" si="254"/>
        <v/>
      </c>
      <c r="Z568" s="315" t="str">
        <f t="shared" ca="1" si="255"/>
        <v/>
      </c>
      <c r="AA568" s="316" t="str">
        <f t="shared" ca="1" si="256"/>
        <v/>
      </c>
      <c r="AC568" s="310" t="e">
        <f t="shared" ca="1" si="257"/>
        <v>#N/A</v>
      </c>
      <c r="AD568" s="323" t="e">
        <f t="shared" ca="1" si="258"/>
        <v>#N/A</v>
      </c>
      <c r="AE568" s="324" t="e">
        <f t="shared" ca="1" si="237"/>
        <v>#N/A</v>
      </c>
      <c r="AG568" s="306">
        <f t="shared" ca="1" si="259"/>
        <v>6.6123940451483225</v>
      </c>
      <c r="AH568" s="304">
        <f t="shared" ca="1" si="260"/>
        <v>-0.60840536828985126</v>
      </c>
    </row>
    <row r="569" spans="1:34" x14ac:dyDescent="0.2">
      <c r="A569" s="347">
        <f t="shared" ca="1" si="238"/>
        <v>0.1</v>
      </c>
      <c r="B569" s="304">
        <f t="shared" ca="1" si="239"/>
        <v>20.499999999999979</v>
      </c>
      <c r="D569" s="306">
        <f t="shared" ca="1" si="240"/>
        <v>-0.41973495641080139</v>
      </c>
      <c r="E569" s="307">
        <f t="shared" ca="1" si="241"/>
        <v>-9.3345413213018595</v>
      </c>
      <c r="F569" s="304">
        <f t="shared" ca="1" si="242"/>
        <v>9.3439734113879549</v>
      </c>
      <c r="G569" s="306">
        <f t="shared" ca="1" si="243"/>
        <v>21.580073497350583</v>
      </c>
      <c r="H569" s="307">
        <f t="shared" ca="1" si="244"/>
        <v>-25.42602911789178</v>
      </c>
      <c r="I569" s="304">
        <f t="shared" ca="1" si="245"/>
        <v>33.349400727073551</v>
      </c>
      <c r="J569" s="306">
        <f t="shared" ca="1" si="246"/>
        <v>666.44533717774368</v>
      </c>
      <c r="K569" s="307">
        <f t="shared" ca="1" si="247"/>
        <v>2183.2071589012512</v>
      </c>
      <c r="L569" s="304">
        <f t="shared" ca="1" si="232"/>
        <v>2282.6613603694327</v>
      </c>
      <c r="M569" s="306">
        <f t="shared" ca="1" si="248"/>
        <v>-0.86703454293510496</v>
      </c>
      <c r="N569" s="304">
        <f t="shared" ca="1" si="249"/>
        <v>-49.677420002235884</v>
      </c>
      <c r="P569" s="310">
        <f t="shared" ca="1" si="250"/>
        <v>23</v>
      </c>
      <c r="Q569" s="304">
        <f t="shared" ca="1" si="251"/>
        <v>0</v>
      </c>
      <c r="R569" s="306">
        <f t="shared" ca="1" si="252"/>
        <v>0</v>
      </c>
      <c r="S569" s="307">
        <f t="shared" ca="1" si="253"/>
        <v>5.0829999999999913</v>
      </c>
      <c r="T569" s="304">
        <f t="shared" ca="1" si="233"/>
        <v>49.864229999999914</v>
      </c>
      <c r="U569" s="311">
        <f t="shared" ca="1" si="234"/>
        <v>0</v>
      </c>
      <c r="V569" s="306">
        <f t="shared" ca="1" si="235"/>
        <v>0.98387807831421814</v>
      </c>
      <c r="W569" s="304">
        <f t="shared" ca="1" si="236"/>
        <v>3.3598569811210344</v>
      </c>
      <c r="Y569" s="314" t="str">
        <f t="shared" ca="1" si="254"/>
        <v/>
      </c>
      <c r="Z569" s="315" t="str">
        <f t="shared" ca="1" si="255"/>
        <v/>
      </c>
      <c r="AA569" s="316" t="str">
        <f t="shared" ca="1" si="256"/>
        <v/>
      </c>
      <c r="AC569" s="310" t="e">
        <f t="shared" ca="1" si="257"/>
        <v>#N/A</v>
      </c>
      <c r="AD569" s="323" t="e">
        <f t="shared" ca="1" si="258"/>
        <v>#N/A</v>
      </c>
      <c r="AE569" s="324" t="e">
        <f t="shared" ca="1" si="237"/>
        <v>#N/A</v>
      </c>
      <c r="AG569" s="306">
        <f t="shared" ca="1" si="259"/>
        <v>6.7200550919084909</v>
      </c>
      <c r="AH569" s="304">
        <f t="shared" ca="1" si="260"/>
        <v>-0.63422266498648505</v>
      </c>
    </row>
    <row r="570" spans="1:34" x14ac:dyDescent="0.2">
      <c r="A570" s="347">
        <f t="shared" ca="1" si="238"/>
        <v>0.1</v>
      </c>
      <c r="B570" s="304">
        <f t="shared" ca="1" si="239"/>
        <v>20.59999999999998</v>
      </c>
      <c r="D570" s="306">
        <f t="shared" ca="1" si="240"/>
        <v>-0.42772591762900203</v>
      </c>
      <c r="E570" s="307">
        <f t="shared" ca="1" si="241"/>
        <v>-9.3060456627987307</v>
      </c>
      <c r="F570" s="304">
        <f t="shared" ca="1" si="242"/>
        <v>9.3158700795313063</v>
      </c>
      <c r="G570" s="306">
        <f t="shared" ca="1" si="243"/>
        <v>21.537300905587681</v>
      </c>
      <c r="H570" s="307">
        <f t="shared" ca="1" si="244"/>
        <v>-26.356633684171651</v>
      </c>
      <c r="I570" s="304">
        <f t="shared" ca="1" si="245"/>
        <v>34.037148374378248</v>
      </c>
      <c r="J570" s="306">
        <f t="shared" ca="1" si="246"/>
        <v>668.60120589789062</v>
      </c>
      <c r="K570" s="307">
        <f t="shared" ca="1" si="247"/>
        <v>2180.6180257611481</v>
      </c>
      <c r="L570" s="304">
        <f t="shared" ca="1" si="232"/>
        <v>2280.816201889701</v>
      </c>
      <c r="M570" s="306">
        <f t="shared" ca="1" si="248"/>
        <v>-0.88568570537018965</v>
      </c>
      <c r="N570" s="304">
        <f t="shared" ca="1" si="249"/>
        <v>-50.746052892779176</v>
      </c>
      <c r="P570" s="310">
        <f t="shared" ca="1" si="250"/>
        <v>23</v>
      </c>
      <c r="Q570" s="304">
        <f t="shared" ca="1" si="251"/>
        <v>0</v>
      </c>
      <c r="R570" s="306">
        <f t="shared" ca="1" si="252"/>
        <v>0</v>
      </c>
      <c r="S570" s="307">
        <f t="shared" ca="1" si="253"/>
        <v>5.0829999999999913</v>
      </c>
      <c r="T570" s="304">
        <f t="shared" ca="1" si="233"/>
        <v>49.864229999999914</v>
      </c>
      <c r="U570" s="311">
        <f t="shared" ca="1" si="234"/>
        <v>0</v>
      </c>
      <c r="V570" s="306">
        <f t="shared" ca="1" si="235"/>
        <v>0.98413591961640212</v>
      </c>
      <c r="W570" s="304">
        <f t="shared" ca="1" si="236"/>
        <v>3.5007803078084905</v>
      </c>
      <c r="Y570" s="314" t="str">
        <f t="shared" ca="1" si="254"/>
        <v/>
      </c>
      <c r="Z570" s="315" t="str">
        <f t="shared" ca="1" si="255"/>
        <v/>
      </c>
      <c r="AA570" s="316" t="str">
        <f t="shared" ca="1" si="256"/>
        <v/>
      </c>
      <c r="AC570" s="310" t="e">
        <f t="shared" ca="1" si="257"/>
        <v>#N/A</v>
      </c>
      <c r="AD570" s="323" t="e">
        <f t="shared" ca="1" si="258"/>
        <v>#N/A</v>
      </c>
      <c r="AE570" s="324" t="e">
        <f t="shared" ca="1" si="237"/>
        <v>#N/A</v>
      </c>
      <c r="AG570" s="306">
        <f t="shared" ca="1" si="259"/>
        <v>6.8182763797311807</v>
      </c>
      <c r="AH570" s="304">
        <f t="shared" ca="1" si="260"/>
        <v>-0.66099881588059017</v>
      </c>
    </row>
    <row r="571" spans="1:34" x14ac:dyDescent="0.2">
      <c r="A571" s="347">
        <f t="shared" ca="1" si="238"/>
        <v>0.1</v>
      </c>
      <c r="B571" s="304">
        <f t="shared" ca="1" si="239"/>
        <v>20.699999999999982</v>
      </c>
      <c r="D571" s="306">
        <f t="shared" ca="1" si="240"/>
        <v>-0.43579561459318567</v>
      </c>
      <c r="E571" s="307">
        <f t="shared" ca="1" si="241"/>
        <v>-9.2766877978186653</v>
      </c>
      <c r="F571" s="304">
        <f t="shared" ca="1" si="242"/>
        <v>9.2869184510200355</v>
      </c>
      <c r="G571" s="306">
        <f t="shared" ca="1" si="243"/>
        <v>21.493721344128364</v>
      </c>
      <c r="H571" s="307">
        <f t="shared" ca="1" si="244"/>
        <v>-27.284302463953519</v>
      </c>
      <c r="I571" s="304">
        <f t="shared" ca="1" si="245"/>
        <v>34.733459634242301</v>
      </c>
      <c r="J571" s="306">
        <f t="shared" ca="1" si="246"/>
        <v>670.7527570103764</v>
      </c>
      <c r="K571" s="307">
        <f t="shared" ca="1" si="247"/>
        <v>2177.9359789537421</v>
      </c>
      <c r="L571" s="304">
        <f t="shared" ca="1" si="232"/>
        <v>2278.8844616299039</v>
      </c>
      <c r="M571" s="306">
        <f t="shared" ca="1" si="248"/>
        <v>-0.90355807725684123</v>
      </c>
      <c r="N571" s="304">
        <f t="shared" ca="1" si="249"/>
        <v>-51.770064371772577</v>
      </c>
      <c r="P571" s="310">
        <f t="shared" ca="1" si="250"/>
        <v>23</v>
      </c>
      <c r="Q571" s="304">
        <f t="shared" ca="1" si="251"/>
        <v>0</v>
      </c>
      <c r="R571" s="306">
        <f t="shared" ca="1" si="252"/>
        <v>0</v>
      </c>
      <c r="S571" s="307">
        <f t="shared" ca="1" si="253"/>
        <v>5.0829999999999913</v>
      </c>
      <c r="T571" s="304">
        <f t="shared" ca="1" si="233"/>
        <v>49.864229999999914</v>
      </c>
      <c r="U571" s="311">
        <f t="shared" ca="1" si="234"/>
        <v>0</v>
      </c>
      <c r="V571" s="306">
        <f t="shared" ca="1" si="235"/>
        <v>0.98440307729716914</v>
      </c>
      <c r="W571" s="304">
        <f t="shared" ca="1" si="236"/>
        <v>3.6464686830342372</v>
      </c>
      <c r="Y571" s="314" t="str">
        <f t="shared" ca="1" si="254"/>
        <v/>
      </c>
      <c r="Z571" s="315" t="str">
        <f t="shared" ca="1" si="255"/>
        <v/>
      </c>
      <c r="AA571" s="316" t="str">
        <f t="shared" ca="1" si="256"/>
        <v/>
      </c>
      <c r="AC571" s="310" t="e">
        <f t="shared" ca="1" si="257"/>
        <v>#N/A</v>
      </c>
      <c r="AD571" s="323" t="e">
        <f t="shared" ca="1" si="258"/>
        <v>#N/A</v>
      </c>
      <c r="AE571" s="324" t="e">
        <f t="shared" ca="1" si="237"/>
        <v>#N/A</v>
      </c>
      <c r="AG571" s="306">
        <f t="shared" ca="1" si="259"/>
        <v>6.9076409756373254</v>
      </c>
      <c r="AH571" s="304">
        <f t="shared" ca="1" si="260"/>
        <v>-0.68872325552006619</v>
      </c>
    </row>
    <row r="572" spans="1:34" x14ac:dyDescent="0.2">
      <c r="A572" s="347">
        <f t="shared" ca="1" si="238"/>
        <v>0.1</v>
      </c>
      <c r="B572" s="304">
        <f t="shared" ca="1" si="239"/>
        <v>20.799999999999983</v>
      </c>
      <c r="D572" s="306">
        <f t="shared" ca="1" si="240"/>
        <v>-0.44393148645019326</v>
      </c>
      <c r="E572" s="307">
        <f t="shared" ca="1" si="241"/>
        <v>-9.2464698064307793</v>
      </c>
      <c r="F572" s="304">
        <f t="shared" ca="1" si="242"/>
        <v>9.2571204510850951</v>
      </c>
      <c r="G572" s="306">
        <f t="shared" ca="1" si="243"/>
        <v>21.449328195483343</v>
      </c>
      <c r="H572" s="307">
        <f t="shared" ca="1" si="244"/>
        <v>-28.208949444596598</v>
      </c>
      <c r="I572" s="304">
        <f t="shared" ca="1" si="245"/>
        <v>35.437529665671725</v>
      </c>
      <c r="J572" s="306">
        <f t="shared" ca="1" si="246"/>
        <v>672.89990948735704</v>
      </c>
      <c r="K572" s="307">
        <f t="shared" ca="1" si="247"/>
        <v>2175.1613163583147</v>
      </c>
      <c r="L572" s="304">
        <f t="shared" ca="1" si="232"/>
        <v>2276.8664959478256</v>
      </c>
      <c r="M572" s="306">
        <f t="shared" ca="1" si="248"/>
        <v>-0.92068937966106257</v>
      </c>
      <c r="N572" s="304">
        <f t="shared" ca="1" si="249"/>
        <v>-52.751615697096781</v>
      </c>
      <c r="P572" s="310">
        <f t="shared" ca="1" si="250"/>
        <v>23</v>
      </c>
      <c r="Q572" s="304">
        <f t="shared" ca="1" si="251"/>
        <v>0</v>
      </c>
      <c r="R572" s="306">
        <f t="shared" ca="1" si="252"/>
        <v>0</v>
      </c>
      <c r="S572" s="307">
        <f t="shared" ca="1" si="253"/>
        <v>5.0829999999999913</v>
      </c>
      <c r="T572" s="304">
        <f t="shared" ca="1" si="233"/>
        <v>49.864229999999914</v>
      </c>
      <c r="U572" s="311">
        <f t="shared" ca="1" si="234"/>
        <v>0</v>
      </c>
      <c r="V572" s="306">
        <f t="shared" ca="1" si="235"/>
        <v>0.98467952841242101</v>
      </c>
      <c r="W572" s="304">
        <f t="shared" ca="1" si="236"/>
        <v>3.7968656229640927</v>
      </c>
      <c r="Y572" s="314" t="str">
        <f t="shared" ca="1" si="254"/>
        <v/>
      </c>
      <c r="Z572" s="315" t="str">
        <f t="shared" ca="1" si="255"/>
        <v/>
      </c>
      <c r="AA572" s="316" t="str">
        <f t="shared" ca="1" si="256"/>
        <v/>
      </c>
      <c r="AC572" s="310" t="e">
        <f t="shared" ca="1" si="257"/>
        <v>#N/A</v>
      </c>
      <c r="AD572" s="323" t="e">
        <f t="shared" ca="1" si="258"/>
        <v>#N/A</v>
      </c>
      <c r="AE572" s="324" t="e">
        <f t="shared" ca="1" si="237"/>
        <v>#N/A</v>
      </c>
      <c r="AG572" s="306">
        <f t="shared" ca="1" si="259"/>
        <v>6.9887002853443594</v>
      </c>
      <c r="AH572" s="304">
        <f t="shared" ca="1" si="260"/>
        <v>-0.71738514322924329</v>
      </c>
    </row>
    <row r="573" spans="1:34" x14ac:dyDescent="0.2">
      <c r="A573" s="347">
        <f t="shared" ca="1" si="238"/>
        <v>0.1</v>
      </c>
      <c r="B573" s="304">
        <f t="shared" ca="1" si="239"/>
        <v>20.899999999999984</v>
      </c>
      <c r="D573" s="306">
        <f t="shared" ca="1" si="240"/>
        <v>-0.45212172086792324</v>
      </c>
      <c r="E573" s="307">
        <f t="shared" ca="1" si="241"/>
        <v>-9.2153949545397467</v>
      </c>
      <c r="F573" s="304">
        <f t="shared" ca="1" si="242"/>
        <v>9.2264791886524726</v>
      </c>
      <c r="G573" s="306">
        <f t="shared" ca="1" si="243"/>
        <v>21.404116023396551</v>
      </c>
      <c r="H573" s="307">
        <f t="shared" ca="1" si="244"/>
        <v>-29.130488940050572</v>
      </c>
      <c r="I573" s="304">
        <f t="shared" ca="1" si="245"/>
        <v>36.148603965152375</v>
      </c>
      <c r="J573" s="306">
        <f t="shared" ca="1" si="246"/>
        <v>675.04258169830098</v>
      </c>
      <c r="K573" s="307">
        <f t="shared" ca="1" si="247"/>
        <v>2172.2943444390821</v>
      </c>
      <c r="L573" s="304">
        <f t="shared" ca="1" si="232"/>
        <v>2274.762670255499</v>
      </c>
      <c r="M573" s="306">
        <f t="shared" ca="1" si="248"/>
        <v>-0.93711596383674023</v>
      </c>
      <c r="N573" s="304">
        <f t="shared" ca="1" si="249"/>
        <v>-53.692789642179498</v>
      </c>
      <c r="P573" s="310">
        <f t="shared" ca="1" si="250"/>
        <v>23</v>
      </c>
      <c r="Q573" s="304">
        <f t="shared" ca="1" si="251"/>
        <v>0</v>
      </c>
      <c r="R573" s="306">
        <f t="shared" ca="1" si="252"/>
        <v>0</v>
      </c>
      <c r="S573" s="307">
        <f t="shared" ca="1" si="253"/>
        <v>5.0829999999999913</v>
      </c>
      <c r="T573" s="304">
        <f t="shared" ca="1" si="233"/>
        <v>49.864229999999914</v>
      </c>
      <c r="U573" s="311">
        <f t="shared" ca="1" si="234"/>
        <v>0</v>
      </c>
      <c r="V573" s="306">
        <f t="shared" ca="1" si="235"/>
        <v>0.98496524936939744</v>
      </c>
      <c r="W573" s="304">
        <f t="shared" ca="1" si="236"/>
        <v>3.9519132845368823</v>
      </c>
      <c r="Y573" s="314" t="str">
        <f t="shared" ca="1" si="254"/>
        <v/>
      </c>
      <c r="Z573" s="315" t="str">
        <f t="shared" ca="1" si="255"/>
        <v/>
      </c>
      <c r="AA573" s="316" t="str">
        <f t="shared" ca="1" si="256"/>
        <v/>
      </c>
      <c r="AC573" s="310" t="e">
        <f t="shared" ca="1" si="257"/>
        <v>#N/A</v>
      </c>
      <c r="AD573" s="323" t="e">
        <f t="shared" ca="1" si="258"/>
        <v>#N/A</v>
      </c>
      <c r="AE573" s="324" t="e">
        <f t="shared" ca="1" si="237"/>
        <v>#N/A</v>
      </c>
      <c r="AG573" s="306">
        <f t="shared" ca="1" si="259"/>
        <v>7.0619737202456552</v>
      </c>
      <c r="AH573" s="304">
        <f t="shared" ca="1" si="260"/>
        <v>-0.7469733667055084</v>
      </c>
    </row>
    <row r="574" spans="1:34" x14ac:dyDescent="0.2">
      <c r="A574" s="347">
        <f t="shared" ca="1" si="238"/>
        <v>0.1</v>
      </c>
      <c r="B574" s="304">
        <f t="shared" ca="1" si="239"/>
        <v>20.999999999999986</v>
      </c>
      <c r="D574" s="306">
        <f t="shared" ca="1" si="240"/>
        <v>-0.46035521087421644</v>
      </c>
      <c r="E574" s="307">
        <f t="shared" ca="1" si="241"/>
        <v>-9.1834675908032217</v>
      </c>
      <c r="F574" s="304">
        <f t="shared" ca="1" si="242"/>
        <v>9.1949988532632325</v>
      </c>
      <c r="G574" s="306">
        <f t="shared" ca="1" si="243"/>
        <v>21.358080502309129</v>
      </c>
      <c r="H574" s="307">
        <f t="shared" ca="1" si="244"/>
        <v>-30.048835699130894</v>
      </c>
      <c r="I574" s="304">
        <f t="shared" ca="1" si="245"/>
        <v>36.865975229423682</v>
      </c>
      <c r="J574" s="306">
        <f t="shared" ca="1" si="246"/>
        <v>677.18069152458622</v>
      </c>
      <c r="K574" s="307">
        <f t="shared" ca="1" si="247"/>
        <v>2169.3353782071231</v>
      </c>
      <c r="L574" s="304">
        <f t="shared" ca="1" si="232"/>
        <v>2272.5733590172085</v>
      </c>
      <c r="M574" s="306">
        <f t="shared" ca="1" si="248"/>
        <v>-0.95287272739028173</v>
      </c>
      <c r="N574" s="304">
        <f t="shared" ca="1" si="249"/>
        <v>-54.595585692582979</v>
      </c>
      <c r="P574" s="310">
        <f t="shared" ca="1" si="250"/>
        <v>23</v>
      </c>
      <c r="Q574" s="304">
        <f t="shared" ca="1" si="251"/>
        <v>0</v>
      </c>
      <c r="R574" s="306">
        <f t="shared" ca="1" si="252"/>
        <v>0</v>
      </c>
      <c r="S574" s="307">
        <f t="shared" ca="1" si="253"/>
        <v>5.0829999999999913</v>
      </c>
      <c r="T574" s="304">
        <f t="shared" ca="1" si="233"/>
        <v>49.864229999999914</v>
      </c>
      <c r="U574" s="311">
        <f t="shared" ca="1" si="234"/>
        <v>0</v>
      </c>
      <c r="V574" s="306">
        <f t="shared" ca="1" si="235"/>
        <v>0.98526021592726354</v>
      </c>
      <c r="W574" s="304">
        <f t="shared" ca="1" si="236"/>
        <v>4.1115524898023956</v>
      </c>
      <c r="Y574" s="314" t="str">
        <f t="shared" ca="1" si="254"/>
        <v/>
      </c>
      <c r="Z574" s="315" t="str">
        <f t="shared" ca="1" si="255"/>
        <v/>
      </c>
      <c r="AA574" s="316" t="str">
        <f t="shared" ca="1" si="256"/>
        <v/>
      </c>
      <c r="AC574" s="310">
        <f t="shared" ca="1" si="257"/>
        <v>20.999999999999986</v>
      </c>
      <c r="AD574" s="323">
        <f t="shared" ca="1" si="258"/>
        <v>677.18069152458622</v>
      </c>
      <c r="AE574" s="324" t="e">
        <f t="shared" ca="1" si="237"/>
        <v>#N/A</v>
      </c>
      <c r="AG574" s="306">
        <f t="shared" ca="1" si="259"/>
        <v>7.1279489793871793</v>
      </c>
      <c r="AH574" s="304">
        <f t="shared" ca="1" si="260"/>
        <v>-0.77747654623979723</v>
      </c>
    </row>
    <row r="575" spans="1:34" x14ac:dyDescent="0.2">
      <c r="A575" s="347">
        <f t="shared" ca="1" si="238"/>
        <v>0.1</v>
      </c>
      <c r="B575" s="304">
        <f t="shared" ca="1" si="239"/>
        <v>21.099999999999987</v>
      </c>
      <c r="D575" s="306">
        <f t="shared" ca="1" si="240"/>
        <v>-0.46862151257849699</v>
      </c>
      <c r="E575" s="307">
        <f t="shared" ca="1" si="241"/>
        <v>-9.1506930536184168</v>
      </c>
      <c r="F575" s="304">
        <f t="shared" ca="1" si="242"/>
        <v>9.1626846220740195</v>
      </c>
      <c r="G575" s="306">
        <f t="shared" ca="1" si="243"/>
        <v>21.311218351051281</v>
      </c>
      <c r="H575" s="307">
        <f t="shared" ca="1" si="244"/>
        <v>-30.963905004492737</v>
      </c>
      <c r="I575" s="304">
        <f t="shared" ca="1" si="245"/>
        <v>37.588980309838618</v>
      </c>
      <c r="J575" s="306">
        <f t="shared" ca="1" si="246"/>
        <v>679.31415646725429</v>
      </c>
      <c r="K575" s="307">
        <f t="shared" ca="1" si="247"/>
        <v>2166.2847411719417</v>
      </c>
      <c r="L575" s="304">
        <f t="shared" ca="1" si="232"/>
        <v>2270.2989457362669</v>
      </c>
      <c r="M575" s="306">
        <f t="shared" ca="1" si="248"/>
        <v>-0.96799306552865116</v>
      </c>
      <c r="N575" s="304">
        <f t="shared" ca="1" si="249"/>
        <v>-55.461917252722245</v>
      </c>
      <c r="P575" s="310">
        <f t="shared" ca="1" si="250"/>
        <v>23</v>
      </c>
      <c r="Q575" s="304">
        <f t="shared" ca="1" si="251"/>
        <v>0</v>
      </c>
      <c r="R575" s="306">
        <f t="shared" ca="1" si="252"/>
        <v>0</v>
      </c>
      <c r="S575" s="307">
        <f t="shared" ca="1" si="253"/>
        <v>5.0829999999999913</v>
      </c>
      <c r="T575" s="304">
        <f t="shared" ca="1" si="233"/>
        <v>49.864229999999914</v>
      </c>
      <c r="U575" s="311">
        <f t="shared" ca="1" si="234"/>
        <v>0</v>
      </c>
      <c r="V575" s="306">
        <f t="shared" ca="1" si="235"/>
        <v>0.9855644031986458</v>
      </c>
      <c r="W575" s="304">
        <f t="shared" ca="1" si="236"/>
        <v>4.2757227528832731</v>
      </c>
      <c r="Y575" s="314" t="str">
        <f t="shared" ca="1" si="254"/>
        <v/>
      </c>
      <c r="Z575" s="315" t="str">
        <f t="shared" ca="1" si="255"/>
        <v/>
      </c>
      <c r="AA575" s="316" t="str">
        <f t="shared" ca="1" si="256"/>
        <v/>
      </c>
      <c r="AC575" s="310" t="e">
        <f t="shared" ca="1" si="257"/>
        <v>#N/A</v>
      </c>
      <c r="AD575" s="323" t="e">
        <f t="shared" ca="1" si="258"/>
        <v>#N/A</v>
      </c>
      <c r="AE575" s="324" t="e">
        <f t="shared" ca="1" si="237"/>
        <v>#N/A</v>
      </c>
      <c r="AG575" s="306">
        <f t="shared" ca="1" si="259"/>
        <v>7.1870827900714893</v>
      </c>
      <c r="AH575" s="304">
        <f t="shared" ca="1" si="260"/>
        <v>-0.80888303950470242</v>
      </c>
    </row>
    <row r="576" spans="1:34" x14ac:dyDescent="0.2">
      <c r="A576" s="347">
        <f t="shared" ca="1" si="238"/>
        <v>0.1</v>
      </c>
      <c r="B576" s="304">
        <f t="shared" ca="1" si="239"/>
        <v>21.199999999999989</v>
      </c>
      <c r="D576" s="306">
        <f t="shared" ca="1" si="240"/>
        <v>-0.47691080426993676</v>
      </c>
      <c r="E576" s="307">
        <f t="shared" ca="1" si="241"/>
        <v>-9.1170775872228784</v>
      </c>
      <c r="F576" s="304">
        <f t="shared" ca="1" si="242"/>
        <v>9.1295425759821693</v>
      </c>
      <c r="G576" s="306">
        <f t="shared" ca="1" si="243"/>
        <v>21.263527270624287</v>
      </c>
      <c r="H576" s="307">
        <f t="shared" ca="1" si="244"/>
        <v>-31.875612763215024</v>
      </c>
      <c r="I576" s="304">
        <f t="shared" ca="1" si="245"/>
        <v>38.316997286048121</v>
      </c>
      <c r="J576" s="306">
        <f t="shared" ca="1" si="246"/>
        <v>681.44289374833807</v>
      </c>
      <c r="K576" s="307">
        <f t="shared" ca="1" si="247"/>
        <v>2163.1427652835564</v>
      </c>
      <c r="L576" s="304">
        <f t="shared" ca="1" si="232"/>
        <v>2267.9398229315302</v>
      </c>
      <c r="M576" s="306">
        <f t="shared" ca="1" si="248"/>
        <v>-0.9825088504611067</v>
      </c>
      <c r="N576" s="304">
        <f t="shared" ca="1" si="249"/>
        <v>-56.293610465671541</v>
      </c>
      <c r="P576" s="310">
        <f t="shared" ca="1" si="250"/>
        <v>23</v>
      </c>
      <c r="Q576" s="304">
        <f t="shared" ca="1" si="251"/>
        <v>0</v>
      </c>
      <c r="R576" s="306">
        <f t="shared" ca="1" si="252"/>
        <v>0</v>
      </c>
      <c r="S576" s="307">
        <f t="shared" ca="1" si="253"/>
        <v>5.0829999999999913</v>
      </c>
      <c r="T576" s="304">
        <f t="shared" ca="1" si="233"/>
        <v>49.864229999999914</v>
      </c>
      <c r="U576" s="311">
        <f t="shared" ca="1" si="234"/>
        <v>0</v>
      </c>
      <c r="V576" s="306">
        <f t="shared" ca="1" si="235"/>
        <v>0.98587778565203377</v>
      </c>
      <c r="W576" s="304">
        <f t="shared" ca="1" si="236"/>
        <v>4.4443623093217788</v>
      </c>
      <c r="Y576" s="314" t="str">
        <f t="shared" ca="1" si="254"/>
        <v/>
      </c>
      <c r="Z576" s="315" t="str">
        <f t="shared" ca="1" si="255"/>
        <v/>
      </c>
      <c r="AA576" s="316" t="str">
        <f t="shared" ca="1" si="256"/>
        <v/>
      </c>
      <c r="AC576" s="310" t="e">
        <f t="shared" ca="1" si="257"/>
        <v>#N/A</v>
      </c>
      <c r="AD576" s="323" t="e">
        <f t="shared" ca="1" si="258"/>
        <v>#N/A</v>
      </c>
      <c r="AE576" s="324" t="e">
        <f t="shared" ca="1" si="237"/>
        <v>#N/A</v>
      </c>
      <c r="AG576" s="306">
        <f t="shared" ca="1" si="259"/>
        <v>7.2398019792613875</v>
      </c>
      <c r="AH576" s="304">
        <f t="shared" ca="1" si="260"/>
        <v>-0.84118094685879996</v>
      </c>
    </row>
    <row r="577" spans="1:34" x14ac:dyDescent="0.2">
      <c r="A577" s="347">
        <f t="shared" ca="1" si="238"/>
        <v>0.1</v>
      </c>
      <c r="B577" s="304">
        <f t="shared" ca="1" si="239"/>
        <v>21.29999999999999</v>
      </c>
      <c r="D577" s="306">
        <f t="shared" ca="1" si="240"/>
        <v>-0.48521384723551725</v>
      </c>
      <c r="E577" s="307">
        <f t="shared" ca="1" si="241"/>
        <v>-9.0826282659981743</v>
      </c>
      <c r="F577" s="304">
        <f t="shared" ca="1" si="242"/>
        <v>9.0955796239633955</v>
      </c>
      <c r="G577" s="306">
        <f t="shared" ca="1" si="243"/>
        <v>21.215005885900734</v>
      </c>
      <c r="H577" s="307">
        <f t="shared" ca="1" si="244"/>
        <v>-32.783875589814841</v>
      </c>
      <c r="I577" s="304">
        <f t="shared" ca="1" si="245"/>
        <v>39.049442677549955</v>
      </c>
      <c r="J577" s="306">
        <f t="shared" ca="1" si="246"/>
        <v>683.56682040616431</v>
      </c>
      <c r="K577" s="307">
        <f t="shared" ca="1" si="247"/>
        <v>2159.9097908659051</v>
      </c>
      <c r="L577" s="304">
        <f t="shared" ca="1" si="232"/>
        <v>2265.4963921045187</v>
      </c>
      <c r="M577" s="306">
        <f t="shared" ca="1" si="248"/>
        <v>-0.99645043307654313</v>
      </c>
      <c r="N577" s="304">
        <f t="shared" ca="1" si="249"/>
        <v>-57.092404309269007</v>
      </c>
      <c r="P577" s="310">
        <f t="shared" ca="1" si="250"/>
        <v>23</v>
      </c>
      <c r="Q577" s="304">
        <f t="shared" ca="1" si="251"/>
        <v>0</v>
      </c>
      <c r="R577" s="306">
        <f t="shared" ca="1" si="252"/>
        <v>0</v>
      </c>
      <c r="S577" s="307">
        <f t="shared" ca="1" si="253"/>
        <v>5.0829999999999913</v>
      </c>
      <c r="T577" s="304">
        <f t="shared" ca="1" si="233"/>
        <v>49.864229999999914</v>
      </c>
      <c r="U577" s="311">
        <f t="shared" ca="1" si="234"/>
        <v>0</v>
      </c>
      <c r="V577" s="306">
        <f t="shared" ca="1" si="235"/>
        <v>0.98620033711496935</v>
      </c>
      <c r="W577" s="304">
        <f t="shared" ca="1" si="236"/>
        <v>4.6174081475926609</v>
      </c>
      <c r="Y577" s="314" t="str">
        <f t="shared" ca="1" si="254"/>
        <v/>
      </c>
      <c r="Z577" s="315" t="str">
        <f t="shared" ca="1" si="255"/>
        <v/>
      </c>
      <c r="AA577" s="316" t="str">
        <f t="shared" ca="1" si="256"/>
        <v/>
      </c>
      <c r="AC577" s="310" t="e">
        <f t="shared" ca="1" si="257"/>
        <v>#N/A</v>
      </c>
      <c r="AD577" s="323" t="e">
        <f t="shared" ca="1" si="258"/>
        <v>#N/A</v>
      </c>
      <c r="AE577" s="324" t="e">
        <f t="shared" ca="1" si="237"/>
        <v>#N/A</v>
      </c>
      <c r="AG577" s="306">
        <f t="shared" ca="1" si="259"/>
        <v>7.2865047728589198</v>
      </c>
      <c r="AH577" s="304">
        <f t="shared" ca="1" si="260"/>
        <v>-0.87435811712016254</v>
      </c>
    </row>
    <row r="578" spans="1:34" x14ac:dyDescent="0.2">
      <c r="A578" s="347">
        <f t="shared" ca="1" si="238"/>
        <v>0.1</v>
      </c>
      <c r="B578" s="304">
        <f t="shared" ca="1" si="239"/>
        <v>21.399999999999991</v>
      </c>
      <c r="D578" s="306">
        <f t="shared" ca="1" si="240"/>
        <v>-0.49352194852170223</v>
      </c>
      <c r="E578" s="307">
        <f t="shared" ca="1" si="241"/>
        <v>-9.0473529261223895</v>
      </c>
      <c r="F578" s="304">
        <f t="shared" ca="1" si="242"/>
        <v>9.0608034347671413</v>
      </c>
      <c r="G578" s="306">
        <f t="shared" ca="1" si="243"/>
        <v>21.165653691048565</v>
      </c>
      <c r="H578" s="307">
        <f t="shared" ca="1" si="244"/>
        <v>-33.688610882427078</v>
      </c>
      <c r="I578" s="304">
        <f t="shared" ca="1" si="245"/>
        <v>39.785768804397655</v>
      </c>
      <c r="J578" s="306">
        <f t="shared" ca="1" si="246"/>
        <v>685.6858533850118</v>
      </c>
      <c r="K578" s="307">
        <f t="shared" ca="1" si="247"/>
        <v>2156.5861665422931</v>
      </c>
      <c r="L578" s="304">
        <f t="shared" ca="1" si="232"/>
        <v>2262.9690636979362</v>
      </c>
      <c r="M578" s="306">
        <f t="shared" ca="1" si="248"/>
        <v>-1.0098466619618933</v>
      </c>
      <c r="N578" s="304">
        <f t="shared" ca="1" si="249"/>
        <v>-57.859951685790818</v>
      </c>
      <c r="P578" s="310">
        <f t="shared" ca="1" si="250"/>
        <v>23</v>
      </c>
      <c r="Q578" s="304">
        <f t="shared" ca="1" si="251"/>
        <v>0</v>
      </c>
      <c r="R578" s="306">
        <f t="shared" ca="1" si="252"/>
        <v>0</v>
      </c>
      <c r="S578" s="307">
        <f t="shared" ca="1" si="253"/>
        <v>5.0829999999999913</v>
      </c>
      <c r="T578" s="304">
        <f t="shared" ca="1" si="233"/>
        <v>49.864229999999914</v>
      </c>
      <c r="U578" s="311">
        <f t="shared" ca="1" si="234"/>
        <v>0</v>
      </c>
      <c r="V578" s="306">
        <f t="shared" ca="1" si="235"/>
        <v>0.98653203077795404</v>
      </c>
      <c r="W578" s="304">
        <f t="shared" ca="1" si="236"/>
        <v>4.7947960425812868</v>
      </c>
      <c r="Y578" s="314" t="str">
        <f t="shared" ca="1" si="254"/>
        <v/>
      </c>
      <c r="Z578" s="315" t="str">
        <f t="shared" ca="1" si="255"/>
        <v/>
      </c>
      <c r="AA578" s="316" t="str">
        <f t="shared" ca="1" si="256"/>
        <v/>
      </c>
      <c r="AC578" s="310" t="e">
        <f t="shared" ca="1" si="257"/>
        <v>#N/A</v>
      </c>
      <c r="AD578" s="323" t="e">
        <f t="shared" ca="1" si="258"/>
        <v>#N/A</v>
      </c>
      <c r="AE578" s="324" t="e">
        <f t="shared" ca="1" si="237"/>
        <v>#N/A</v>
      </c>
      <c r="AG578" s="306">
        <f t="shared" ca="1" si="259"/>
        <v>7.3275622412132044</v>
      </c>
      <c r="AH578" s="304">
        <f t="shared" ca="1" si="260"/>
        <v>-0.90840215376601785</v>
      </c>
    </row>
    <row r="579" spans="1:34" x14ac:dyDescent="0.2">
      <c r="A579" s="347">
        <f t="shared" ca="1" si="238"/>
        <v>0.1</v>
      </c>
      <c r="B579" s="304">
        <f t="shared" ca="1" si="239"/>
        <v>21.499999999999993</v>
      </c>
      <c r="D579" s="306">
        <f t="shared" ca="1" si="240"/>
        <v>-0.50182692576963173</v>
      </c>
      <c r="E579" s="307">
        <f t="shared" ca="1" si="241"/>
        <v>-9.0112601037818365</v>
      </c>
      <c r="F579" s="304">
        <f t="shared" ca="1" si="242"/>
        <v>9.0252223751793306</v>
      </c>
      <c r="G579" s="306">
        <f t="shared" ca="1" si="243"/>
        <v>21.115470998471601</v>
      </c>
      <c r="H579" s="307">
        <f t="shared" ca="1" si="244"/>
        <v>-34.589736892805263</v>
      </c>
      <c r="I579" s="304">
        <f t="shared" ca="1" si="245"/>
        <v>40.525461302751246</v>
      </c>
      <c r="J579" s="306">
        <f t="shared" ca="1" si="246"/>
        <v>687.79990961948783</v>
      </c>
      <c r="K579" s="307">
        <f t="shared" ca="1" si="247"/>
        <v>2153.1722491535315</v>
      </c>
      <c r="L579" s="304">
        <f t="shared" ca="1" si="232"/>
        <v>2260.3582570463145</v>
      </c>
      <c r="M579" s="306">
        <f t="shared" ca="1" si="248"/>
        <v>-1.0227249156584246</v>
      </c>
      <c r="N579" s="304">
        <f t="shared" ca="1" si="249"/>
        <v>-58.597821270100809</v>
      </c>
      <c r="P579" s="310">
        <f t="shared" ca="1" si="250"/>
        <v>23</v>
      </c>
      <c r="Q579" s="304">
        <f t="shared" ca="1" si="251"/>
        <v>0</v>
      </c>
      <c r="R579" s="306">
        <f t="shared" ca="1" si="252"/>
        <v>0</v>
      </c>
      <c r="S579" s="307">
        <f t="shared" ca="1" si="253"/>
        <v>5.0829999999999913</v>
      </c>
      <c r="T579" s="304">
        <f t="shared" ca="1" si="233"/>
        <v>49.864229999999914</v>
      </c>
      <c r="U579" s="311">
        <f t="shared" ca="1" si="234"/>
        <v>0</v>
      </c>
      <c r="V579" s="306">
        <f t="shared" ca="1" si="235"/>
        <v>0.98687283919901259</v>
      </c>
      <c r="W579" s="304">
        <f t="shared" ca="1" si="236"/>
        <v>4.976460590842537</v>
      </c>
      <c r="Y579" s="314" t="str">
        <f t="shared" ca="1" si="254"/>
        <v/>
      </c>
      <c r="Z579" s="315" t="str">
        <f t="shared" ca="1" si="255"/>
        <v/>
      </c>
      <c r="AA579" s="316" t="str">
        <f t="shared" ca="1" si="256"/>
        <v/>
      </c>
      <c r="AC579" s="310" t="e">
        <f t="shared" ca="1" si="257"/>
        <v>#N/A</v>
      </c>
      <c r="AD579" s="323" t="e">
        <f t="shared" ca="1" si="258"/>
        <v>#N/A</v>
      </c>
      <c r="AE579" s="324" t="e">
        <f t="shared" ca="1" si="237"/>
        <v>#N/A</v>
      </c>
      <c r="AG579" s="306">
        <f t="shared" ca="1" si="259"/>
        <v>7.3633198270779872</v>
      </c>
      <c r="AH579" s="304">
        <f t="shared" ca="1" si="260"/>
        <v>-0.94330042151904292</v>
      </c>
    </row>
    <row r="580" spans="1:34" x14ac:dyDescent="0.2">
      <c r="A580" s="347">
        <f t="shared" ca="1" si="238"/>
        <v>0.1</v>
      </c>
      <c r="B580" s="304">
        <f t="shared" ca="1" si="239"/>
        <v>21.599999999999994</v>
      </c>
      <c r="D580" s="306">
        <f t="shared" ca="1" si="240"/>
        <v>-0.5101210741815001</v>
      </c>
      <c r="E580" s="307">
        <f t="shared" ca="1" si="241"/>
        <v>-8.9743589792200016</v>
      </c>
      <c r="F580" s="304">
        <f t="shared" ca="1" si="242"/>
        <v>8.9888454541298426</v>
      </c>
      <c r="G580" s="306">
        <f t="shared" ca="1" si="243"/>
        <v>21.064458891053452</v>
      </c>
      <c r="H580" s="307">
        <f t="shared" ca="1" si="244"/>
        <v>-35.487172790727264</v>
      </c>
      <c r="I580" s="304">
        <f t="shared" ca="1" si="245"/>
        <v>41.268036796676121</v>
      </c>
      <c r="J580" s="306">
        <f t="shared" ca="1" si="246"/>
        <v>689.90890611396412</v>
      </c>
      <c r="K580" s="307">
        <f t="shared" ca="1" si="247"/>
        <v>2149.668403669355</v>
      </c>
      <c r="L580" s="304">
        <f t="shared" ref="L580:L643" ca="1" si="261">SQRT(pos_x^2+pos_z^2)</f>
        <v>2257.6644003194365</v>
      </c>
      <c r="M580" s="306">
        <f t="shared" ca="1" si="248"/>
        <v>-1.0351111447746646</v>
      </c>
      <c r="N580" s="304">
        <f t="shared" ca="1" si="249"/>
        <v>-59.307499922543421</v>
      </c>
      <c r="P580" s="310">
        <f t="shared" ca="1" si="250"/>
        <v>23</v>
      </c>
      <c r="Q580" s="304">
        <f t="shared" ca="1" si="251"/>
        <v>0</v>
      </c>
      <c r="R580" s="306">
        <f t="shared" ca="1" si="252"/>
        <v>0</v>
      </c>
      <c r="S580" s="307">
        <f t="shared" ca="1" si="253"/>
        <v>5.0829999999999913</v>
      </c>
      <c r="T580" s="304">
        <f t="shared" ref="T580:T643" ca="1" si="262">m*g</f>
        <v>49.864229999999914</v>
      </c>
      <c r="U580" s="311">
        <f t="shared" ref="U580:U643" ca="1" si="263">IF(pos_xz&lt;L_rampe,Poids*COS(Beta),0)</f>
        <v>0</v>
      </c>
      <c r="V580" s="306">
        <f t="shared" ref="V580:V643" ca="1" si="264">Rho_moyen*(20000-Alt_rampe-pos_z)/(20000+Alt_rampe+pos_z)</f>
        <v>0.98722273430886087</v>
      </c>
      <c r="W580" s="304">
        <f t="shared" ref="W580:W643" ca="1" si="265">1/2*Rho*Sref*Cx*vit_xz^2</f>
        <v>5.1623352474704394</v>
      </c>
      <c r="Y580" s="314" t="str">
        <f t="shared" ca="1" si="254"/>
        <v/>
      </c>
      <c r="Z580" s="315" t="str">
        <f t="shared" ca="1" si="255"/>
        <v/>
      </c>
      <c r="AA580" s="316" t="str">
        <f t="shared" ca="1" si="256"/>
        <v/>
      </c>
      <c r="AC580" s="310" t="e">
        <f t="shared" ca="1" si="257"/>
        <v>#N/A</v>
      </c>
      <c r="AD580" s="323" t="e">
        <f t="shared" ca="1" si="258"/>
        <v>#N/A</v>
      </c>
      <c r="AE580" s="324" t="e">
        <f t="shared" ref="AE580:AE643" ca="1" si="266">IF(t&lt;T_para, pos_z, NA())</f>
        <v>#N/A</v>
      </c>
      <c r="AG580" s="306">
        <f t="shared" ca="1" si="259"/>
        <v>7.3940989070215126</v>
      </c>
      <c r="AH580" s="304">
        <f t="shared" ca="1" si="260"/>
        <v>-0.97904005328399479</v>
      </c>
    </row>
    <row r="581" spans="1:34" x14ac:dyDescent="0.2">
      <c r="A581" s="347">
        <f t="shared" ref="A581:A644" ca="1" si="267">IF(B580+0.01&lt;=T_ini+ROUNDUP(Temps_fin_propu,0), 0.01, IF(K580&gt;0, 0.1, 0.0001))</f>
        <v>0.1</v>
      </c>
      <c r="B581" s="304">
        <f t="shared" ref="B581:B644" ca="1" si="268">B580+pas</f>
        <v>21.699999999999996</v>
      </c>
      <c r="D581" s="306">
        <f t="shared" ref="D581:D644" ca="1" si="269">IF(AND(L580&lt;L_rampe,Poussee&lt;Poids*SIN(M580)),0,(-W580+Poussee)/m*COS(M580)-U580/m*SIN(M580))</f>
        <v>-0.51839713562114609</v>
      </c>
      <c r="E581" s="307">
        <f t="shared" ref="E581:E644" ca="1" si="270">IF(AND(L580&lt;L_rampe,Poussee&lt;Poids*SIN(M580)),0,(-W580+Poussee)/m*SIN(M580)+U580/m*COS(M580)-Poids/m)</f>
        <v>-8.9366593259692486</v>
      </c>
      <c r="F581" s="304">
        <f t="shared" ref="F581:F644" ca="1" si="271">SQRT(acc_x^2+acc_z^2)</f>
        <v>8.9516822719896254</v>
      </c>
      <c r="G581" s="306">
        <f t="shared" ref="G581:G644" ca="1" si="272">G580+acc_x*pas</f>
        <v>21.012619177491338</v>
      </c>
      <c r="H581" s="307">
        <f t="shared" ref="H581:H644" ca="1" si="273">H580+acc_z*pas</f>
        <v>-36.380838723324189</v>
      </c>
      <c r="I581" s="304">
        <f t="shared" ref="I581:I644" ca="1" si="274">SQRT(vit_x^2+vit_z^2)</f>
        <v>42.013040724408434</v>
      </c>
      <c r="J581" s="306">
        <f t="shared" ref="J581:J644" ca="1" si="275">J580+0.5*(vit_x+G580)*pas*(K580&gt;=0)</f>
        <v>692.01276001739132</v>
      </c>
      <c r="K581" s="307">
        <f t="shared" ref="K581:K644" ca="1" si="276">K580+0.5*(vit_z+H580)*pas</f>
        <v>2146.0750030936524</v>
      </c>
      <c r="L581" s="304">
        <f t="shared" ca="1" si="261"/>
        <v>2254.887930459141</v>
      </c>
      <c r="M581" s="306">
        <f t="shared" ref="M581:M644" ca="1" si="277">IF(AND(L580&gt;L_rampe,G581&gt;0),ATAN2(G581,H581),$M$4)</f>
        <v>-1.0470299211939835</v>
      </c>
      <c r="N581" s="304">
        <f t="shared" ref="N581:N644" ca="1" si="278">DEGREES(Beta)</f>
        <v>-59.990395508330437</v>
      </c>
      <c r="P581" s="310">
        <f t="shared" ref="P581:P644" ca="1" si="279">MATCH(t-pas/2-T_ini,CdP_t)</f>
        <v>23</v>
      </c>
      <c r="Q581" s="304">
        <f t="shared" ref="Q581:Q644" ca="1" si="280">(INDEX(CdP,2,i_P+1)-INDEX(CdP,2,i_P+0))/(INDEX(CdP,1,i_P+1)-INDEX(CdP,1,i_P+0))*(t-pas/2-T_ini-INDEX(CdP,1,i_P+0))+INDEX(CdP,2,i_P+0)</f>
        <v>0</v>
      </c>
      <c r="R581" s="306">
        <f t="shared" ref="R581:R644" ca="1" si="281">Poussee/(g*ISP)</f>
        <v>0</v>
      </c>
      <c r="S581" s="307">
        <f t="shared" ref="S581:S644" ca="1" si="282">S580-Débit*pas</f>
        <v>5.0829999999999913</v>
      </c>
      <c r="T581" s="304">
        <f t="shared" ca="1" si="262"/>
        <v>49.864229999999914</v>
      </c>
      <c r="U581" s="311">
        <f t="shared" ca="1" si="263"/>
        <v>0</v>
      </c>
      <c r="V581" s="306">
        <f t="shared" ca="1" si="264"/>
        <v>0.98758168741662067</v>
      </c>
      <c r="W581" s="304">
        <f t="shared" ca="1" si="265"/>
        <v>5.3523523644213764</v>
      </c>
      <c r="Y581" s="314" t="str">
        <f t="shared" ref="Y581:Y644" ca="1" si="283">IF(AND(pos_z&lt;=0,K580&gt;0),"Impact balistique","") &amp; IF(AND(H582&lt;0,vit_z&gt;=0),"Apogée","") &amp; IF(AND(Poussee=0,Q580&gt;0),"Fin de propulsion","") &amp; IF(AND(L582&gt;L_rampe,pos_xz&lt;=L_rampe),"Sortie de rampe","")</f>
        <v/>
      </c>
      <c r="Z581" s="315" t="str">
        <f t="shared" ref="Z581:Z644" ca="1" si="284">IF(ABS(t-T_para)&lt;pas/2,"Para","")</f>
        <v/>
      </c>
      <c r="AA581" s="316" t="str">
        <f t="shared" ref="AA581:AA644" ca="1" si="285">IF(ABS(t-T_satellite)&lt;pas/2,"Satellite","")</f>
        <v/>
      </c>
      <c r="AC581" s="310" t="e">
        <f t="shared" ref="AC581:AC644" ca="1" si="286">IF(ABS(t-ROUND(t,0))&lt;0.001,t,NA())</f>
        <v>#N/A</v>
      </c>
      <c r="AD581" s="323" t="e">
        <f t="shared" ref="AD581:AD644" ca="1" si="287">IF(ABS(t-ROUND(t,0))&lt;0.001,pos_x,NA())</f>
        <v>#N/A</v>
      </c>
      <c r="AE581" s="324" t="e">
        <f t="shared" ca="1" si="266"/>
        <v>#N/A</v>
      </c>
      <c r="AG581" s="306">
        <f t="shared" ref="AG581:AG644" ca="1" si="288">IF(AND(L580&lt;L_rampe,Poussee&lt;Poids*SIN(M580)),0,(-W580+Poussee)/m-Poids*SIN(M580)/m)</f>
        <v>7.4201983493595041</v>
      </c>
      <c r="AH581" s="304">
        <f t="shared" ref="AH581:AH644" ca="1" si="289">IF(AND(L580&lt;L_rampe,Poussee&lt;Poids*SIN(M580)), g*SIN(M580), (-W580+Poussee)/m)</f>
        <v>-1.0156079574012293</v>
      </c>
    </row>
    <row r="582" spans="1:34" x14ac:dyDescent="0.2">
      <c r="A582" s="347">
        <f t="shared" ca="1" si="267"/>
        <v>0.1</v>
      </c>
      <c r="B582" s="304">
        <f t="shared" ca="1" si="268"/>
        <v>21.799999999999997</v>
      </c>
      <c r="D582" s="306">
        <f t="shared" ca="1" si="269"/>
        <v>-0.52664826981149759</v>
      </c>
      <c r="E582" s="307">
        <f t="shared" ca="1" si="270"/>
        <v>-8.8981714646761478</v>
      </c>
      <c r="F582" s="304">
        <f t="shared" ca="1" si="271"/>
        <v>8.9137429744677004</v>
      </c>
      <c r="G582" s="306">
        <f t="shared" ca="1" si="272"/>
        <v>20.959954350510188</v>
      </c>
      <c r="H582" s="307">
        <f t="shared" ca="1" si="273"/>
        <v>-37.270655869791803</v>
      </c>
      <c r="I582" s="304">
        <f t="shared" ca="1" si="274"/>
        <v>42.76004531498905</v>
      </c>
      <c r="J582" s="306">
        <f t="shared" ca="1" si="275"/>
        <v>694.11138869379135</v>
      </c>
      <c r="K582" s="307">
        <f t="shared" ca="1" si="276"/>
        <v>2142.3924283639967</v>
      </c>
      <c r="L582" s="304">
        <f t="shared" ca="1" si="261"/>
        <v>2252.0292931100621</v>
      </c>
      <c r="M582" s="306">
        <f t="shared" ca="1" si="277"/>
        <v>-1.0585044921406934</v>
      </c>
      <c r="N582" s="304">
        <f t="shared" ca="1" si="278"/>
        <v>-60.647839995300352</v>
      </c>
      <c r="P582" s="310">
        <f t="shared" ca="1" si="279"/>
        <v>23</v>
      </c>
      <c r="Q582" s="304">
        <f t="shared" ca="1" si="280"/>
        <v>0</v>
      </c>
      <c r="R582" s="306">
        <f t="shared" ca="1" si="281"/>
        <v>0</v>
      </c>
      <c r="S582" s="307">
        <f t="shared" ca="1" si="282"/>
        <v>5.0829999999999913</v>
      </c>
      <c r="T582" s="304">
        <f t="shared" ca="1" si="262"/>
        <v>49.864229999999914</v>
      </c>
      <c r="U582" s="311">
        <f t="shared" ca="1" si="263"/>
        <v>0</v>
      </c>
      <c r="V582" s="306">
        <f t="shared" ca="1" si="264"/>
        <v>0.98794966921604654</v>
      </c>
      <c r="W582" s="304">
        <f t="shared" ca="1" si="265"/>
        <v>5.5464432301453543</v>
      </c>
      <c r="Y582" s="314" t="str">
        <f t="shared" ca="1" si="283"/>
        <v/>
      </c>
      <c r="Z582" s="315" t="str">
        <f t="shared" ca="1" si="284"/>
        <v/>
      </c>
      <c r="AA582" s="316" t="str">
        <f t="shared" ca="1" si="285"/>
        <v/>
      </c>
      <c r="AC582" s="310" t="e">
        <f t="shared" ca="1" si="286"/>
        <v>#N/A</v>
      </c>
      <c r="AD582" s="323" t="e">
        <f t="shared" ca="1" si="287"/>
        <v>#N/A</v>
      </c>
      <c r="AE582" s="324" t="e">
        <f t="shared" ca="1" si="266"/>
        <v>#N/A</v>
      </c>
      <c r="AG582" s="306">
        <f t="shared" ca="1" si="288"/>
        <v>7.4418960414162436</v>
      </c>
      <c r="AH582" s="304">
        <f t="shared" ca="1" si="289"/>
        <v>-1.0529908251861864</v>
      </c>
    </row>
    <row r="583" spans="1:34" x14ac:dyDescent="0.2">
      <c r="A583" s="347">
        <f t="shared" ca="1" si="267"/>
        <v>0.1</v>
      </c>
      <c r="B583" s="304">
        <f t="shared" ca="1" si="268"/>
        <v>21.9</v>
      </c>
      <c r="D583" s="306">
        <f t="shared" ca="1" si="269"/>
        <v>-0.53486802756254281</v>
      </c>
      <c r="E583" s="307">
        <f t="shared" ca="1" si="270"/>
        <v>-8.8589062209931484</v>
      </c>
      <c r="F583" s="304">
        <f t="shared" ca="1" si="271"/>
        <v>8.8750382105802643</v>
      </c>
      <c r="G583" s="306">
        <f t="shared" ca="1" si="272"/>
        <v>20.906467547753934</v>
      </c>
      <c r="H583" s="307">
        <f t="shared" ca="1" si="273"/>
        <v>-38.15654649189112</v>
      </c>
      <c r="I583" s="304">
        <f t="shared" ca="1" si="274"/>
        <v>43.508647709543183</v>
      </c>
      <c r="J583" s="306">
        <f t="shared" ca="1" si="275"/>
        <v>696.20470978870458</v>
      </c>
      <c r="K583" s="307">
        <f t="shared" ca="1" si="276"/>
        <v>2138.6210682459127</v>
      </c>
      <c r="L583" s="304">
        <f t="shared" ca="1" si="261"/>
        <v>2249.0889425447949</v>
      </c>
      <c r="M583" s="306">
        <f t="shared" ca="1" si="277"/>
        <v>-1.069556837311028</v>
      </c>
      <c r="N583" s="304">
        <f t="shared" ca="1" si="278"/>
        <v>-61.281092727282321</v>
      </c>
      <c r="P583" s="310">
        <f t="shared" ca="1" si="279"/>
        <v>23</v>
      </c>
      <c r="Q583" s="304">
        <f t="shared" ca="1" si="280"/>
        <v>0</v>
      </c>
      <c r="R583" s="306">
        <f t="shared" ca="1" si="281"/>
        <v>0</v>
      </c>
      <c r="S583" s="307">
        <f t="shared" ca="1" si="282"/>
        <v>5.0829999999999913</v>
      </c>
      <c r="T583" s="304">
        <f t="shared" ca="1" si="262"/>
        <v>49.864229999999914</v>
      </c>
      <c r="U583" s="311">
        <f t="shared" ca="1" si="263"/>
        <v>0</v>
      </c>
      <c r="V583" s="306">
        <f t="shared" ca="1" si="264"/>
        <v>0.98832664979221163</v>
      </c>
      <c r="W583" s="304">
        <f t="shared" ca="1" si="265"/>
        <v>5.7445381103899829</v>
      </c>
      <c r="Y583" s="314" t="str">
        <f t="shared" ca="1" si="283"/>
        <v/>
      </c>
      <c r="Z583" s="315" t="str">
        <f t="shared" ca="1" si="284"/>
        <v/>
      </c>
      <c r="AA583" s="316" t="str">
        <f t="shared" ca="1" si="285"/>
        <v/>
      </c>
      <c r="AC583" s="310" t="e">
        <f t="shared" ca="1" si="286"/>
        <v>#N/A</v>
      </c>
      <c r="AD583" s="323" t="e">
        <f t="shared" ca="1" si="287"/>
        <v>#N/A</v>
      </c>
      <c r="AE583" s="324" t="e">
        <f t="shared" ca="1" si="266"/>
        <v>#N/A</v>
      </c>
      <c r="AG583" s="306">
        <f t="shared" ca="1" si="288"/>
        <v>7.4594503666796843</v>
      </c>
      <c r="AH583" s="304">
        <f t="shared" ca="1" si="289"/>
        <v>-1.0911751387262176</v>
      </c>
    </row>
    <row r="584" spans="1:34" x14ac:dyDescent="0.2">
      <c r="A584" s="347">
        <f t="shared" ca="1" si="267"/>
        <v>0.1</v>
      </c>
      <c r="B584" s="304">
        <f t="shared" ca="1" si="268"/>
        <v>22</v>
      </c>
      <c r="D584" s="306">
        <f t="shared" ca="1" si="269"/>
        <v>-0.54305032594350011</v>
      </c>
      <c r="E584" s="307">
        <f t="shared" ca="1" si="270"/>
        <v>-8.8188748870669009</v>
      </c>
      <c r="F584" s="304">
        <f t="shared" ca="1" si="271"/>
        <v>8.8355790942216448</v>
      </c>
      <c r="G584" s="306">
        <f t="shared" ca="1" si="272"/>
        <v>20.852162515159584</v>
      </c>
      <c r="H584" s="307">
        <f t="shared" ca="1" si="273"/>
        <v>-39.038433980597809</v>
      </c>
      <c r="I584" s="304">
        <f t="shared" ca="1" si="274"/>
        <v>44.258468220399585</v>
      </c>
      <c r="J584" s="306">
        <f t="shared" ca="1" si="275"/>
        <v>698.29264129185026</v>
      </c>
      <c r="K584" s="307">
        <f t="shared" ca="1" si="276"/>
        <v>2134.7613192222884</v>
      </c>
      <c r="L584" s="304">
        <f t="shared" ca="1" si="261"/>
        <v>2246.0673415839592</v>
      </c>
      <c r="M584" s="306">
        <f t="shared" ca="1" si="277"/>
        <v>-1.0802077276448292</v>
      </c>
      <c r="N584" s="304">
        <f t="shared" ca="1" si="278"/>
        <v>-61.891343791465815</v>
      </c>
      <c r="P584" s="310">
        <f t="shared" ca="1" si="279"/>
        <v>23</v>
      </c>
      <c r="Q584" s="304">
        <f t="shared" ca="1" si="280"/>
        <v>0</v>
      </c>
      <c r="R584" s="306">
        <f t="shared" ca="1" si="281"/>
        <v>0</v>
      </c>
      <c r="S584" s="307">
        <f t="shared" ca="1" si="282"/>
        <v>5.0829999999999913</v>
      </c>
      <c r="T584" s="304">
        <f t="shared" ca="1" si="262"/>
        <v>49.864229999999914</v>
      </c>
      <c r="U584" s="311">
        <f t="shared" ca="1" si="263"/>
        <v>0</v>
      </c>
      <c r="V584" s="306">
        <f t="shared" ca="1" si="264"/>
        <v>0.98871259862862759</v>
      </c>
      <c r="W584" s="304">
        <f t="shared" ca="1" si="265"/>
        <v>5.9465662900510674</v>
      </c>
      <c r="Y584" s="314" t="str">
        <f t="shared" ca="1" si="283"/>
        <v/>
      </c>
      <c r="Z584" s="315" t="str">
        <f t="shared" ca="1" si="284"/>
        <v/>
      </c>
      <c r="AA584" s="316" t="str">
        <f t="shared" ca="1" si="285"/>
        <v/>
      </c>
      <c r="AC584" s="310">
        <f t="shared" ca="1" si="286"/>
        <v>22</v>
      </c>
      <c r="AD584" s="323">
        <f t="shared" ca="1" si="287"/>
        <v>698.29264129185026</v>
      </c>
      <c r="AE584" s="324" t="e">
        <f t="shared" ca="1" si="266"/>
        <v>#N/A</v>
      </c>
      <c r="AG584" s="306">
        <f t="shared" ca="1" si="288"/>
        <v>7.4731016185338062</v>
      </c>
      <c r="AH584" s="304">
        <f t="shared" ca="1" si="289"/>
        <v>-1.1301471789081237</v>
      </c>
    </row>
    <row r="585" spans="1:34" x14ac:dyDescent="0.2">
      <c r="A585" s="347">
        <f t="shared" ca="1" si="267"/>
        <v>0.1</v>
      </c>
      <c r="B585" s="304">
        <f t="shared" ca="1" si="268"/>
        <v>22.1</v>
      </c>
      <c r="D585" s="306">
        <f t="shared" ca="1" si="269"/>
        <v>-0.55118942529990611</v>
      </c>
      <c r="E585" s="307">
        <f t="shared" ca="1" si="270"/>
        <v>-8.7780891862064347</v>
      </c>
      <c r="F585" s="304">
        <f t="shared" ca="1" si="271"/>
        <v>8.7953771689198632</v>
      </c>
      <c r="G585" s="306">
        <f t="shared" ca="1" si="272"/>
        <v>20.797043572629594</v>
      </c>
      <c r="H585" s="307">
        <f t="shared" ca="1" si="273"/>
        <v>-39.916242899218453</v>
      </c>
      <c r="I585" s="304">
        <f t="shared" ca="1" si="274"/>
        <v>45.009148720579702</v>
      </c>
      <c r="J585" s="306">
        <f t="shared" ca="1" si="275"/>
        <v>700.37510159623969</v>
      </c>
      <c r="K585" s="307">
        <f t="shared" ca="1" si="276"/>
        <v>2130.8135853782978</v>
      </c>
      <c r="L585" s="304">
        <f t="shared" ca="1" si="261"/>
        <v>2242.9649615115836</v>
      </c>
      <c r="M585" s="306">
        <f t="shared" ca="1" si="277"/>
        <v>-1.0904767846200074</v>
      </c>
      <c r="N585" s="304">
        <f t="shared" ca="1" si="278"/>
        <v>-62.479717415722902</v>
      </c>
      <c r="P585" s="310">
        <f t="shared" ca="1" si="279"/>
        <v>23</v>
      </c>
      <c r="Q585" s="304">
        <f t="shared" ca="1" si="280"/>
        <v>0</v>
      </c>
      <c r="R585" s="306">
        <f t="shared" ca="1" si="281"/>
        <v>0</v>
      </c>
      <c r="S585" s="307">
        <f t="shared" ca="1" si="282"/>
        <v>5.0829999999999913</v>
      </c>
      <c r="T585" s="304">
        <f t="shared" ca="1" si="262"/>
        <v>49.864229999999914</v>
      </c>
      <c r="U585" s="311">
        <f t="shared" ca="1" si="263"/>
        <v>0</v>
      </c>
      <c r="V585" s="306">
        <f t="shared" ca="1" si="264"/>
        <v>0.98910748461475539</v>
      </c>
      <c r="W585" s="304">
        <f t="shared" ca="1" si="265"/>
        <v>6.1524561159519262</v>
      </c>
      <c r="Y585" s="314" t="str">
        <f t="shared" ca="1" si="283"/>
        <v/>
      </c>
      <c r="Z585" s="315" t="str">
        <f t="shared" ca="1" si="284"/>
        <v/>
      </c>
      <c r="AA585" s="316" t="str">
        <f t="shared" ca="1" si="285"/>
        <v/>
      </c>
      <c r="AC585" s="310" t="e">
        <f t="shared" ca="1" si="286"/>
        <v>#N/A</v>
      </c>
      <c r="AD585" s="323" t="e">
        <f t="shared" ca="1" si="287"/>
        <v>#N/A</v>
      </c>
      <c r="AE585" s="324" t="e">
        <f t="shared" ca="1" si="266"/>
        <v>#N/A</v>
      </c>
      <c r="AG585" s="306">
        <f t="shared" ca="1" si="288"/>
        <v>7.4830733420158619</v>
      </c>
      <c r="AH585" s="304">
        <f t="shared" ca="1" si="289"/>
        <v>-1.1698930336515989</v>
      </c>
    </row>
    <row r="586" spans="1:34" x14ac:dyDescent="0.2">
      <c r="A586" s="347">
        <f t="shared" ca="1" si="267"/>
        <v>0.1</v>
      </c>
      <c r="B586" s="304">
        <f t="shared" ca="1" si="268"/>
        <v>22.200000000000003</v>
      </c>
      <c r="D586" s="306">
        <f t="shared" ca="1" si="269"/>
        <v>-0.55927990800877725</v>
      </c>
      <c r="E586" s="307">
        <f t="shared" ca="1" si="270"/>
        <v>-8.7365612403624837</v>
      </c>
      <c r="F586" s="304">
        <f t="shared" ca="1" si="271"/>
        <v>8.7544443754076351</v>
      </c>
      <c r="G586" s="306">
        <f t="shared" ca="1" si="272"/>
        <v>20.741115581828716</v>
      </c>
      <c r="H586" s="307">
        <f t="shared" ca="1" si="273"/>
        <v>-40.789899023254705</v>
      </c>
      <c r="I586" s="304">
        <f t="shared" ca="1" si="274"/>
        <v>45.760351155843338</v>
      </c>
      <c r="J586" s="306">
        <f t="shared" ca="1" si="275"/>
        <v>702.45200955396263</v>
      </c>
      <c r="K586" s="307">
        <f t="shared" ca="1" si="276"/>
        <v>2126.7782782821741</v>
      </c>
      <c r="L586" s="304">
        <f t="shared" ca="1" si="261"/>
        <v>2239.7822819861954</v>
      </c>
      <c r="M586" s="306">
        <f t="shared" ca="1" si="277"/>
        <v>-1.1003825392039919</v>
      </c>
      <c r="N586" s="304">
        <f t="shared" ca="1" si="278"/>
        <v>-63.047275346277587</v>
      </c>
      <c r="P586" s="310">
        <f t="shared" ca="1" si="279"/>
        <v>23</v>
      </c>
      <c r="Q586" s="304">
        <f t="shared" ca="1" si="280"/>
        <v>0</v>
      </c>
      <c r="R586" s="306">
        <f t="shared" ca="1" si="281"/>
        <v>0</v>
      </c>
      <c r="S586" s="307">
        <f t="shared" ca="1" si="282"/>
        <v>5.0829999999999913</v>
      </c>
      <c r="T586" s="304">
        <f t="shared" ca="1" si="262"/>
        <v>49.864229999999914</v>
      </c>
      <c r="U586" s="311">
        <f t="shared" ca="1" si="263"/>
        <v>0</v>
      </c>
      <c r="V586" s="306">
        <f t="shared" ca="1" si="264"/>
        <v>0.98951127605388323</v>
      </c>
      <c r="W586" s="304">
        <f t="shared" ca="1" si="265"/>
        <v>6.3621350404407595</v>
      </c>
      <c r="Y586" s="314" t="str">
        <f t="shared" ca="1" si="283"/>
        <v/>
      </c>
      <c r="Z586" s="315" t="str">
        <f t="shared" ca="1" si="284"/>
        <v/>
      </c>
      <c r="AA586" s="316" t="str">
        <f t="shared" ca="1" si="285"/>
        <v/>
      </c>
      <c r="AC586" s="310" t="e">
        <f t="shared" ca="1" si="286"/>
        <v>#N/A</v>
      </c>
      <c r="AD586" s="323" t="e">
        <f t="shared" ca="1" si="287"/>
        <v>#N/A</v>
      </c>
      <c r="AE586" s="324" t="e">
        <f t="shared" ca="1" si="266"/>
        <v>#N/A</v>
      </c>
      <c r="AG586" s="306">
        <f t="shared" ca="1" si="288"/>
        <v>7.4895735987096792</v>
      </c>
      <c r="AH586" s="304">
        <f t="shared" ca="1" si="289"/>
        <v>-1.210398606325386</v>
      </c>
    </row>
    <row r="587" spans="1:34" x14ac:dyDescent="0.2">
      <c r="A587" s="347">
        <f t="shared" ca="1" si="267"/>
        <v>0.1</v>
      </c>
      <c r="B587" s="304">
        <f t="shared" ca="1" si="268"/>
        <v>22.300000000000004</v>
      </c>
      <c r="D587" s="306">
        <f t="shared" ca="1" si="269"/>
        <v>-0.56731665886154858</v>
      </c>
      <c r="E587" s="307">
        <f t="shared" ca="1" si="270"/>
        <v>-8.6943035400927791</v>
      </c>
      <c r="F587" s="304">
        <f t="shared" ca="1" si="271"/>
        <v>8.7127930216832112</v>
      </c>
      <c r="G587" s="306">
        <f t="shared" ca="1" si="272"/>
        <v>20.684383915942561</v>
      </c>
      <c r="H587" s="307">
        <f t="shared" ca="1" si="273"/>
        <v>-41.65932937726398</v>
      </c>
      <c r="I587" s="304">
        <f t="shared" ca="1" si="274"/>
        <v>46.511756171375353</v>
      </c>
      <c r="J587" s="306">
        <f t="shared" ca="1" si="275"/>
        <v>704.52328452885115</v>
      </c>
      <c r="K587" s="307">
        <f t="shared" ca="1" si="276"/>
        <v>2122.6558168621482</v>
      </c>
      <c r="L587" s="304">
        <f t="shared" ca="1" si="261"/>
        <v>2236.5197909479884</v>
      </c>
      <c r="M587" s="306">
        <f t="shared" ca="1" si="277"/>
        <v>-1.1099424898026566</v>
      </c>
      <c r="N587" s="304">
        <f t="shared" ca="1" si="278"/>
        <v>-63.595020167934642</v>
      </c>
      <c r="P587" s="310">
        <f t="shared" ca="1" si="279"/>
        <v>23</v>
      </c>
      <c r="Q587" s="304">
        <f t="shared" ca="1" si="280"/>
        <v>0</v>
      </c>
      <c r="R587" s="306">
        <f t="shared" ca="1" si="281"/>
        <v>0</v>
      </c>
      <c r="S587" s="307">
        <f t="shared" ca="1" si="282"/>
        <v>5.0829999999999913</v>
      </c>
      <c r="T587" s="304">
        <f t="shared" ca="1" si="262"/>
        <v>49.864229999999914</v>
      </c>
      <c r="U587" s="311">
        <f t="shared" ca="1" si="263"/>
        <v>0</v>
      </c>
      <c r="V587" s="306">
        <f t="shared" ca="1" si="264"/>
        <v>0.9899239406713376</v>
      </c>
      <c r="W587" s="304">
        <f t="shared" ca="1" si="265"/>
        <v>6.5755296657021427</v>
      </c>
      <c r="Y587" s="314" t="str">
        <f t="shared" ca="1" si="283"/>
        <v/>
      </c>
      <c r="Z587" s="315" t="str">
        <f t="shared" ca="1" si="284"/>
        <v/>
      </c>
      <c r="AA587" s="316" t="str">
        <f t="shared" ca="1" si="285"/>
        <v/>
      </c>
      <c r="AC587" s="310" t="e">
        <f t="shared" ca="1" si="286"/>
        <v>#N/A</v>
      </c>
      <c r="AD587" s="323" t="e">
        <f t="shared" ca="1" si="287"/>
        <v>#N/A</v>
      </c>
      <c r="AE587" s="324" t="e">
        <f t="shared" ca="1" si="266"/>
        <v>#N/A</v>
      </c>
      <c r="AG587" s="306">
        <f t="shared" ca="1" si="288"/>
        <v>7.4927961526620228</v>
      </c>
      <c r="AH587" s="304">
        <f t="shared" ca="1" si="289"/>
        <v>-1.2516496243243695</v>
      </c>
    </row>
    <row r="588" spans="1:34" x14ac:dyDescent="0.2">
      <c r="A588" s="347">
        <f t="shared" ca="1" si="267"/>
        <v>0.1</v>
      </c>
      <c r="B588" s="304">
        <f t="shared" ca="1" si="268"/>
        <v>22.400000000000006</v>
      </c>
      <c r="D588" s="306">
        <f t="shared" ca="1" si="269"/>
        <v>-0.57529484696410382</v>
      </c>
      <c r="E588" s="307">
        <f t="shared" ca="1" si="270"/>
        <v>-8.6513289167269765</v>
      </c>
      <c r="F588" s="304">
        <f t="shared" ca="1" si="271"/>
        <v>8.6704357552743456</v>
      </c>
      <c r="G588" s="306">
        <f t="shared" ca="1" si="272"/>
        <v>20.626854431246151</v>
      </c>
      <c r="H588" s="307">
        <f t="shared" ca="1" si="273"/>
        <v>-42.524462268936681</v>
      </c>
      <c r="I588" s="304">
        <f t="shared" ca="1" si="274"/>
        <v>47.263061845272347</v>
      </c>
      <c r="J588" s="306">
        <f t="shared" ca="1" si="275"/>
        <v>706.5888464462106</v>
      </c>
      <c r="K588" s="307">
        <f t="shared" ca="1" si="276"/>
        <v>2118.4466272798381</v>
      </c>
      <c r="L588" s="304">
        <f t="shared" ca="1" si="261"/>
        <v>2233.1779845223955</v>
      </c>
      <c r="M588" s="306">
        <f t="shared" ca="1" si="277"/>
        <v>-1.1191731587148595</v>
      </c>
      <c r="N588" s="304">
        <f t="shared" ca="1" si="278"/>
        <v>-64.123898538686475</v>
      </c>
      <c r="P588" s="310">
        <f t="shared" ca="1" si="279"/>
        <v>23</v>
      </c>
      <c r="Q588" s="304">
        <f t="shared" ca="1" si="280"/>
        <v>0</v>
      </c>
      <c r="R588" s="306">
        <f t="shared" ca="1" si="281"/>
        <v>0</v>
      </c>
      <c r="S588" s="307">
        <f t="shared" ca="1" si="282"/>
        <v>5.0829999999999913</v>
      </c>
      <c r="T588" s="304">
        <f t="shared" ca="1" si="262"/>
        <v>49.864229999999914</v>
      </c>
      <c r="U588" s="311">
        <f t="shared" ca="1" si="263"/>
        <v>0</v>
      </c>
      <c r="V588" s="306">
        <f t="shared" ca="1" si="264"/>
        <v>0.9903454456230093</v>
      </c>
      <c r="W588" s="304">
        <f t="shared" ca="1" si="265"/>
        <v>6.7925657886845032</v>
      </c>
      <c r="Y588" s="314" t="str">
        <f t="shared" ca="1" si="283"/>
        <v/>
      </c>
      <c r="Z588" s="315" t="str">
        <f t="shared" ca="1" si="284"/>
        <v/>
      </c>
      <c r="AA588" s="316" t="str">
        <f t="shared" ca="1" si="285"/>
        <v/>
      </c>
      <c r="AC588" s="310" t="e">
        <f t="shared" ca="1" si="286"/>
        <v>#N/A</v>
      </c>
      <c r="AD588" s="323" t="e">
        <f t="shared" ca="1" si="287"/>
        <v>#N/A</v>
      </c>
      <c r="AE588" s="324" t="e">
        <f t="shared" ca="1" si="266"/>
        <v>#N/A</v>
      </c>
      <c r="AG588" s="306">
        <f t="shared" ca="1" si="288"/>
        <v>7.4929215772762152</v>
      </c>
      <c r="AH588" s="304">
        <f t="shared" ca="1" si="289"/>
        <v>-1.2936316477871639</v>
      </c>
    </row>
    <row r="589" spans="1:34" x14ac:dyDescent="0.2">
      <c r="A589" s="347">
        <f t="shared" ca="1" si="267"/>
        <v>0.1</v>
      </c>
      <c r="B589" s="304">
        <f t="shared" ca="1" si="268"/>
        <v>22.500000000000007</v>
      </c>
      <c r="D589" s="306">
        <f t="shared" ca="1" si="269"/>
        <v>-0.58320990904505521</v>
      </c>
      <c r="E589" s="307">
        <f t="shared" ca="1" si="270"/>
        <v>-8.6076505164797386</v>
      </c>
      <c r="F589" s="304">
        <f t="shared" ca="1" si="271"/>
        <v>8.6273855374535255</v>
      </c>
      <c r="G589" s="306">
        <f t="shared" ca="1" si="272"/>
        <v>20.568533440341646</v>
      </c>
      <c r="H589" s="307">
        <f t="shared" ca="1" si="273"/>
        <v>-43.385227320584654</v>
      </c>
      <c r="I589" s="304">
        <f t="shared" ca="1" si="274"/>
        <v>48.013982521191238</v>
      </c>
      <c r="J589" s="306">
        <f t="shared" ca="1" si="275"/>
        <v>708.64861583978995</v>
      </c>
      <c r="K589" s="307">
        <f t="shared" ca="1" si="276"/>
        <v>2114.1511428003619</v>
      </c>
      <c r="L589" s="304">
        <f t="shared" ca="1" si="261"/>
        <v>2229.7573669203844</v>
      </c>
      <c r="M589" s="306">
        <f t="shared" ca="1" si="277"/>
        <v>-1.1280901467361097</v>
      </c>
      <c r="N589" s="304">
        <f t="shared" ca="1" si="278"/>
        <v>-64.634804318272828</v>
      </c>
      <c r="P589" s="310">
        <f t="shared" ca="1" si="279"/>
        <v>23</v>
      </c>
      <c r="Q589" s="304">
        <f t="shared" ca="1" si="280"/>
        <v>0</v>
      </c>
      <c r="R589" s="306">
        <f t="shared" ca="1" si="281"/>
        <v>0</v>
      </c>
      <c r="S589" s="307">
        <f t="shared" ca="1" si="282"/>
        <v>5.0829999999999913</v>
      </c>
      <c r="T589" s="304">
        <f t="shared" ca="1" si="262"/>
        <v>49.864229999999914</v>
      </c>
      <c r="U589" s="311">
        <f t="shared" ca="1" si="263"/>
        <v>0</v>
      </c>
      <c r="V589" s="306">
        <f t="shared" ca="1" si="264"/>
        <v>0.99077575750416202</v>
      </c>
      <c r="W589" s="304">
        <f t="shared" ca="1" si="265"/>
        <v>7.0131684465508499</v>
      </c>
      <c r="Y589" s="314" t="str">
        <f t="shared" ca="1" si="283"/>
        <v/>
      </c>
      <c r="Z589" s="315" t="str">
        <f t="shared" ca="1" si="284"/>
        <v/>
      </c>
      <c r="AA589" s="316" t="str">
        <f t="shared" ca="1" si="285"/>
        <v/>
      </c>
      <c r="AC589" s="310" t="e">
        <f t="shared" ca="1" si="286"/>
        <v>#N/A</v>
      </c>
      <c r="AD589" s="323" t="e">
        <f t="shared" ca="1" si="287"/>
        <v>#N/A</v>
      </c>
      <c r="AE589" s="324" t="e">
        <f t="shared" ca="1" si="266"/>
        <v>#N/A</v>
      </c>
      <c r="AG589" s="306">
        <f t="shared" ca="1" si="288"/>
        <v>7.490118284643339</v>
      </c>
      <c r="AH589" s="304">
        <f t="shared" ca="1" si="289"/>
        <v>-1.3363300784348839</v>
      </c>
    </row>
    <row r="590" spans="1:34" x14ac:dyDescent="0.2">
      <c r="A590" s="347">
        <f t="shared" ca="1" si="267"/>
        <v>0.1</v>
      </c>
      <c r="B590" s="304">
        <f t="shared" ca="1" si="268"/>
        <v>22.600000000000009</v>
      </c>
      <c r="D590" s="306">
        <f t="shared" ca="1" si="269"/>
        <v>-0.59105753406686712</v>
      </c>
      <c r="E590" s="307">
        <f t="shared" ca="1" si="270"/>
        <v>-8.5632817762913245</v>
      </c>
      <c r="F590" s="304">
        <f t="shared" ca="1" si="271"/>
        <v>8.5836556191834905</v>
      </c>
      <c r="G590" s="306">
        <f t="shared" ca="1" si="272"/>
        <v>20.509427686934959</v>
      </c>
      <c r="H590" s="307">
        <f t="shared" ca="1" si="273"/>
        <v>-44.241555498213785</v>
      </c>
      <c r="I590" s="304">
        <f t="shared" ca="1" si="274"/>
        <v>48.764247732812869</v>
      </c>
      <c r="J590" s="306">
        <f t="shared" ca="1" si="275"/>
        <v>710.70251389615373</v>
      </c>
      <c r="K590" s="307">
        <f t="shared" ca="1" si="276"/>
        <v>2109.769803659422</v>
      </c>
      <c r="L590" s="304">
        <f t="shared" ca="1" si="261"/>
        <v>2226.2584503357712</v>
      </c>
      <c r="M590" s="306">
        <f t="shared" ca="1" si="277"/>
        <v>-1.1367081856634473</v>
      </c>
      <c r="N590" s="304">
        <f t="shared" ca="1" si="278"/>
        <v>-65.128581576488727</v>
      </c>
      <c r="P590" s="310">
        <f t="shared" ca="1" si="279"/>
        <v>23</v>
      </c>
      <c r="Q590" s="304">
        <f t="shared" ca="1" si="280"/>
        <v>0</v>
      </c>
      <c r="R590" s="306">
        <f t="shared" ca="1" si="281"/>
        <v>0</v>
      </c>
      <c r="S590" s="307">
        <f t="shared" ca="1" si="282"/>
        <v>5.0829999999999913</v>
      </c>
      <c r="T590" s="304">
        <f t="shared" ca="1" si="262"/>
        <v>49.864229999999914</v>
      </c>
      <c r="U590" s="311">
        <f t="shared" ca="1" si="263"/>
        <v>0</v>
      </c>
      <c r="V590" s="306">
        <f t="shared" ca="1" si="264"/>
        <v>0.99121484235850943</v>
      </c>
      <c r="W590" s="304">
        <f t="shared" ca="1" si="265"/>
        <v>7.2372619625649044</v>
      </c>
      <c r="Y590" s="314" t="str">
        <f t="shared" ca="1" si="283"/>
        <v/>
      </c>
      <c r="Z590" s="315" t="str">
        <f t="shared" ca="1" si="284"/>
        <v/>
      </c>
      <c r="AA590" s="316" t="str">
        <f t="shared" ca="1" si="285"/>
        <v/>
      </c>
      <c r="AC590" s="310" t="e">
        <f t="shared" ca="1" si="286"/>
        <v>#N/A</v>
      </c>
      <c r="AD590" s="323" t="e">
        <f t="shared" ca="1" si="287"/>
        <v>#N/A</v>
      </c>
      <c r="AE590" s="324" t="e">
        <f t="shared" ca="1" si="266"/>
        <v>#N/A</v>
      </c>
      <c r="AG590" s="306">
        <f t="shared" ca="1" si="288"/>
        <v>7.4845434798371926</v>
      </c>
      <c r="AH590" s="304">
        <f t="shared" ca="1" si="289"/>
        <v>-1.3797301685128589</v>
      </c>
    </row>
    <row r="591" spans="1:34" x14ac:dyDescent="0.2">
      <c r="A591" s="347">
        <f t="shared" ca="1" si="267"/>
        <v>0.1</v>
      </c>
      <c r="B591" s="304">
        <f t="shared" ca="1" si="268"/>
        <v>22.70000000000001</v>
      </c>
      <c r="D591" s="306">
        <f t="shared" ca="1" si="269"/>
        <v>-0.59883364903893388</v>
      </c>
      <c r="E591" s="307">
        <f t="shared" ca="1" si="270"/>
        <v>-8.5182364012024188</v>
      </c>
      <c r="F591" s="304">
        <f t="shared" ca="1" si="271"/>
        <v>8.5392595185994455</v>
      </c>
      <c r="G591" s="306">
        <f t="shared" ca="1" si="272"/>
        <v>20.449544322031066</v>
      </c>
      <c r="H591" s="307">
        <f t="shared" ca="1" si="273"/>
        <v>-45.093379138334029</v>
      </c>
      <c r="I591" s="304">
        <f t="shared" ca="1" si="274"/>
        <v>49.513601213123771</v>
      </c>
      <c r="J591" s="306">
        <f t="shared" ca="1" si="275"/>
        <v>712.75046249660204</v>
      </c>
      <c r="K591" s="307">
        <f t="shared" ca="1" si="276"/>
        <v>2105.3030569275948</v>
      </c>
      <c r="L591" s="304">
        <f t="shared" ca="1" si="261"/>
        <v>2222.6817548398139</v>
      </c>
      <c r="M591" s="306">
        <f t="shared" ca="1" si="277"/>
        <v>-1.1450411885400049</v>
      </c>
      <c r="N591" s="304">
        <f t="shared" ca="1" si="278"/>
        <v>-65.606027471985854</v>
      </c>
      <c r="P591" s="310">
        <f t="shared" ca="1" si="279"/>
        <v>23</v>
      </c>
      <c r="Q591" s="304">
        <f t="shared" ca="1" si="280"/>
        <v>0</v>
      </c>
      <c r="R591" s="306">
        <f t="shared" ca="1" si="281"/>
        <v>0</v>
      </c>
      <c r="S591" s="307">
        <f t="shared" ca="1" si="282"/>
        <v>5.0829999999999913</v>
      </c>
      <c r="T591" s="304">
        <f t="shared" ca="1" si="262"/>
        <v>49.864229999999914</v>
      </c>
      <c r="U591" s="311">
        <f t="shared" ca="1" si="263"/>
        <v>0</v>
      </c>
      <c r="V591" s="306">
        <f t="shared" ca="1" si="264"/>
        <v>0.9916626656875378</v>
      </c>
      <c r="W591" s="304">
        <f t="shared" ca="1" si="265"/>
        <v>7.4647699923290762</v>
      </c>
      <c r="Y591" s="314" t="str">
        <f t="shared" ca="1" si="283"/>
        <v/>
      </c>
      <c r="Z591" s="315" t="str">
        <f t="shared" ca="1" si="284"/>
        <v/>
      </c>
      <c r="AA591" s="316" t="str">
        <f t="shared" ca="1" si="285"/>
        <v/>
      </c>
      <c r="AC591" s="310" t="e">
        <f t="shared" ca="1" si="286"/>
        <v>#N/A</v>
      </c>
      <c r="AD591" s="323" t="e">
        <f t="shared" ca="1" si="287"/>
        <v>#N/A</v>
      </c>
      <c r="AE591" s="324" t="e">
        <f t="shared" ca="1" si="266"/>
        <v>#N/A</v>
      </c>
      <c r="AG591" s="306">
        <f t="shared" ca="1" si="288"/>
        <v>7.476344043423313</v>
      </c>
      <c r="AH591" s="304">
        <f t="shared" ca="1" si="289"/>
        <v>-1.4238170298180044</v>
      </c>
    </row>
    <row r="592" spans="1:34" x14ac:dyDescent="0.2">
      <c r="A592" s="347">
        <f t="shared" ca="1" si="267"/>
        <v>0.1</v>
      </c>
      <c r="B592" s="304">
        <f t="shared" ca="1" si="268"/>
        <v>22.800000000000011</v>
      </c>
      <c r="D592" s="306">
        <f t="shared" ca="1" si="269"/>
        <v>-0.60653440593693009</v>
      </c>
      <c r="E592" s="307">
        <f t="shared" ca="1" si="270"/>
        <v>-8.4725283430940692</v>
      </c>
      <c r="F592" s="304">
        <f t="shared" ca="1" si="271"/>
        <v>8.4942109998585273</v>
      </c>
      <c r="G592" s="306">
        <f t="shared" ca="1" si="272"/>
        <v>20.388890881437373</v>
      </c>
      <c r="H592" s="307">
        <f t="shared" ca="1" si="273"/>
        <v>-45.940631972643438</v>
      </c>
      <c r="I592" s="304">
        <f t="shared" ca="1" si="274"/>
        <v>50.261799981905035</v>
      </c>
      <c r="J592" s="306">
        <f t="shared" ca="1" si="275"/>
        <v>714.79238425677545</v>
      </c>
      <c r="K592" s="307">
        <f t="shared" ca="1" si="276"/>
        <v>2100.7513563720458</v>
      </c>
      <c r="L592" s="304">
        <f t="shared" ca="1" si="261"/>
        <v>2219.0278082733612</v>
      </c>
      <c r="M592" s="306">
        <f t="shared" ca="1" si="277"/>
        <v>-1.1531022975459086</v>
      </c>
      <c r="N592" s="304">
        <f t="shared" ca="1" si="278"/>
        <v>-66.067894996219025</v>
      </c>
      <c r="P592" s="310">
        <f t="shared" ca="1" si="279"/>
        <v>23</v>
      </c>
      <c r="Q592" s="304">
        <f t="shared" ca="1" si="280"/>
        <v>0</v>
      </c>
      <c r="R592" s="306">
        <f t="shared" ca="1" si="281"/>
        <v>0</v>
      </c>
      <c r="S592" s="307">
        <f t="shared" ca="1" si="282"/>
        <v>5.0829999999999913</v>
      </c>
      <c r="T592" s="304">
        <f t="shared" ca="1" si="262"/>
        <v>49.864229999999914</v>
      </c>
      <c r="U592" s="311">
        <f t="shared" ca="1" si="263"/>
        <v>0</v>
      </c>
      <c r="V592" s="306">
        <f t="shared" ca="1" si="264"/>
        <v>0.99211919246005253</v>
      </c>
      <c r="W592" s="304">
        <f t="shared" ca="1" si="265"/>
        <v>7.69561557029495</v>
      </c>
      <c r="Y592" s="314" t="str">
        <f t="shared" ca="1" si="283"/>
        <v/>
      </c>
      <c r="Z592" s="315" t="str">
        <f t="shared" ca="1" si="284"/>
        <v/>
      </c>
      <c r="AA592" s="316" t="str">
        <f t="shared" ca="1" si="285"/>
        <v/>
      </c>
      <c r="AC592" s="310" t="e">
        <f t="shared" ca="1" si="286"/>
        <v>#N/A</v>
      </c>
      <c r="AD592" s="323" t="e">
        <f t="shared" ca="1" si="287"/>
        <v>#N/A</v>
      </c>
      <c r="AE592" s="324" t="e">
        <f t="shared" ca="1" si="266"/>
        <v>#N/A</v>
      </c>
      <c r="AG592" s="306">
        <f t="shared" ca="1" si="288"/>
        <v>7.4656573458930771</v>
      </c>
      <c r="AH592" s="304">
        <f t="shared" ca="1" si="289"/>
        <v>-1.468575642795414</v>
      </c>
    </row>
    <row r="593" spans="1:34" x14ac:dyDescent="0.2">
      <c r="A593" s="347">
        <f t="shared" ca="1" si="267"/>
        <v>0.1</v>
      </c>
      <c r="B593" s="304">
        <f t="shared" ca="1" si="268"/>
        <v>22.900000000000013</v>
      </c>
      <c r="D593" s="306">
        <f t="shared" ca="1" si="269"/>
        <v>-0.61415616963837616</v>
      </c>
      <c r="E593" s="307">
        <f t="shared" ca="1" si="270"/>
        <v>-8.4261717806448946</v>
      </c>
      <c r="F593" s="304">
        <f t="shared" ca="1" si="271"/>
        <v>8.4485240532084216</v>
      </c>
      <c r="G593" s="306">
        <f t="shared" ca="1" si="272"/>
        <v>20.327475264473534</v>
      </c>
      <c r="H593" s="307">
        <f t="shared" ca="1" si="273"/>
        <v>-46.783249150707924</v>
      </c>
      <c r="I593" s="304">
        <f t="shared" ca="1" si="274"/>
        <v>51.008613505220836</v>
      </c>
      <c r="J593" s="306">
        <f t="shared" ca="1" si="275"/>
        <v>716.82820256407103</v>
      </c>
      <c r="K593" s="307">
        <f t="shared" ca="1" si="276"/>
        <v>2096.1151623158785</v>
      </c>
      <c r="L593" s="304">
        <f t="shared" ca="1" si="261"/>
        <v>2215.2971461367792</v>
      </c>
      <c r="M593" s="306">
        <f t="shared" ca="1" si="277"/>
        <v>-1.1609039294954362</v>
      </c>
      <c r="N593" s="304">
        <f t="shared" ca="1" si="278"/>
        <v>-66.514895580241372</v>
      </c>
      <c r="P593" s="310">
        <f t="shared" ca="1" si="279"/>
        <v>23</v>
      </c>
      <c r="Q593" s="304">
        <f t="shared" ca="1" si="280"/>
        <v>0</v>
      </c>
      <c r="R593" s="306">
        <f t="shared" ca="1" si="281"/>
        <v>0</v>
      </c>
      <c r="S593" s="307">
        <f t="shared" ca="1" si="282"/>
        <v>5.0829999999999913</v>
      </c>
      <c r="T593" s="304">
        <f t="shared" ca="1" si="262"/>
        <v>49.864229999999914</v>
      </c>
      <c r="U593" s="311">
        <f t="shared" ca="1" si="263"/>
        <v>0</v>
      </c>
      <c r="V593" s="306">
        <f t="shared" ca="1" si="264"/>
        <v>0.99258438712193708</v>
      </c>
      <c r="W593" s="304">
        <f t="shared" ca="1" si="265"/>
        <v>7.9297211564704906</v>
      </c>
      <c r="Y593" s="314" t="str">
        <f t="shared" ca="1" si="283"/>
        <v/>
      </c>
      <c r="Z593" s="315" t="str">
        <f t="shared" ca="1" si="284"/>
        <v/>
      </c>
      <c r="AA593" s="316" t="str">
        <f t="shared" ca="1" si="285"/>
        <v/>
      </c>
      <c r="AC593" s="310" t="e">
        <f t="shared" ca="1" si="286"/>
        <v>#N/A</v>
      </c>
      <c r="AD593" s="323" t="e">
        <f t="shared" ca="1" si="287"/>
        <v>#N/A</v>
      </c>
      <c r="AE593" s="324" t="e">
        <f t="shared" ca="1" si="266"/>
        <v>#N/A</v>
      </c>
      <c r="AG593" s="306">
        <f t="shared" ca="1" si="288"/>
        <v>7.4526119979948415</v>
      </c>
      <c r="AH593" s="304">
        <f t="shared" ca="1" si="289"/>
        <v>-1.5139908656885626</v>
      </c>
    </row>
    <row r="594" spans="1:34" x14ac:dyDescent="0.2">
      <c r="A594" s="347">
        <f t="shared" ca="1" si="267"/>
        <v>0.1</v>
      </c>
      <c r="B594" s="304">
        <f t="shared" ca="1" si="268"/>
        <v>23.000000000000014</v>
      </c>
      <c r="D594" s="306">
        <f t="shared" ca="1" si="269"/>
        <v>-0.62169550679013552</v>
      </c>
      <c r="E594" s="307">
        <f t="shared" ca="1" si="270"/>
        <v>-8.3791811003764707</v>
      </c>
      <c r="F594" s="304">
        <f t="shared" ca="1" si="271"/>
        <v>8.4022128761457413</v>
      </c>
      <c r="G594" s="306">
        <f t="shared" ca="1" si="272"/>
        <v>20.265305713794522</v>
      </c>
      <c r="H594" s="307">
        <f t="shared" ca="1" si="273"/>
        <v>-47.621167260745572</v>
      </c>
      <c r="I594" s="304">
        <f t="shared" ca="1" si="274"/>
        <v>51.753822921108529</v>
      </c>
      <c r="J594" s="306">
        <f t="shared" ca="1" si="275"/>
        <v>718.85784161298443</v>
      </c>
      <c r="K594" s="307">
        <f t="shared" ca="1" si="276"/>
        <v>2091.3949414953058</v>
      </c>
      <c r="L594" s="304">
        <f t="shared" ca="1" si="261"/>
        <v>2211.4903114779031</v>
      </c>
      <c r="M594" s="306">
        <f t="shared" ca="1" si="277"/>
        <v>-1.168457818941476</v>
      </c>
      <c r="N594" s="304">
        <f t="shared" ca="1" si="278"/>
        <v>-66.947701564407879</v>
      </c>
      <c r="P594" s="310">
        <f t="shared" ca="1" si="279"/>
        <v>23</v>
      </c>
      <c r="Q594" s="304">
        <f t="shared" ca="1" si="280"/>
        <v>0</v>
      </c>
      <c r="R594" s="306">
        <f t="shared" ca="1" si="281"/>
        <v>0</v>
      </c>
      <c r="S594" s="307">
        <f t="shared" ca="1" si="282"/>
        <v>5.0829999999999913</v>
      </c>
      <c r="T594" s="304">
        <f t="shared" ca="1" si="262"/>
        <v>49.864229999999914</v>
      </c>
      <c r="U594" s="311">
        <f t="shared" ca="1" si="263"/>
        <v>0</v>
      </c>
      <c r="V594" s="306">
        <f t="shared" ca="1" si="264"/>
        <v>0.99305821360610402</v>
      </c>
      <c r="W594" s="304">
        <f t="shared" ca="1" si="265"/>
        <v>8.167008683251801</v>
      </c>
      <c r="Y594" s="314" t="str">
        <f t="shared" ca="1" si="283"/>
        <v/>
      </c>
      <c r="Z594" s="315" t="str">
        <f t="shared" ca="1" si="284"/>
        <v/>
      </c>
      <c r="AA594" s="316" t="str">
        <f t="shared" ca="1" si="285"/>
        <v/>
      </c>
      <c r="AC594" s="310">
        <f t="shared" ca="1" si="286"/>
        <v>23.000000000000014</v>
      </c>
      <c r="AD594" s="323">
        <f t="shared" ca="1" si="287"/>
        <v>718.85784161298443</v>
      </c>
      <c r="AE594" s="324" t="e">
        <f t="shared" ca="1" si="266"/>
        <v>#N/A</v>
      </c>
      <c r="AG594" s="306">
        <f t="shared" ca="1" si="288"/>
        <v>7.4373285410448489</v>
      </c>
      <c r="AH594" s="304">
        <f t="shared" ca="1" si="289"/>
        <v>-1.5600474437282126</v>
      </c>
    </row>
    <row r="595" spans="1:34" x14ac:dyDescent="0.2">
      <c r="A595" s="347">
        <f t="shared" ca="1" si="267"/>
        <v>0.1</v>
      </c>
      <c r="B595" s="304">
        <f t="shared" ca="1" si="268"/>
        <v>23.100000000000016</v>
      </c>
      <c r="D595" s="306">
        <f t="shared" ca="1" si="269"/>
        <v>-0.62914917552937633</v>
      </c>
      <c r="E595" s="307">
        <f t="shared" ca="1" si="270"/>
        <v>-8.3315708786741673</v>
      </c>
      <c r="F595" s="304">
        <f t="shared" ca="1" si="271"/>
        <v>8.355291855551231</v>
      </c>
      <c r="G595" s="306">
        <f t="shared" ca="1" si="272"/>
        <v>20.202390796241584</v>
      </c>
      <c r="H595" s="307">
        <f t="shared" ca="1" si="273"/>
        <v>-48.454324348612992</v>
      </c>
      <c r="I595" s="304">
        <f t="shared" ca="1" si="274"/>
        <v>52.49722032607685</v>
      </c>
      <c r="J595" s="306">
        <f t="shared" ca="1" si="275"/>
        <v>720.88122643848624</v>
      </c>
      <c r="K595" s="307">
        <f t="shared" ca="1" si="276"/>
        <v>2086.5911669148377</v>
      </c>
      <c r="L595" s="304">
        <f t="shared" ca="1" si="261"/>
        <v>2207.6078547782167</v>
      </c>
      <c r="M595" s="306">
        <f t="shared" ca="1" si="277"/>
        <v>-1.1757750589196039</v>
      </c>
      <c r="N595" s="304">
        <f t="shared" ca="1" si="278"/>
        <v>-67.366948532839004</v>
      </c>
      <c r="P595" s="310">
        <f t="shared" ca="1" si="279"/>
        <v>23</v>
      </c>
      <c r="Q595" s="304">
        <f t="shared" ca="1" si="280"/>
        <v>0</v>
      </c>
      <c r="R595" s="306">
        <f t="shared" ca="1" si="281"/>
        <v>0</v>
      </c>
      <c r="S595" s="307">
        <f t="shared" ca="1" si="282"/>
        <v>5.0829999999999913</v>
      </c>
      <c r="T595" s="304">
        <f t="shared" ca="1" si="262"/>
        <v>49.864229999999914</v>
      </c>
      <c r="U595" s="311">
        <f t="shared" ca="1" si="263"/>
        <v>0</v>
      </c>
      <c r="V595" s="306">
        <f t="shared" ca="1" si="264"/>
        <v>0.99354063534262271</v>
      </c>
      <c r="W595" s="304">
        <f t="shared" ca="1" si="265"/>
        <v>8.4073996023102655</v>
      </c>
      <c r="Y595" s="314" t="str">
        <f t="shared" ca="1" si="283"/>
        <v/>
      </c>
      <c r="Z595" s="315" t="str">
        <f t="shared" ca="1" si="284"/>
        <v/>
      </c>
      <c r="AA595" s="316" t="str">
        <f t="shared" ca="1" si="285"/>
        <v/>
      </c>
      <c r="AC595" s="310" t="e">
        <f t="shared" ca="1" si="286"/>
        <v>#N/A</v>
      </c>
      <c r="AD595" s="323" t="e">
        <f t="shared" ca="1" si="287"/>
        <v>#N/A</v>
      </c>
      <c r="AE595" s="324" t="e">
        <f t="shared" ca="1" si="266"/>
        <v>#N/A</v>
      </c>
      <c r="AG595" s="306">
        <f t="shared" ca="1" si="288"/>
        <v>7.4199200813007247</v>
      </c>
      <c r="AH595" s="304">
        <f t="shared" ca="1" si="289"/>
        <v>-1.6067300183458224</v>
      </c>
    </row>
    <row r="596" spans="1:34" x14ac:dyDescent="0.2">
      <c r="A596" s="347">
        <f t="shared" ca="1" si="267"/>
        <v>0.1</v>
      </c>
      <c r="B596" s="304">
        <f t="shared" ca="1" si="268"/>
        <v>23.200000000000017</v>
      </c>
      <c r="D596" s="306">
        <f t="shared" ca="1" si="269"/>
        <v>-0.63651411598522878</v>
      </c>
      <c r="E596" s="307">
        <f t="shared" ca="1" si="270"/>
        <v>-8.2833558646852481</v>
      </c>
      <c r="F596" s="304">
        <f t="shared" ca="1" si="271"/>
        <v>8.307775550703326</v>
      </c>
      <c r="G596" s="306">
        <f t="shared" ca="1" si="272"/>
        <v>20.13873938464306</v>
      </c>
      <c r="H596" s="307">
        <f t="shared" ca="1" si="273"/>
        <v>-49.282659935081519</v>
      </c>
      <c r="I596" s="304">
        <f t="shared" ca="1" si="274"/>
        <v>53.238608117412902</v>
      </c>
      <c r="J596" s="306">
        <f t="shared" ca="1" si="275"/>
        <v>722.89828294753045</v>
      </c>
      <c r="K596" s="307">
        <f t="shared" ca="1" si="276"/>
        <v>2081.7043177006531</v>
      </c>
      <c r="L596" s="304">
        <f t="shared" ca="1" si="261"/>
        <v>2203.6503338374782</v>
      </c>
      <c r="M596" s="306">
        <f t="shared" ca="1" si="277"/>
        <v>-1.1828661393874502</v>
      </c>
      <c r="N596" s="304">
        <f t="shared" ca="1" si="278"/>
        <v>-67.773237515834253</v>
      </c>
      <c r="P596" s="310">
        <f t="shared" ca="1" si="279"/>
        <v>23</v>
      </c>
      <c r="Q596" s="304">
        <f t="shared" ca="1" si="280"/>
        <v>0</v>
      </c>
      <c r="R596" s="306">
        <f t="shared" ca="1" si="281"/>
        <v>0</v>
      </c>
      <c r="S596" s="307">
        <f t="shared" ca="1" si="282"/>
        <v>5.0829999999999913</v>
      </c>
      <c r="T596" s="304">
        <f t="shared" ca="1" si="262"/>
        <v>49.864229999999914</v>
      </c>
      <c r="U596" s="311">
        <f t="shared" ca="1" si="263"/>
        <v>0</v>
      </c>
      <c r="V596" s="306">
        <f t="shared" ca="1" si="264"/>
        <v>0.99403161526901229</v>
      </c>
      <c r="W596" s="304">
        <f t="shared" ca="1" si="265"/>
        <v>8.6508149314691174</v>
      </c>
      <c r="Y596" s="314" t="str">
        <f t="shared" ca="1" si="283"/>
        <v/>
      </c>
      <c r="Z596" s="315" t="str">
        <f t="shared" ca="1" si="284"/>
        <v/>
      </c>
      <c r="AA596" s="316" t="str">
        <f t="shared" ca="1" si="285"/>
        <v/>
      </c>
      <c r="AC596" s="310" t="e">
        <f t="shared" ca="1" si="286"/>
        <v>#N/A</v>
      </c>
      <c r="AD596" s="323" t="e">
        <f t="shared" ca="1" si="287"/>
        <v>#N/A</v>
      </c>
      <c r="AE596" s="324" t="e">
        <f t="shared" ca="1" si="266"/>
        <v>#N/A</v>
      </c>
      <c r="AG596" s="306">
        <f t="shared" ca="1" si="288"/>
        <v>7.400492872400811</v>
      </c>
      <c r="AH596" s="304">
        <f t="shared" ca="1" si="289"/>
        <v>-1.6540231363978517</v>
      </c>
    </row>
    <row r="597" spans="1:34" x14ac:dyDescent="0.2">
      <c r="A597" s="347">
        <f t="shared" ca="1" si="267"/>
        <v>0.1</v>
      </c>
      <c r="B597" s="304">
        <f t="shared" ca="1" si="268"/>
        <v>23.300000000000018</v>
      </c>
      <c r="D597" s="306">
        <f t="shared" ca="1" si="269"/>
        <v>-0.64378744149387523</v>
      </c>
      <c r="E597" s="307">
        <f t="shared" ca="1" si="270"/>
        <v>-8.234550964008557</v>
      </c>
      <c r="F597" s="304">
        <f t="shared" ca="1" si="271"/>
        <v>8.2596786770842048</v>
      </c>
      <c r="G597" s="306">
        <f t="shared" ca="1" si="272"/>
        <v>20.074360640493673</v>
      </c>
      <c r="H597" s="307">
        <f t="shared" ca="1" si="273"/>
        <v>-50.106115031482375</v>
      </c>
      <c r="I597" s="304">
        <f t="shared" ca="1" si="274"/>
        <v>53.977798386676959</v>
      </c>
      <c r="J597" s="306">
        <f t="shared" ca="1" si="275"/>
        <v>724.9089379487873</v>
      </c>
      <c r="K597" s="307">
        <f t="shared" ca="1" si="276"/>
        <v>2076.7348789523248</v>
      </c>
      <c r="L597" s="304">
        <f t="shared" ca="1" si="261"/>
        <v>2199.6183136569775</v>
      </c>
      <c r="M597" s="306">
        <f t="shared" ca="1" si="277"/>
        <v>-1.1897409834319974</v>
      </c>
      <c r="N597" s="304">
        <f t="shared" ca="1" si="278"/>
        <v>-68.167137064397451</v>
      </c>
      <c r="P597" s="310">
        <f t="shared" ca="1" si="279"/>
        <v>23</v>
      </c>
      <c r="Q597" s="304">
        <f t="shared" ca="1" si="280"/>
        <v>0</v>
      </c>
      <c r="R597" s="306">
        <f t="shared" ca="1" si="281"/>
        <v>0</v>
      </c>
      <c r="S597" s="307">
        <f t="shared" ca="1" si="282"/>
        <v>5.0829999999999913</v>
      </c>
      <c r="T597" s="304">
        <f t="shared" ca="1" si="262"/>
        <v>49.864229999999914</v>
      </c>
      <c r="U597" s="311">
        <f t="shared" ca="1" si="263"/>
        <v>0</v>
      </c>
      <c r="V597" s="306">
        <f t="shared" ca="1" si="264"/>
        <v>0.9945311158406841</v>
      </c>
      <c r="W597" s="304">
        <f t="shared" ca="1" si="265"/>
        <v>8.8971753015061701</v>
      </c>
      <c r="Y597" s="314" t="str">
        <f t="shared" ca="1" si="283"/>
        <v/>
      </c>
      <c r="Z597" s="315" t="str">
        <f t="shared" ca="1" si="284"/>
        <v/>
      </c>
      <c r="AA597" s="316" t="str">
        <f t="shared" ca="1" si="285"/>
        <v/>
      </c>
      <c r="AC597" s="310" t="e">
        <f t="shared" ca="1" si="286"/>
        <v>#N/A</v>
      </c>
      <c r="AD597" s="323" t="e">
        <f t="shared" ca="1" si="287"/>
        <v>#N/A</v>
      </c>
      <c r="AE597" s="324" t="e">
        <f t="shared" ca="1" si="266"/>
        <v>#N/A</v>
      </c>
      <c r="AG597" s="306">
        <f t="shared" ca="1" si="288"/>
        <v>7.3791468497368111</v>
      </c>
      <c r="AH597" s="304">
        <f t="shared" ca="1" si="289"/>
        <v>-1.7019112593879859</v>
      </c>
    </row>
    <row r="598" spans="1:34" x14ac:dyDescent="0.2">
      <c r="A598" s="347">
        <f t="shared" ca="1" si="267"/>
        <v>0.1</v>
      </c>
      <c r="B598" s="304">
        <f t="shared" ca="1" si="268"/>
        <v>23.40000000000002</v>
      </c>
      <c r="D598" s="306">
        <f t="shared" ca="1" si="269"/>
        <v>-0.65096643046508862</v>
      </c>
      <c r="E598" s="307">
        <f t="shared" ca="1" si="270"/>
        <v>-8.1851712231012765</v>
      </c>
      <c r="F598" s="304">
        <f t="shared" ca="1" si="271"/>
        <v>8.211016090903593</v>
      </c>
      <c r="G598" s="306">
        <f t="shared" ca="1" si="272"/>
        <v>20.009263997447164</v>
      </c>
      <c r="H598" s="307">
        <f t="shared" ca="1" si="273"/>
        <v>-50.924632153792501</v>
      </c>
      <c r="I598" s="304">
        <f t="shared" ca="1" si="274"/>
        <v>54.714612360123802</v>
      </c>
      <c r="J598" s="306">
        <f t="shared" ca="1" si="275"/>
        <v>726.91311918068436</v>
      </c>
      <c r="K598" s="307">
        <f t="shared" ca="1" si="276"/>
        <v>2071.683341593061</v>
      </c>
      <c r="L598" s="304">
        <f t="shared" ca="1" si="261"/>
        <v>2195.5123663216254</v>
      </c>
      <c r="M598" s="306">
        <f t="shared" ca="1" si="277"/>
        <v>-1.1964089813293446</v>
      </c>
      <c r="N598" s="304">
        <f t="shared" ca="1" si="278"/>
        <v>-68.549185201717549</v>
      </c>
      <c r="P598" s="310">
        <f t="shared" ca="1" si="279"/>
        <v>23</v>
      </c>
      <c r="Q598" s="304">
        <f t="shared" ca="1" si="280"/>
        <v>0</v>
      </c>
      <c r="R598" s="306">
        <f t="shared" ca="1" si="281"/>
        <v>0</v>
      </c>
      <c r="S598" s="307">
        <f t="shared" ca="1" si="282"/>
        <v>5.0829999999999913</v>
      </c>
      <c r="T598" s="304">
        <f t="shared" ca="1" si="262"/>
        <v>49.864229999999914</v>
      </c>
      <c r="U598" s="311">
        <f t="shared" ca="1" si="263"/>
        <v>0</v>
      </c>
      <c r="V598" s="306">
        <f t="shared" ca="1" si="264"/>
        <v>0.99503909904152099</v>
      </c>
      <c r="W598" s="304">
        <f t="shared" ca="1" si="265"/>
        <v>9.1464010028221505</v>
      </c>
      <c r="Y598" s="314" t="str">
        <f t="shared" ca="1" si="283"/>
        <v/>
      </c>
      <c r="Z598" s="315" t="str">
        <f t="shared" ca="1" si="284"/>
        <v/>
      </c>
      <c r="AA598" s="316" t="str">
        <f t="shared" ca="1" si="285"/>
        <v/>
      </c>
      <c r="AC598" s="310" t="e">
        <f t="shared" ca="1" si="286"/>
        <v>#N/A</v>
      </c>
      <c r="AD598" s="323" t="e">
        <f t="shared" ca="1" si="287"/>
        <v>#N/A</v>
      </c>
      <c r="AE598" s="324" t="e">
        <f t="shared" ca="1" si="266"/>
        <v>#N/A</v>
      </c>
      <c r="AG598" s="306">
        <f t="shared" ca="1" si="288"/>
        <v>7.3559761204540868</v>
      </c>
      <c r="AH598" s="304">
        <f t="shared" ca="1" si="289"/>
        <v>-1.7503787726748348</v>
      </c>
    </row>
    <row r="599" spans="1:34" x14ac:dyDescent="0.2">
      <c r="A599" s="347">
        <f t="shared" ca="1" si="267"/>
        <v>0.1</v>
      </c>
      <c r="B599" s="304">
        <f t="shared" ca="1" si="268"/>
        <v>23.500000000000021</v>
      </c>
      <c r="D599" s="306">
        <f t="shared" ca="1" si="269"/>
        <v>-0.65804851884322491</v>
      </c>
      <c r="E599" s="307">
        <f t="shared" ca="1" si="270"/>
        <v>-8.1352318143378675</v>
      </c>
      <c r="F599" s="304">
        <f t="shared" ca="1" si="271"/>
        <v>8.161802774275225</v>
      </c>
      <c r="G599" s="306">
        <f t="shared" ca="1" si="272"/>
        <v>19.943459145562841</v>
      </c>
      <c r="H599" s="307">
        <f t="shared" ca="1" si="273"/>
        <v>-51.738155335226288</v>
      </c>
      <c r="I599" s="304">
        <f t="shared" ca="1" si="274"/>
        <v>55.448879882128715</v>
      </c>
      <c r="J599" s="306">
        <f t="shared" ca="1" si="275"/>
        <v>728.91075533783487</v>
      </c>
      <c r="K599" s="307">
        <f t="shared" ca="1" si="276"/>
        <v>2066.5502022186101</v>
      </c>
      <c r="L599" s="304">
        <f t="shared" ca="1" si="261"/>
        <v>2191.3330708810449</v>
      </c>
      <c r="M599" s="306">
        <f t="shared" ca="1" si="277"/>
        <v>-1.2028790225493584</v>
      </c>
      <c r="N599" s="304">
        <f t="shared" ca="1" si="278"/>
        <v>-68.919891256900016</v>
      </c>
      <c r="P599" s="310">
        <f t="shared" ca="1" si="279"/>
        <v>23</v>
      </c>
      <c r="Q599" s="304">
        <f t="shared" ca="1" si="280"/>
        <v>0</v>
      </c>
      <c r="R599" s="306">
        <f t="shared" ca="1" si="281"/>
        <v>0</v>
      </c>
      <c r="S599" s="307">
        <f t="shared" ca="1" si="282"/>
        <v>5.0829999999999913</v>
      </c>
      <c r="T599" s="304">
        <f t="shared" ca="1" si="262"/>
        <v>49.864229999999914</v>
      </c>
      <c r="U599" s="311">
        <f t="shared" ca="1" si="263"/>
        <v>0</v>
      </c>
      <c r="V599" s="306">
        <f t="shared" ca="1" si="264"/>
        <v>0.99555552639458111</v>
      </c>
      <c r="W599" s="304">
        <f t="shared" ca="1" si="265"/>
        <v>9.398412031916628</v>
      </c>
      <c r="Y599" s="314" t="str">
        <f t="shared" ca="1" si="283"/>
        <v/>
      </c>
      <c r="Z599" s="315" t="str">
        <f t="shared" ca="1" si="284"/>
        <v/>
      </c>
      <c r="AA599" s="316" t="str">
        <f t="shared" ca="1" si="285"/>
        <v/>
      </c>
      <c r="AC599" s="310" t="e">
        <f t="shared" ca="1" si="286"/>
        <v>#N/A</v>
      </c>
      <c r="AD599" s="323" t="e">
        <f t="shared" ca="1" si="287"/>
        <v>#N/A</v>
      </c>
      <c r="AE599" s="324" t="e">
        <f t="shared" ca="1" si="266"/>
        <v>#N/A</v>
      </c>
      <c r="AG599" s="306">
        <f t="shared" ca="1" si="288"/>
        <v>7.3310694125772109</v>
      </c>
      <c r="AH599" s="304">
        <f t="shared" ca="1" si="289"/>
        <v>-1.7994099946531903</v>
      </c>
    </row>
    <row r="600" spans="1:34" x14ac:dyDescent="0.2">
      <c r="A600" s="347">
        <f t="shared" ca="1" si="267"/>
        <v>0.1</v>
      </c>
      <c r="B600" s="304">
        <f t="shared" ca="1" si="268"/>
        <v>23.600000000000023</v>
      </c>
      <c r="D600" s="306">
        <f t="shared" ca="1" si="269"/>
        <v>-0.66503129311035714</v>
      </c>
      <c r="E600" s="307">
        <f t="shared" ca="1" si="270"/>
        <v>-8.0847480216647742</v>
      </c>
      <c r="F600" s="304">
        <f t="shared" ca="1" si="271"/>
        <v>8.1120538209893862</v>
      </c>
      <c r="G600" s="306">
        <f t="shared" ca="1" si="272"/>
        <v>19.876956016251803</v>
      </c>
      <c r="H600" s="307">
        <f t="shared" ca="1" si="273"/>
        <v>-52.546630137392768</v>
      </c>
      <c r="I600" s="304">
        <f t="shared" ca="1" si="274"/>
        <v>56.180438938014383</v>
      </c>
      <c r="J600" s="306">
        <f t="shared" ca="1" si="275"/>
        <v>730.90177609592558</v>
      </c>
      <c r="K600" s="307">
        <f t="shared" ca="1" si="276"/>
        <v>2061.3359629449792</v>
      </c>
      <c r="L600" s="304">
        <f t="shared" ca="1" si="261"/>
        <v>2187.0810132298443</v>
      </c>
      <c r="M600" s="306">
        <f t="shared" ca="1" si="277"/>
        <v>-1.2091595258023304</v>
      </c>
      <c r="N600" s="304">
        <f t="shared" ca="1" si="278"/>
        <v>-69.279737586513505</v>
      </c>
      <c r="P600" s="310">
        <f t="shared" ca="1" si="279"/>
        <v>23</v>
      </c>
      <c r="Q600" s="304">
        <f t="shared" ca="1" si="280"/>
        <v>0</v>
      </c>
      <c r="R600" s="306">
        <f t="shared" ca="1" si="281"/>
        <v>0</v>
      </c>
      <c r="S600" s="307">
        <f t="shared" ca="1" si="282"/>
        <v>5.0829999999999913</v>
      </c>
      <c r="T600" s="304">
        <f t="shared" ca="1" si="262"/>
        <v>49.864229999999914</v>
      </c>
      <c r="U600" s="311">
        <f t="shared" ca="1" si="263"/>
        <v>0</v>
      </c>
      <c r="V600" s="306">
        <f t="shared" ca="1" si="264"/>
        <v>0.9960803589729188</v>
      </c>
      <c r="W600" s="304">
        <f t="shared" ca="1" si="265"/>
        <v>9.6531281376160258</v>
      </c>
      <c r="Y600" s="314" t="str">
        <f t="shared" ca="1" si="283"/>
        <v/>
      </c>
      <c r="Z600" s="315" t="str">
        <f t="shared" ca="1" si="284"/>
        <v/>
      </c>
      <c r="AA600" s="316" t="str">
        <f t="shared" ca="1" si="285"/>
        <v/>
      </c>
      <c r="AC600" s="310" t="e">
        <f t="shared" ca="1" si="286"/>
        <v>#N/A</v>
      </c>
      <c r="AD600" s="323" t="e">
        <f t="shared" ca="1" si="287"/>
        <v>#N/A</v>
      </c>
      <c r="AE600" s="324" t="e">
        <f t="shared" ca="1" si="266"/>
        <v>#N/A</v>
      </c>
      <c r="AG600" s="306">
        <f t="shared" ca="1" si="288"/>
        <v>7.3045104865486961</v>
      </c>
      <c r="AH600" s="304">
        <f t="shared" ca="1" si="289"/>
        <v>-1.8489891858974314</v>
      </c>
    </row>
    <row r="601" spans="1:34" x14ac:dyDescent="0.2">
      <c r="A601" s="347">
        <f t="shared" ca="1" si="267"/>
        <v>0.1</v>
      </c>
      <c r="B601" s="304">
        <f t="shared" ca="1" si="268"/>
        <v>23.700000000000024</v>
      </c>
      <c r="D601" s="306">
        <f t="shared" ca="1" si="269"/>
        <v>-0.67191248378364876</v>
      </c>
      <c r="E601" s="307">
        <f t="shared" ca="1" si="270"/>
        <v>-8.0337352268018911</v>
      </c>
      <c r="F601" s="304">
        <f t="shared" ca="1" si="271"/>
        <v>8.061784422832325</v>
      </c>
      <c r="G601" s="306">
        <f t="shared" ca="1" si="272"/>
        <v>19.809764767873439</v>
      </c>
      <c r="H601" s="307">
        <f t="shared" ca="1" si="273"/>
        <v>-53.350003660072957</v>
      </c>
      <c r="I601" s="304">
        <f t="shared" ca="1" si="274"/>
        <v>56.909135212971542</v>
      </c>
      <c r="J601" s="306">
        <f t="shared" ca="1" si="275"/>
        <v>732.88611213513184</v>
      </c>
      <c r="K601" s="307">
        <f t="shared" ca="1" si="276"/>
        <v>2056.0411312551059</v>
      </c>
      <c r="L601" s="304">
        <f t="shared" ca="1" si="261"/>
        <v>2182.7567859872352</v>
      </c>
      <c r="M601" s="306">
        <f t="shared" ca="1" si="277"/>
        <v>-1.2152584672270104</v>
      </c>
      <c r="N601" s="304">
        <f t="shared" ca="1" si="278"/>
        <v>-69.629181189645166</v>
      </c>
      <c r="P601" s="310">
        <f t="shared" ca="1" si="279"/>
        <v>23</v>
      </c>
      <c r="Q601" s="304">
        <f t="shared" ca="1" si="280"/>
        <v>0</v>
      </c>
      <c r="R601" s="306">
        <f t="shared" ca="1" si="281"/>
        <v>0</v>
      </c>
      <c r="S601" s="307">
        <f t="shared" ca="1" si="282"/>
        <v>5.0829999999999913</v>
      </c>
      <c r="T601" s="304">
        <f t="shared" ca="1" si="262"/>
        <v>49.864229999999914</v>
      </c>
      <c r="U601" s="311">
        <f t="shared" ca="1" si="263"/>
        <v>0</v>
      </c>
      <c r="V601" s="306">
        <f t="shared" ca="1" si="264"/>
        <v>0.99661355741050139</v>
      </c>
      <c r="W601" s="304">
        <f t="shared" ca="1" si="265"/>
        <v>9.9104688670003558</v>
      </c>
      <c r="Y601" s="314" t="str">
        <f t="shared" ca="1" si="283"/>
        <v/>
      </c>
      <c r="Z601" s="315" t="str">
        <f t="shared" ca="1" si="284"/>
        <v/>
      </c>
      <c r="AA601" s="316" t="str">
        <f t="shared" ca="1" si="285"/>
        <v/>
      </c>
      <c r="AC601" s="310" t="e">
        <f t="shared" ca="1" si="286"/>
        <v>#N/A</v>
      </c>
      <c r="AD601" s="323" t="e">
        <f t="shared" ca="1" si="287"/>
        <v>#N/A</v>
      </c>
      <c r="AE601" s="324" t="e">
        <f t="shared" ca="1" si="266"/>
        <v>#N/A</v>
      </c>
      <c r="AG601" s="306">
        <f t="shared" ca="1" si="288"/>
        <v>7.2763785122539666</v>
      </c>
      <c r="AH601" s="304">
        <f t="shared" ca="1" si="289"/>
        <v>-1.8991005582561562</v>
      </c>
    </row>
    <row r="602" spans="1:34" x14ac:dyDescent="0.2">
      <c r="A602" s="347">
        <f t="shared" ca="1" si="267"/>
        <v>0.1</v>
      </c>
      <c r="B602" s="304">
        <f t="shared" ca="1" si="268"/>
        <v>23.800000000000026</v>
      </c>
      <c r="D602" s="306">
        <f t="shared" ca="1" si="269"/>
        <v>-0.6786899593631166</v>
      </c>
      <c r="E602" s="307">
        <f t="shared" ca="1" si="270"/>
        <v>-7.9822088959482418</v>
      </c>
      <c r="F602" s="304">
        <f t="shared" ca="1" si="271"/>
        <v>8.0110098564098369</v>
      </c>
      <c r="G602" s="306">
        <f t="shared" ca="1" si="272"/>
        <v>19.741895771937127</v>
      </c>
      <c r="H602" s="307">
        <f t="shared" ca="1" si="273"/>
        <v>-54.148224549667781</v>
      </c>
      <c r="I602" s="304">
        <f t="shared" ca="1" si="274"/>
        <v>57.634821684041611</v>
      </c>
      <c r="J602" s="306">
        <f t="shared" ca="1" si="275"/>
        <v>734.86369516212233</v>
      </c>
      <c r="K602" s="307">
        <f t="shared" ca="1" si="276"/>
        <v>2050.6662198446188</v>
      </c>
      <c r="L602" s="304">
        <f t="shared" ca="1" si="261"/>
        <v>2178.3609883761569</v>
      </c>
      <c r="M602" s="306">
        <f t="shared" ca="1" si="277"/>
        <v>-1.2211834068197323</v>
      </c>
      <c r="N602" s="304">
        <f t="shared" ca="1" si="278"/>
        <v>-69.968655222178086</v>
      </c>
      <c r="P602" s="310">
        <f t="shared" ca="1" si="279"/>
        <v>23</v>
      </c>
      <c r="Q602" s="304">
        <f t="shared" ca="1" si="280"/>
        <v>0</v>
      </c>
      <c r="R602" s="306">
        <f t="shared" ca="1" si="281"/>
        <v>0</v>
      </c>
      <c r="S602" s="307">
        <f t="shared" ca="1" si="282"/>
        <v>5.0829999999999913</v>
      </c>
      <c r="T602" s="304">
        <f t="shared" ca="1" si="262"/>
        <v>49.864229999999914</v>
      </c>
      <c r="U602" s="311">
        <f t="shared" ca="1" si="263"/>
        <v>0</v>
      </c>
      <c r="V602" s="306">
        <f t="shared" ca="1" si="264"/>
        <v>0.99715508191322522</v>
      </c>
      <c r="W602" s="304">
        <f t="shared" ca="1" si="265"/>
        <v>10.170353610977902</v>
      </c>
      <c r="Y602" s="314" t="str">
        <f t="shared" ca="1" si="283"/>
        <v/>
      </c>
      <c r="Z602" s="315" t="str">
        <f t="shared" ca="1" si="284"/>
        <v/>
      </c>
      <c r="AA602" s="316" t="str">
        <f t="shared" ca="1" si="285"/>
        <v/>
      </c>
      <c r="AC602" s="310" t="e">
        <f t="shared" ca="1" si="286"/>
        <v>#N/A</v>
      </c>
      <c r="AD602" s="323" t="e">
        <f t="shared" ca="1" si="287"/>
        <v>#N/A</v>
      </c>
      <c r="AE602" s="324" t="e">
        <f t="shared" ca="1" si="266"/>
        <v>#N/A</v>
      </c>
      <c r="AG602" s="306">
        <f t="shared" ca="1" si="288"/>
        <v>7.2467484143917051</v>
      </c>
      <c r="AH602" s="304">
        <f t="shared" ca="1" si="289"/>
        <v>-1.9497282838875414</v>
      </c>
    </row>
    <row r="603" spans="1:34" x14ac:dyDescent="0.2">
      <c r="A603" s="347">
        <f t="shared" ca="1" si="267"/>
        <v>0.1</v>
      </c>
      <c r="B603" s="304">
        <f t="shared" ca="1" si="268"/>
        <v>23.900000000000027</v>
      </c>
      <c r="D603" s="306">
        <f t="shared" ca="1" si="269"/>
        <v>-0.68536172068974066</v>
      </c>
      <c r="E603" s="307">
        <f t="shared" ca="1" si="270"/>
        <v>-7.9301845669549227</v>
      </c>
      <c r="F603" s="304">
        <f t="shared" ca="1" si="271"/>
        <v>7.9597454704379107</v>
      </c>
      <c r="G603" s="306">
        <f t="shared" ca="1" si="272"/>
        <v>19.673359599868153</v>
      </c>
      <c r="H603" s="307">
        <f t="shared" ca="1" si="273"/>
        <v>-54.941243006363273</v>
      </c>
      <c r="I603" s="304">
        <f t="shared" ca="1" si="274"/>
        <v>58.357358242384358</v>
      </c>
      <c r="J603" s="306">
        <f t="shared" ca="1" si="275"/>
        <v>736.83445793071257</v>
      </c>
      <c r="K603" s="307">
        <f t="shared" ca="1" si="276"/>
        <v>2045.2117464668172</v>
      </c>
      <c r="L603" s="304">
        <f t="shared" ca="1" si="261"/>
        <v>2173.8942261020647</v>
      </c>
      <c r="M603" s="306">
        <f t="shared" ca="1" si="277"/>
        <v>-1.2269415132032451</v>
      </c>
      <c r="N603" s="304">
        <f t="shared" ca="1" si="278"/>
        <v>-70.298570415940716</v>
      </c>
      <c r="P603" s="310">
        <f t="shared" ca="1" si="279"/>
        <v>23</v>
      </c>
      <c r="Q603" s="304">
        <f t="shared" ca="1" si="280"/>
        <v>0</v>
      </c>
      <c r="R603" s="306">
        <f t="shared" ca="1" si="281"/>
        <v>0</v>
      </c>
      <c r="S603" s="307">
        <f t="shared" ca="1" si="282"/>
        <v>5.0829999999999913</v>
      </c>
      <c r="T603" s="304">
        <f t="shared" ca="1" si="262"/>
        <v>49.864229999999914</v>
      </c>
      <c r="U603" s="311">
        <f t="shared" ca="1" si="263"/>
        <v>0</v>
      </c>
      <c r="V603" s="306">
        <f t="shared" ca="1" si="264"/>
        <v>0.99770489227000603</v>
      </c>
      <c r="W603" s="304">
        <f t="shared" ca="1" si="265"/>
        <v>10.432701649458886</v>
      </c>
      <c r="Y603" s="314" t="str">
        <f t="shared" ca="1" si="283"/>
        <v/>
      </c>
      <c r="Z603" s="315" t="str">
        <f t="shared" ca="1" si="284"/>
        <v/>
      </c>
      <c r="AA603" s="316" t="str">
        <f t="shared" ca="1" si="285"/>
        <v/>
      </c>
      <c r="AC603" s="310" t="e">
        <f t="shared" ca="1" si="286"/>
        <v>#N/A</v>
      </c>
      <c r="AD603" s="323" t="e">
        <f t="shared" ca="1" si="287"/>
        <v>#N/A</v>
      </c>
      <c r="AE603" s="324" t="e">
        <f t="shared" ca="1" si="266"/>
        <v>#N/A</v>
      </c>
      <c r="AG603" s="306">
        <f t="shared" ca="1" si="288"/>
        <v>7.2156911888391173</v>
      </c>
      <c r="AH603" s="304">
        <f t="shared" ca="1" si="289"/>
        <v>-2.0008565042254416</v>
      </c>
    </row>
    <row r="604" spans="1:34" x14ac:dyDescent="0.2">
      <c r="A604" s="347">
        <f t="shared" ca="1" si="267"/>
        <v>0.1</v>
      </c>
      <c r="B604" s="304">
        <f t="shared" ca="1" si="268"/>
        <v>24.000000000000028</v>
      </c>
      <c r="D604" s="306">
        <f t="shared" ca="1" si="269"/>
        <v>-0.69192589567735685</v>
      </c>
      <c r="E604" s="307">
        <f t="shared" ca="1" si="270"/>
        <v>-7.8776778369333531</v>
      </c>
      <c r="F604" s="304">
        <f t="shared" ca="1" si="271"/>
        <v>7.9080066734683445</v>
      </c>
      <c r="G604" s="306">
        <f t="shared" ca="1" si="272"/>
        <v>19.604167010300419</v>
      </c>
      <c r="H604" s="307">
        <f t="shared" ca="1" si="273"/>
        <v>-55.729010790056606</v>
      </c>
      <c r="I604" s="304">
        <f t="shared" ca="1" si="274"/>
        <v>59.076611343288782</v>
      </c>
      <c r="J604" s="306">
        <f t="shared" ca="1" si="275"/>
        <v>738.79833426122104</v>
      </c>
      <c r="K604" s="307">
        <f t="shared" ca="1" si="276"/>
        <v>2039.6782337769962</v>
      </c>
      <c r="L604" s="304">
        <f t="shared" ca="1" si="261"/>
        <v>2169.3571112315285</v>
      </c>
      <c r="M604" s="306">
        <f t="shared" ca="1" si="277"/>
        <v>-1.2325395868316915</v>
      </c>
      <c r="N604" s="304">
        <f t="shared" ca="1" si="278"/>
        <v>-70.619316408254178</v>
      </c>
      <c r="P604" s="310">
        <f t="shared" ca="1" si="279"/>
        <v>23</v>
      </c>
      <c r="Q604" s="304">
        <f t="shared" ca="1" si="280"/>
        <v>0</v>
      </c>
      <c r="R604" s="306">
        <f t="shared" ca="1" si="281"/>
        <v>0</v>
      </c>
      <c r="S604" s="307">
        <f t="shared" ca="1" si="282"/>
        <v>5.0829999999999913</v>
      </c>
      <c r="T604" s="304">
        <f t="shared" ca="1" si="262"/>
        <v>49.864229999999914</v>
      </c>
      <c r="U604" s="311">
        <f t="shared" ca="1" si="263"/>
        <v>0</v>
      </c>
      <c r="V604" s="306">
        <f t="shared" ca="1" si="264"/>
        <v>0.9982629478639512</v>
      </c>
      <c r="W604" s="304">
        <f t="shared" ca="1" si="265"/>
        <v>10.697432196081657</v>
      </c>
      <c r="Y604" s="314" t="str">
        <f t="shared" ca="1" si="283"/>
        <v/>
      </c>
      <c r="Z604" s="315" t="str">
        <f t="shared" ca="1" si="284"/>
        <v/>
      </c>
      <c r="AA604" s="316" t="str">
        <f t="shared" ca="1" si="285"/>
        <v/>
      </c>
      <c r="AC604" s="310">
        <f t="shared" ca="1" si="286"/>
        <v>24.000000000000028</v>
      </c>
      <c r="AD604" s="323">
        <f t="shared" ca="1" si="287"/>
        <v>738.79833426122104</v>
      </c>
      <c r="AE604" s="324" t="e">
        <f t="shared" ca="1" si="266"/>
        <v>#N/A</v>
      </c>
      <c r="AG604" s="306">
        <f t="shared" ca="1" si="288"/>
        <v>7.1832741924602335</v>
      </c>
      <c r="AH604" s="304">
        <f t="shared" ca="1" si="289"/>
        <v>-2.0524693388665955</v>
      </c>
    </row>
    <row r="605" spans="1:34" x14ac:dyDescent="0.2">
      <c r="A605" s="347">
        <f t="shared" ca="1" si="267"/>
        <v>0.1</v>
      </c>
      <c r="B605" s="304">
        <f t="shared" ca="1" si="268"/>
        <v>24.10000000000003</v>
      </c>
      <c r="D605" s="306">
        <f t="shared" ca="1" si="269"/>
        <v>-0.69838073438498938</v>
      </c>
      <c r="E605" s="307">
        <f t="shared" ca="1" si="270"/>
        <v>-7.8247043502710758</v>
      </c>
      <c r="F605" s="304">
        <f t="shared" ca="1" si="271"/>
        <v>7.8558089220214118</v>
      </c>
      <c r="G605" s="306">
        <f t="shared" ca="1" si="272"/>
        <v>19.534328936861918</v>
      </c>
      <c r="H605" s="307">
        <f t="shared" ca="1" si="273"/>
        <v>-56.511481225083713</v>
      </c>
      <c r="I605" s="304">
        <f t="shared" ca="1" si="274"/>
        <v>59.792453681601913</v>
      </c>
      <c r="J605" s="306">
        <f t="shared" ca="1" si="275"/>
        <v>740.75525905857921</v>
      </c>
      <c r="K605" s="307">
        <f t="shared" ca="1" si="276"/>
        <v>2034.0662091762392</v>
      </c>
      <c r="L605" s="304">
        <f t="shared" ca="1" si="261"/>
        <v>2164.7502620707864</v>
      </c>
      <c r="M605" s="306">
        <f t="shared" ca="1" si="277"/>
        <v>-1.2379840817252095</v>
      </c>
      <c r="N605" s="304">
        <f t="shared" ca="1" si="278"/>
        <v>-70.931262987233282</v>
      </c>
      <c r="P605" s="310">
        <f t="shared" ca="1" si="279"/>
        <v>23</v>
      </c>
      <c r="Q605" s="304">
        <f t="shared" ca="1" si="280"/>
        <v>0</v>
      </c>
      <c r="R605" s="306">
        <f t="shared" ca="1" si="281"/>
        <v>0</v>
      </c>
      <c r="S605" s="307">
        <f t="shared" ca="1" si="282"/>
        <v>5.0829999999999913</v>
      </c>
      <c r="T605" s="304">
        <f t="shared" ca="1" si="262"/>
        <v>49.864229999999914</v>
      </c>
      <c r="U605" s="311">
        <f t="shared" ca="1" si="263"/>
        <v>0</v>
      </c>
      <c r="V605" s="306">
        <f t="shared" ca="1" si="264"/>
        <v>0.99882920768358285</v>
      </c>
      <c r="W605" s="304">
        <f t="shared" ca="1" si="265"/>
        <v>10.964464442446653</v>
      </c>
      <c r="Y605" s="314" t="str">
        <f t="shared" ca="1" si="283"/>
        <v/>
      </c>
      <c r="Z605" s="315" t="str">
        <f t="shared" ca="1" si="284"/>
        <v/>
      </c>
      <c r="AA605" s="316" t="str">
        <f t="shared" ca="1" si="285"/>
        <v/>
      </c>
      <c r="AC605" s="310" t="e">
        <f t="shared" ca="1" si="286"/>
        <v>#N/A</v>
      </c>
      <c r="AD605" s="323" t="e">
        <f t="shared" ca="1" si="287"/>
        <v>#N/A</v>
      </c>
      <c r="AE605" s="324" t="e">
        <f t="shared" ca="1" si="266"/>
        <v>#N/A</v>
      </c>
      <c r="AG605" s="306">
        <f t="shared" ca="1" si="288"/>
        <v>7.1495614086128905</v>
      </c>
      <c r="AH605" s="304">
        <f t="shared" ca="1" si="289"/>
        <v>-2.1045508943697966</v>
      </c>
    </row>
    <row r="606" spans="1:34" x14ac:dyDescent="0.2">
      <c r="A606" s="347">
        <f t="shared" ca="1" si="267"/>
        <v>0.1</v>
      </c>
      <c r="B606" s="304">
        <f t="shared" ca="1" si="268"/>
        <v>24.200000000000031</v>
      </c>
      <c r="D606" s="306">
        <f t="shared" ca="1" si="269"/>
        <v>-0.7047246043992369</v>
      </c>
      <c r="E606" s="307">
        <f t="shared" ca="1" si="270"/>
        <v>-7.7712797870311849</v>
      </c>
      <c r="F606" s="304">
        <f t="shared" ca="1" si="271"/>
        <v>7.8031677091015492</v>
      </c>
      <c r="G606" s="306">
        <f t="shared" ca="1" si="272"/>
        <v>19.463856476421995</v>
      </c>
      <c r="H606" s="307">
        <f t="shared" ca="1" si="273"/>
        <v>-57.288609203786834</v>
      </c>
      <c r="I606" s="304">
        <f t="shared" ca="1" si="274"/>
        <v>60.504763890448857</v>
      </c>
      <c r="J606" s="306">
        <f t="shared" ca="1" si="275"/>
        <v>742.70516832924341</v>
      </c>
      <c r="K606" s="307">
        <f t="shared" ca="1" si="276"/>
        <v>2028.3762046547956</v>
      </c>
      <c r="L606" s="304">
        <f t="shared" ca="1" si="261"/>
        <v>2160.0743030444028</v>
      </c>
      <c r="M606" s="306">
        <f t="shared" ca="1" si="277"/>
        <v>-1.2432811258241221</v>
      </c>
      <c r="N606" s="304">
        <f t="shared" ca="1" si="278"/>
        <v>-71.234761257995658</v>
      </c>
      <c r="P606" s="310">
        <f t="shared" ca="1" si="279"/>
        <v>23</v>
      </c>
      <c r="Q606" s="304">
        <f t="shared" ca="1" si="280"/>
        <v>0</v>
      </c>
      <c r="R606" s="306">
        <f t="shared" ca="1" si="281"/>
        <v>0</v>
      </c>
      <c r="S606" s="307">
        <f t="shared" ca="1" si="282"/>
        <v>5.0829999999999913</v>
      </c>
      <c r="T606" s="304">
        <f t="shared" ca="1" si="262"/>
        <v>49.864229999999914</v>
      </c>
      <c r="U606" s="311">
        <f t="shared" ca="1" si="263"/>
        <v>0</v>
      </c>
      <c r="V606" s="306">
        <f t="shared" ca="1" si="264"/>
        <v>0.99940363033412583</v>
      </c>
      <c r="W606" s="304">
        <f t="shared" ca="1" si="265"/>
        <v>11.233717601815842</v>
      </c>
      <c r="Y606" s="314" t="str">
        <f t="shared" ca="1" si="283"/>
        <v/>
      </c>
      <c r="Z606" s="315" t="str">
        <f t="shared" ca="1" si="284"/>
        <v/>
      </c>
      <c r="AA606" s="316" t="str">
        <f t="shared" ca="1" si="285"/>
        <v/>
      </c>
      <c r="AC606" s="310" t="e">
        <f t="shared" ca="1" si="286"/>
        <v>#N/A</v>
      </c>
      <c r="AD606" s="323" t="e">
        <f t="shared" ca="1" si="287"/>
        <v>#N/A</v>
      </c>
      <c r="AE606" s="324" t="e">
        <f t="shared" ca="1" si="266"/>
        <v>#N/A</v>
      </c>
      <c r="AG606" s="306">
        <f t="shared" ca="1" si="288"/>
        <v>7.1146136904287323</v>
      </c>
      <c r="AH606" s="304">
        <f t="shared" ca="1" si="289"/>
        <v>-2.1570852729582279</v>
      </c>
    </row>
    <row r="607" spans="1:34" x14ac:dyDescent="0.2">
      <c r="A607" s="347">
        <f t="shared" ca="1" si="267"/>
        <v>0.1</v>
      </c>
      <c r="B607" s="304">
        <f t="shared" ca="1" si="268"/>
        <v>24.300000000000033</v>
      </c>
      <c r="D607" s="306">
        <f t="shared" ca="1" si="269"/>
        <v>-0.71095598649904845</v>
      </c>
      <c r="E607" s="307">
        <f t="shared" ca="1" si="270"/>
        <v>-7.7174198517146078</v>
      </c>
      <c r="F607" s="304">
        <f t="shared" ca="1" si="271"/>
        <v>7.7500985530751514</v>
      </c>
      <c r="G607" s="306">
        <f t="shared" ca="1" si="272"/>
        <v>19.392760877772091</v>
      </c>
      <c r="H607" s="307">
        <f t="shared" ca="1" si="273"/>
        <v>-58.060351188958293</v>
      </c>
      <c r="I607" s="304">
        <f t="shared" ca="1" si="274"/>
        <v>61.21342626130005</v>
      </c>
      <c r="J607" s="306">
        <f t="shared" ca="1" si="275"/>
        <v>744.64799919695315</v>
      </c>
      <c r="K607" s="307">
        <f t="shared" ca="1" si="276"/>
        <v>2022.6087566351584</v>
      </c>
      <c r="L607" s="304">
        <f t="shared" ca="1" si="261"/>
        <v>2155.3298645741556</v>
      </c>
      <c r="M607" s="306">
        <f t="shared" ca="1" si="277"/>
        <v>-1.248436540048798</v>
      </c>
      <c r="N607" s="304">
        <f t="shared" ca="1" si="278"/>
        <v>-71.5301447347113</v>
      </c>
      <c r="P607" s="310">
        <f t="shared" ca="1" si="279"/>
        <v>23</v>
      </c>
      <c r="Q607" s="304">
        <f t="shared" ca="1" si="280"/>
        <v>0</v>
      </c>
      <c r="R607" s="306">
        <f t="shared" ca="1" si="281"/>
        <v>0</v>
      </c>
      <c r="S607" s="307">
        <f t="shared" ca="1" si="282"/>
        <v>5.0829999999999913</v>
      </c>
      <c r="T607" s="304">
        <f t="shared" ca="1" si="262"/>
        <v>49.864229999999914</v>
      </c>
      <c r="U607" s="311">
        <f t="shared" ca="1" si="263"/>
        <v>0</v>
      </c>
      <c r="V607" s="306">
        <f t="shared" ca="1" si="264"/>
        <v>0.9999861740488335</v>
      </c>
      <c r="W607" s="304">
        <f t="shared" ca="1" si="265"/>
        <v>11.505110952236906</v>
      </c>
      <c r="Y607" s="314" t="str">
        <f t="shared" ca="1" si="283"/>
        <v/>
      </c>
      <c r="Z607" s="315" t="str">
        <f t="shared" ca="1" si="284"/>
        <v/>
      </c>
      <c r="AA607" s="316" t="str">
        <f t="shared" ca="1" si="285"/>
        <v/>
      </c>
      <c r="AC607" s="310" t="e">
        <f t="shared" ca="1" si="286"/>
        <v>#N/A</v>
      </c>
      <c r="AD607" s="323" t="e">
        <f t="shared" ca="1" si="287"/>
        <v>#N/A</v>
      </c>
      <c r="AE607" s="324" t="e">
        <f t="shared" ca="1" si="266"/>
        <v>#N/A</v>
      </c>
      <c r="AG607" s="306">
        <f t="shared" ca="1" si="288"/>
        <v>7.0784889837701161</v>
      </c>
      <c r="AH607" s="304">
        <f t="shared" ca="1" si="289"/>
        <v>-2.2100565811166359</v>
      </c>
    </row>
    <row r="608" spans="1:34" x14ac:dyDescent="0.2">
      <c r="A608" s="347">
        <f t="shared" ca="1" si="267"/>
        <v>0.1</v>
      </c>
      <c r="B608" s="304">
        <f t="shared" ca="1" si="268"/>
        <v>24.400000000000034</v>
      </c>
      <c r="D608" s="306">
        <f t="shared" ca="1" si="269"/>
        <v>-0.71707347057769333</v>
      </c>
      <c r="E608" s="307">
        <f t="shared" ca="1" si="270"/>
        <v>-7.6631402623673761</v>
      </c>
      <c r="F608" s="304">
        <f t="shared" ca="1" si="271"/>
        <v>7.6966169868925061</v>
      </c>
      <c r="G608" s="306">
        <f t="shared" ca="1" si="272"/>
        <v>19.32105353071432</v>
      </c>
      <c r="H608" s="307">
        <f t="shared" ca="1" si="273"/>
        <v>-58.826665215195028</v>
      </c>
      <c r="I608" s="304">
        <f t="shared" ca="1" si="274"/>
        <v>61.918330483608528</v>
      </c>
      <c r="J608" s="306">
        <f t="shared" ca="1" si="275"/>
        <v>746.58368991737746</v>
      </c>
      <c r="K608" s="307">
        <f t="shared" ca="1" si="276"/>
        <v>2016.7644058149508</v>
      </c>
      <c r="L608" s="304">
        <f t="shared" ca="1" si="261"/>
        <v>2150.5175829582931</v>
      </c>
      <c r="M608" s="306">
        <f t="shared" ca="1" si="277"/>
        <v>-1.2534558561471585</v>
      </c>
      <c r="N608" s="304">
        <f t="shared" ca="1" si="278"/>
        <v>-71.817730363189426</v>
      </c>
      <c r="P608" s="310">
        <f t="shared" ca="1" si="279"/>
        <v>23</v>
      </c>
      <c r="Q608" s="304">
        <f t="shared" ca="1" si="280"/>
        <v>0</v>
      </c>
      <c r="R608" s="306">
        <f t="shared" ca="1" si="281"/>
        <v>0</v>
      </c>
      <c r="S608" s="307">
        <f t="shared" ca="1" si="282"/>
        <v>5.0829999999999913</v>
      </c>
      <c r="T608" s="304">
        <f t="shared" ca="1" si="262"/>
        <v>49.864229999999914</v>
      </c>
      <c r="U608" s="311">
        <f t="shared" ca="1" si="263"/>
        <v>0</v>
      </c>
      <c r="V608" s="306">
        <f t="shared" ca="1" si="264"/>
        <v>1.0005767967003534</v>
      </c>
      <c r="W608" s="304">
        <f t="shared" ca="1" si="265"/>
        <v>11.778563879053749</v>
      </c>
      <c r="Y608" s="314" t="str">
        <f t="shared" ca="1" si="283"/>
        <v/>
      </c>
      <c r="Z608" s="315" t="str">
        <f t="shared" ca="1" si="284"/>
        <v/>
      </c>
      <c r="AA608" s="316" t="str">
        <f t="shared" ca="1" si="285"/>
        <v/>
      </c>
      <c r="AC608" s="310" t="e">
        <f t="shared" ca="1" si="286"/>
        <v>#N/A</v>
      </c>
      <c r="AD608" s="323" t="e">
        <f t="shared" ca="1" si="287"/>
        <v>#N/A</v>
      </c>
      <c r="AE608" s="324" t="e">
        <f t="shared" ca="1" si="266"/>
        <v>#N/A</v>
      </c>
      <c r="AG608" s="306">
        <f t="shared" ca="1" si="288"/>
        <v>7.041242531609182</v>
      </c>
      <c r="AH608" s="304">
        <f t="shared" ca="1" si="289"/>
        <v>-2.2634489380753346</v>
      </c>
    </row>
    <row r="609" spans="1:34" x14ac:dyDescent="0.2">
      <c r="A609" s="347">
        <f t="shared" ca="1" si="267"/>
        <v>0.1</v>
      </c>
      <c r="B609" s="304">
        <f t="shared" ca="1" si="268"/>
        <v>24.500000000000036</v>
      </c>
      <c r="D609" s="306">
        <f t="shared" ca="1" si="269"/>
        <v>-0.7230757517990174</v>
      </c>
      <c r="E609" s="307">
        <f t="shared" ca="1" si="270"/>
        <v>-7.6084567400174468</v>
      </c>
      <c r="F609" s="304">
        <f t="shared" ca="1" si="271"/>
        <v>7.6427385476383156</v>
      </c>
      <c r="G609" s="306">
        <f t="shared" ca="1" si="272"/>
        <v>19.248745955534417</v>
      </c>
      <c r="H609" s="307">
        <f t="shared" ca="1" si="273"/>
        <v>-59.587510889196771</v>
      </c>
      <c r="I609" s="304">
        <f t="shared" ca="1" si="274"/>
        <v>62.619371402393099</v>
      </c>
      <c r="J609" s="306">
        <f t="shared" ca="1" si="275"/>
        <v>748.51217989168993</v>
      </c>
      <c r="K609" s="307">
        <f t="shared" ca="1" si="276"/>
        <v>2010.8436970097312</v>
      </c>
      <c r="L609" s="304">
        <f t="shared" ca="1" si="261"/>
        <v>2145.6381002512921</v>
      </c>
      <c r="M609" s="306">
        <f t="shared" ca="1" si="277"/>
        <v>-1.2583443334075839</v>
      </c>
      <c r="N609" s="304">
        <f t="shared" ca="1" si="278"/>
        <v>-72.097819478457481</v>
      </c>
      <c r="P609" s="310">
        <f t="shared" ca="1" si="279"/>
        <v>23</v>
      </c>
      <c r="Q609" s="304">
        <f t="shared" ca="1" si="280"/>
        <v>0</v>
      </c>
      <c r="R609" s="306">
        <f t="shared" ca="1" si="281"/>
        <v>0</v>
      </c>
      <c r="S609" s="307">
        <f t="shared" ca="1" si="282"/>
        <v>5.0829999999999913</v>
      </c>
      <c r="T609" s="304">
        <f t="shared" ca="1" si="262"/>
        <v>49.864229999999914</v>
      </c>
      <c r="U609" s="311">
        <f t="shared" ca="1" si="263"/>
        <v>0</v>
      </c>
      <c r="V609" s="306">
        <f t="shared" ca="1" si="264"/>
        <v>1.0011754558121215</v>
      </c>
      <c r="W609" s="304">
        <f t="shared" ca="1" si="265"/>
        <v>12.053995916766679</v>
      </c>
      <c r="Y609" s="314" t="str">
        <f t="shared" ca="1" si="283"/>
        <v/>
      </c>
      <c r="Z609" s="315" t="str">
        <f t="shared" ca="1" si="284"/>
        <v/>
      </c>
      <c r="AA609" s="316" t="str">
        <f t="shared" ca="1" si="285"/>
        <v/>
      </c>
      <c r="AC609" s="310" t="e">
        <f t="shared" ca="1" si="286"/>
        <v>#N/A</v>
      </c>
      <c r="AD609" s="323" t="e">
        <f t="shared" ca="1" si="287"/>
        <v>#N/A</v>
      </c>
      <c r="AE609" s="324" t="e">
        <f t="shared" ca="1" si="266"/>
        <v>#N/A</v>
      </c>
      <c r="AG609" s="306">
        <f t="shared" ca="1" si="288"/>
        <v>7.0029270614268011</v>
      </c>
      <c r="AH609" s="304">
        <f t="shared" ca="1" si="289"/>
        <v>-2.3172464841734741</v>
      </c>
    </row>
    <row r="610" spans="1:34" x14ac:dyDescent="0.2">
      <c r="A610" s="347">
        <f t="shared" ca="1" si="267"/>
        <v>0.1</v>
      </c>
      <c r="B610" s="304">
        <f t="shared" ca="1" si="268"/>
        <v>24.600000000000037</v>
      </c>
      <c r="D610" s="306">
        <f t="shared" ca="1" si="269"/>
        <v>-0.72896162696716449</v>
      </c>
      <c r="E610" s="307">
        <f t="shared" ca="1" si="270"/>
        <v>-7.5533849984277319</v>
      </c>
      <c r="F610" s="304">
        <f t="shared" ca="1" si="271"/>
        <v>7.5884787663973681</v>
      </c>
      <c r="G610" s="306">
        <f t="shared" ca="1" si="272"/>
        <v>19.175849792837703</v>
      </c>
      <c r="H610" s="307">
        <f t="shared" ca="1" si="273"/>
        <v>-60.342849389039543</v>
      </c>
      <c r="I610" s="304">
        <f t="shared" ca="1" si="274"/>
        <v>63.316448792282905</v>
      </c>
      <c r="J610" s="306">
        <f t="shared" ca="1" si="275"/>
        <v>750.43340967910854</v>
      </c>
      <c r="K610" s="307">
        <f t="shared" ca="1" si="276"/>
        <v>2004.8471789958194</v>
      </c>
      <c r="L610" s="304">
        <f t="shared" ca="1" si="261"/>
        <v>2140.6920641442357</v>
      </c>
      <c r="M610" s="306">
        <f t="shared" ca="1" si="277"/>
        <v>-1.263106974310737</v>
      </c>
      <c r="N610" s="304">
        <f t="shared" ca="1" si="278"/>
        <v>-72.370698701544526</v>
      </c>
      <c r="P610" s="310">
        <f t="shared" ca="1" si="279"/>
        <v>23</v>
      </c>
      <c r="Q610" s="304">
        <f t="shared" ca="1" si="280"/>
        <v>0</v>
      </c>
      <c r="R610" s="306">
        <f t="shared" ca="1" si="281"/>
        <v>0</v>
      </c>
      <c r="S610" s="307">
        <f t="shared" ca="1" si="282"/>
        <v>5.0829999999999913</v>
      </c>
      <c r="T610" s="304">
        <f t="shared" ca="1" si="262"/>
        <v>49.864229999999914</v>
      </c>
      <c r="U610" s="311">
        <f t="shared" ca="1" si="263"/>
        <v>0</v>
      </c>
      <c r="V610" s="306">
        <f t="shared" ca="1" si="264"/>
        <v>1.001782108569776</v>
      </c>
      <c r="W610" s="304">
        <f t="shared" ca="1" si="265"/>
        <v>12.331326790207457</v>
      </c>
      <c r="Y610" s="314" t="str">
        <f t="shared" ca="1" si="283"/>
        <v/>
      </c>
      <c r="Z610" s="315" t="str">
        <f t="shared" ca="1" si="284"/>
        <v/>
      </c>
      <c r="AA610" s="316" t="str">
        <f t="shared" ca="1" si="285"/>
        <v/>
      </c>
      <c r="AC610" s="310" t="e">
        <f t="shared" ca="1" si="286"/>
        <v>#N/A</v>
      </c>
      <c r="AD610" s="323" t="e">
        <f t="shared" ca="1" si="287"/>
        <v>#N/A</v>
      </c>
      <c r="AE610" s="324" t="e">
        <f t="shared" ca="1" si="266"/>
        <v>#N/A</v>
      </c>
      <c r="AG610" s="306">
        <f t="shared" ca="1" si="288"/>
        <v>6.9635929570928186</v>
      </c>
      <c r="AH610" s="304">
        <f t="shared" ca="1" si="289"/>
        <v>-2.3714333890943733</v>
      </c>
    </row>
    <row r="611" spans="1:34" x14ac:dyDescent="0.2">
      <c r="A611" s="347">
        <f t="shared" ca="1" si="267"/>
        <v>0.1</v>
      </c>
      <c r="B611" s="304">
        <f t="shared" ca="1" si="268"/>
        <v>24.700000000000038</v>
      </c>
      <c r="D611" s="306">
        <f t="shared" ca="1" si="269"/>
        <v>-0.73472999109080939</v>
      </c>
      <c r="E611" s="307">
        <f t="shared" ca="1" si="270"/>
        <v>-7.4979407341539197</v>
      </c>
      <c r="F611" s="304">
        <f t="shared" ca="1" si="271"/>
        <v>7.5338531584238435</v>
      </c>
      <c r="G611" s="306">
        <f t="shared" ca="1" si="272"/>
        <v>19.10237679372862</v>
      </c>
      <c r="H611" s="307">
        <f t="shared" ca="1" si="273"/>
        <v>-61.092643462454937</v>
      </c>
      <c r="I611" s="304">
        <f t="shared" ca="1" si="274"/>
        <v>64.009467146666822</v>
      </c>
      <c r="J611" s="306">
        <f t="shared" ca="1" si="275"/>
        <v>752.34732100843689</v>
      </c>
      <c r="K611" s="307">
        <f t="shared" ca="1" si="276"/>
        <v>1998.7754043532445</v>
      </c>
      <c r="L611" s="304">
        <f t="shared" ca="1" si="261"/>
        <v>2135.6801278459393</v>
      </c>
      <c r="M611" s="306">
        <f t="shared" ca="1" si="277"/>
        <v>-1.2677485391896088</v>
      </c>
      <c r="N611" s="304">
        <f t="shared" ca="1" si="278"/>
        <v>-72.636640779440029</v>
      </c>
      <c r="P611" s="310">
        <f t="shared" ca="1" si="279"/>
        <v>23</v>
      </c>
      <c r="Q611" s="304">
        <f t="shared" ca="1" si="280"/>
        <v>0</v>
      </c>
      <c r="R611" s="306">
        <f t="shared" ca="1" si="281"/>
        <v>0</v>
      </c>
      <c r="S611" s="307">
        <f t="shared" ca="1" si="282"/>
        <v>5.0829999999999913</v>
      </c>
      <c r="T611" s="304">
        <f t="shared" ca="1" si="262"/>
        <v>49.864229999999914</v>
      </c>
      <c r="U611" s="311">
        <f t="shared" ca="1" si="263"/>
        <v>0</v>
      </c>
      <c r="V611" s="306">
        <f t="shared" ca="1" si="264"/>
        <v>1.0023967118325869</v>
      </c>
      <c r="W611" s="304">
        <f t="shared" ca="1" si="265"/>
        <v>12.610476454996558</v>
      </c>
      <c r="Y611" s="314" t="str">
        <f t="shared" ca="1" si="283"/>
        <v/>
      </c>
      <c r="Z611" s="315" t="str">
        <f t="shared" ca="1" si="284"/>
        <v/>
      </c>
      <c r="AA611" s="316" t="str">
        <f t="shared" ca="1" si="285"/>
        <v/>
      </c>
      <c r="AC611" s="310" t="e">
        <f t="shared" ca="1" si="286"/>
        <v>#N/A</v>
      </c>
      <c r="AD611" s="323" t="e">
        <f t="shared" ca="1" si="287"/>
        <v>#N/A</v>
      </c>
      <c r="AE611" s="324" t="e">
        <f t="shared" ca="1" si="266"/>
        <v>#N/A</v>
      </c>
      <c r="AG611" s="306">
        <f t="shared" ca="1" si="288"/>
        <v>6.9232884165634356</v>
      </c>
      <c r="AH611" s="304">
        <f t="shared" ca="1" si="289"/>
        <v>-2.4259938599660593</v>
      </c>
    </row>
    <row r="612" spans="1:34" x14ac:dyDescent="0.2">
      <c r="A612" s="347">
        <f t="shared" ca="1" si="267"/>
        <v>0.1</v>
      </c>
      <c r="B612" s="304">
        <f t="shared" ca="1" si="268"/>
        <v>24.80000000000004</v>
      </c>
      <c r="D612" s="306">
        <f t="shared" ca="1" si="269"/>
        <v>-0.7403798341247233</v>
      </c>
      <c r="E612" s="307">
        <f t="shared" ca="1" si="270"/>
        <v>-7.4421396168971494</v>
      </c>
      <c r="F612" s="304">
        <f t="shared" ca="1" si="271"/>
        <v>7.4788772136042319</v>
      </c>
      <c r="G612" s="306">
        <f t="shared" ca="1" si="272"/>
        <v>19.028338810316146</v>
      </c>
      <c r="H612" s="307">
        <f t="shared" ca="1" si="273"/>
        <v>-61.836857424144654</v>
      </c>
      <c r="I612" s="304">
        <f t="shared" ca="1" si="274"/>
        <v>64.698335480707513</v>
      </c>
      <c r="J612" s="306">
        <f t="shared" ca="1" si="275"/>
        <v>754.25385678863915</v>
      </c>
      <c r="K612" s="307">
        <f t="shared" ca="1" si="276"/>
        <v>1992.6289293089146</v>
      </c>
      <c r="L612" s="304">
        <f t="shared" ca="1" si="261"/>
        <v>2130.6029499649458</v>
      </c>
      <c r="M612" s="306">
        <f t="shared" ca="1" si="277"/>
        <v>-1.2722735599629789</v>
      </c>
      <c r="N612" s="304">
        <f t="shared" ca="1" si="278"/>
        <v>-72.895905371963153</v>
      </c>
      <c r="P612" s="310">
        <f t="shared" ca="1" si="279"/>
        <v>23</v>
      </c>
      <c r="Q612" s="304">
        <f t="shared" ca="1" si="280"/>
        <v>0</v>
      </c>
      <c r="R612" s="306">
        <f t="shared" ca="1" si="281"/>
        <v>0</v>
      </c>
      <c r="S612" s="307">
        <f t="shared" ca="1" si="282"/>
        <v>5.0829999999999913</v>
      </c>
      <c r="T612" s="304">
        <f t="shared" ca="1" si="262"/>
        <v>49.864229999999914</v>
      </c>
      <c r="U612" s="311">
        <f t="shared" ca="1" si="263"/>
        <v>0</v>
      </c>
      <c r="V612" s="306">
        <f t="shared" ca="1" si="264"/>
        <v>1.0030192221448877</v>
      </c>
      <c r="W612" s="304">
        <f t="shared" ca="1" si="265"/>
        <v>12.891365137251404</v>
      </c>
      <c r="Y612" s="314" t="str">
        <f t="shared" ca="1" si="283"/>
        <v/>
      </c>
      <c r="Z612" s="315" t="str">
        <f t="shared" ca="1" si="284"/>
        <v/>
      </c>
      <c r="AA612" s="316" t="str">
        <f t="shared" ca="1" si="285"/>
        <v/>
      </c>
      <c r="AC612" s="310" t="e">
        <f t="shared" ca="1" si="286"/>
        <v>#N/A</v>
      </c>
      <c r="AD612" s="323" t="e">
        <f t="shared" ca="1" si="287"/>
        <v>#N/A</v>
      </c>
      <c r="AE612" s="324" t="e">
        <f t="shared" ca="1" si="266"/>
        <v>#N/A</v>
      </c>
      <c r="AG612" s="306">
        <f t="shared" ca="1" si="288"/>
        <v>6.8820595966157638</v>
      </c>
      <c r="AH612" s="304">
        <f t="shared" ca="1" si="289"/>
        <v>-2.4809121493205941</v>
      </c>
    </row>
    <row r="613" spans="1:34" x14ac:dyDescent="0.2">
      <c r="A613" s="347">
        <f t="shared" ca="1" si="267"/>
        <v>0.1</v>
      </c>
      <c r="B613" s="304">
        <f t="shared" ca="1" si="268"/>
        <v>24.900000000000041</v>
      </c>
      <c r="D613" s="306">
        <f t="shared" ca="1" si="269"/>
        <v>-0.74591023787303667</v>
      </c>
      <c r="E613" s="307">
        <f t="shared" ca="1" si="270"/>
        <v>-7.3859972801431093</v>
      </c>
      <c r="F613" s="304">
        <f t="shared" ca="1" si="271"/>
        <v>7.4235663872053586</v>
      </c>
      <c r="G613" s="306">
        <f t="shared" ca="1" si="272"/>
        <v>18.953747786528844</v>
      </c>
      <c r="H613" s="307">
        <f t="shared" ca="1" si="273"/>
        <v>-62.575457152158968</v>
      </c>
      <c r="I613" s="304">
        <f t="shared" ca="1" si="274"/>
        <v>65.382967147086788</v>
      </c>
      <c r="J613" s="306">
        <f t="shared" ca="1" si="275"/>
        <v>756.15296111848136</v>
      </c>
      <c r="K613" s="307">
        <f t="shared" ca="1" si="276"/>
        <v>1986.4083135800995</v>
      </c>
      <c r="L613" s="304">
        <f t="shared" ca="1" si="261"/>
        <v>2125.4611943924974</v>
      </c>
      <c r="M613" s="306">
        <f t="shared" ca="1" si="277"/>
        <v>-1.2766863530034975</v>
      </c>
      <c r="N613" s="304">
        <f t="shared" ca="1" si="278"/>
        <v>-73.148739789049586</v>
      </c>
      <c r="P613" s="310">
        <f t="shared" ca="1" si="279"/>
        <v>23</v>
      </c>
      <c r="Q613" s="304">
        <f t="shared" ca="1" si="280"/>
        <v>0</v>
      </c>
      <c r="R613" s="306">
        <f t="shared" ca="1" si="281"/>
        <v>0</v>
      </c>
      <c r="S613" s="307">
        <f t="shared" ca="1" si="282"/>
        <v>5.0829999999999913</v>
      </c>
      <c r="T613" s="304">
        <f t="shared" ca="1" si="262"/>
        <v>49.864229999999914</v>
      </c>
      <c r="U613" s="311">
        <f t="shared" ca="1" si="263"/>
        <v>0</v>
      </c>
      <c r="V613" s="306">
        <f t="shared" ca="1" si="264"/>
        <v>1.0036495957475107</v>
      </c>
      <c r="W613" s="304">
        <f t="shared" ca="1" si="265"/>
        <v>13.173913372516632</v>
      </c>
      <c r="Y613" s="314" t="str">
        <f t="shared" ca="1" si="283"/>
        <v/>
      </c>
      <c r="Z613" s="315" t="str">
        <f t="shared" ca="1" si="284"/>
        <v/>
      </c>
      <c r="AA613" s="316" t="str">
        <f t="shared" ca="1" si="285"/>
        <v/>
      </c>
      <c r="AC613" s="310" t="e">
        <f t="shared" ca="1" si="286"/>
        <v>#N/A</v>
      </c>
      <c r="AD613" s="323" t="e">
        <f t="shared" ca="1" si="287"/>
        <v>#N/A</v>
      </c>
      <c r="AE613" s="324" t="e">
        <f t="shared" ca="1" si="266"/>
        <v>#N/A</v>
      </c>
      <c r="AG613" s="306">
        <f t="shared" ca="1" si="288"/>
        <v>6.8399507457337529</v>
      </c>
      <c r="AH613" s="304">
        <f t="shared" ca="1" si="289"/>
        <v>-2.536172562906045</v>
      </c>
    </row>
    <row r="614" spans="1:34" x14ac:dyDescent="0.2">
      <c r="A614" s="347">
        <f t="shared" ca="1" si="267"/>
        <v>0.1</v>
      </c>
      <c r="B614" s="304">
        <f t="shared" ca="1" si="268"/>
        <v>25.000000000000043</v>
      </c>
      <c r="D614" s="306">
        <f t="shared" ca="1" si="269"/>
        <v>-0.75132037304002564</v>
      </c>
      <c r="E614" s="307">
        <f t="shared" ca="1" si="270"/>
        <v>-7.329529312080167</v>
      </c>
      <c r="F614" s="304">
        <f t="shared" ca="1" si="271"/>
        <v>7.3679360909000406</v>
      </c>
      <c r="G614" s="306">
        <f t="shared" ca="1" si="272"/>
        <v>18.878615749224842</v>
      </c>
      <c r="H614" s="307">
        <f t="shared" ca="1" si="273"/>
        <v>-63.308410083366986</v>
      </c>
      <c r="I614" s="304">
        <f t="shared" ca="1" si="274"/>
        <v>66.063279663445741</v>
      </c>
      <c r="J614" s="306">
        <f t="shared" ca="1" si="275"/>
        <v>758.04457929526905</v>
      </c>
      <c r="K614" s="307">
        <f t="shared" ca="1" si="276"/>
        <v>1980.1141202183233</v>
      </c>
      <c r="L614" s="304">
        <f t="shared" ca="1" si="261"/>
        <v>2120.2555301866155</v>
      </c>
      <c r="M614" s="306">
        <f t="shared" ca="1" si="277"/>
        <v>-1.280991031197747</v>
      </c>
      <c r="N614" s="304">
        <f t="shared" ca="1" si="278"/>
        <v>-73.395379681742071</v>
      </c>
      <c r="P614" s="310">
        <f t="shared" ca="1" si="279"/>
        <v>23</v>
      </c>
      <c r="Q614" s="304">
        <f t="shared" ca="1" si="280"/>
        <v>0</v>
      </c>
      <c r="R614" s="306">
        <f t="shared" ca="1" si="281"/>
        <v>0</v>
      </c>
      <c r="S614" s="307">
        <f t="shared" ca="1" si="282"/>
        <v>5.0829999999999913</v>
      </c>
      <c r="T614" s="304">
        <f t="shared" ca="1" si="262"/>
        <v>49.864229999999914</v>
      </c>
      <c r="U614" s="311">
        <f t="shared" ca="1" si="263"/>
        <v>0</v>
      </c>
      <c r="V614" s="306">
        <f t="shared" ca="1" si="264"/>
        <v>1.0042877885892112</v>
      </c>
      <c r="W614" s="304">
        <f t="shared" ca="1" si="265"/>
        <v>13.458042043888954</v>
      </c>
      <c r="Y614" s="314" t="str">
        <f t="shared" ca="1" si="283"/>
        <v/>
      </c>
      <c r="Z614" s="315" t="str">
        <f t="shared" ca="1" si="284"/>
        <v/>
      </c>
      <c r="AA614" s="316" t="str">
        <f t="shared" ca="1" si="285"/>
        <v/>
      </c>
      <c r="AC614" s="310">
        <f t="shared" ca="1" si="286"/>
        <v>25.000000000000043</v>
      </c>
      <c r="AD614" s="323">
        <f t="shared" ca="1" si="287"/>
        <v>758.04457929526905</v>
      </c>
      <c r="AE614" s="324" t="e">
        <f t="shared" ca="1" si="266"/>
        <v>#N/A</v>
      </c>
      <c r="AG614" s="306">
        <f t="shared" ca="1" si="288"/>
        <v>6.7970043261624191</v>
      </c>
      <c r="AH614" s="304">
        <f t="shared" ca="1" si="289"/>
        <v>-2.5917594673453972</v>
      </c>
    </row>
    <row r="615" spans="1:34" x14ac:dyDescent="0.2">
      <c r="A615" s="347">
        <f t="shared" ca="1" si="267"/>
        <v>0.1</v>
      </c>
      <c r="B615" s="304">
        <f t="shared" ca="1" si="268"/>
        <v>25.100000000000044</v>
      </c>
      <c r="D615" s="306">
        <f t="shared" ca="1" si="269"/>
        <v>-0.75660949641556563</v>
      </c>
      <c r="E615" s="307">
        <f t="shared" ca="1" si="270"/>
        <v>-7.2727512467902651</v>
      </c>
      <c r="F615" s="304">
        <f t="shared" ca="1" si="271"/>
        <v>7.3120016840640547</v>
      </c>
      <c r="G615" s="306">
        <f t="shared" ca="1" si="272"/>
        <v>18.802954799583286</v>
      </c>
      <c r="H615" s="307">
        <f t="shared" ca="1" si="273"/>
        <v>-64.035685208046019</v>
      </c>
      <c r="I615" s="304">
        <f t="shared" ca="1" si="274"/>
        <v>66.739194550572279</v>
      </c>
      <c r="J615" s="306">
        <f t="shared" ca="1" si="275"/>
        <v>759.9286578227094</v>
      </c>
      <c r="K615" s="307">
        <f t="shared" ca="1" si="276"/>
        <v>1973.7469154537525</v>
      </c>
      <c r="L615" s="304">
        <f t="shared" ca="1" si="261"/>
        <v>2114.9866314573778</v>
      </c>
      <c r="M615" s="306">
        <f t="shared" ca="1" si="277"/>
        <v>-1.2851915152519759</v>
      </c>
      <c r="N615" s="304">
        <f t="shared" ca="1" si="278"/>
        <v>-73.636049689961396</v>
      </c>
      <c r="P615" s="310">
        <f t="shared" ca="1" si="279"/>
        <v>23</v>
      </c>
      <c r="Q615" s="304">
        <f t="shared" ca="1" si="280"/>
        <v>0</v>
      </c>
      <c r="R615" s="306">
        <f t="shared" ca="1" si="281"/>
        <v>0</v>
      </c>
      <c r="S615" s="307">
        <f t="shared" ca="1" si="282"/>
        <v>5.0829999999999913</v>
      </c>
      <c r="T615" s="304">
        <f t="shared" ca="1" si="262"/>
        <v>49.864229999999914</v>
      </c>
      <c r="U615" s="311">
        <f t="shared" ca="1" si="263"/>
        <v>0</v>
      </c>
      <c r="V615" s="306">
        <f t="shared" ca="1" si="264"/>
        <v>1.004933756338076</v>
      </c>
      <c r="W615" s="304">
        <f t="shared" ca="1" si="265"/>
        <v>13.743672419310961</v>
      </c>
      <c r="Y615" s="314" t="str">
        <f t="shared" ca="1" si="283"/>
        <v/>
      </c>
      <c r="Z615" s="315" t="str">
        <f t="shared" ca="1" si="284"/>
        <v/>
      </c>
      <c r="AA615" s="316" t="str">
        <f t="shared" ca="1" si="285"/>
        <v/>
      </c>
      <c r="AC615" s="310" t="e">
        <f t="shared" ca="1" si="286"/>
        <v>#N/A</v>
      </c>
      <c r="AD615" s="323" t="e">
        <f t="shared" ca="1" si="287"/>
        <v>#N/A</v>
      </c>
      <c r="AE615" s="324" t="e">
        <f t="shared" ca="1" si="266"/>
        <v>#N/A</v>
      </c>
      <c r="AG615" s="306">
        <f t="shared" ca="1" si="288"/>
        <v>6.7532611260584012</v>
      </c>
      <c r="AH615" s="304">
        <f t="shared" ca="1" si="289"/>
        <v>-2.647657297637021</v>
      </c>
    </row>
    <row r="616" spans="1:34" x14ac:dyDescent="0.2">
      <c r="A616" s="347">
        <f t="shared" ca="1" si="267"/>
        <v>0.1</v>
      </c>
      <c r="B616" s="304">
        <f t="shared" ca="1" si="268"/>
        <v>25.200000000000045</v>
      </c>
      <c r="D616" s="306">
        <f t="shared" ca="1" si="269"/>
        <v>-0.76177694818356256</v>
      </c>
      <c r="E616" s="307">
        <f t="shared" ca="1" si="270"/>
        <v>-7.2156785557071244</v>
      </c>
      <c r="F616" s="304">
        <f t="shared" ca="1" si="271"/>
        <v>7.2557784653388859</v>
      </c>
      <c r="G616" s="306">
        <f t="shared" ca="1" si="272"/>
        <v>18.726777104764931</v>
      </c>
      <c r="H616" s="307">
        <f t="shared" ca="1" si="273"/>
        <v>-64.75725306361673</v>
      </c>
      <c r="I616" s="304">
        <f t="shared" ca="1" si="274"/>
        <v>67.410637180469124</v>
      </c>
      <c r="J616" s="306">
        <f t="shared" ca="1" si="275"/>
        <v>761.80514441792684</v>
      </c>
      <c r="K616" s="307">
        <f t="shared" ca="1" si="276"/>
        <v>1967.3072685401694</v>
      </c>
      <c r="L616" s="304">
        <f t="shared" ca="1" si="261"/>
        <v>2109.6551772535249</v>
      </c>
      <c r="M616" s="306">
        <f t="shared" ca="1" si="277"/>
        <v>-1.2892915442936945</v>
      </c>
      <c r="N616" s="304">
        <f t="shared" ca="1" si="278"/>
        <v>-73.870964049932937</v>
      </c>
      <c r="P616" s="310">
        <f t="shared" ca="1" si="279"/>
        <v>23</v>
      </c>
      <c r="Q616" s="304">
        <f t="shared" ca="1" si="280"/>
        <v>0</v>
      </c>
      <c r="R616" s="306">
        <f t="shared" ca="1" si="281"/>
        <v>0</v>
      </c>
      <c r="S616" s="307">
        <f t="shared" ca="1" si="282"/>
        <v>5.0829999999999913</v>
      </c>
      <c r="T616" s="304">
        <f t="shared" ca="1" si="262"/>
        <v>49.864229999999914</v>
      </c>
      <c r="U616" s="311">
        <f t="shared" ca="1" si="263"/>
        <v>0</v>
      </c>
      <c r="V616" s="306">
        <f t="shared" ca="1" si="264"/>
        <v>1.0055874543929151</v>
      </c>
      <c r="W616" s="304">
        <f t="shared" ca="1" si="265"/>
        <v>14.030726188010251</v>
      </c>
      <c r="Y616" s="314" t="str">
        <f t="shared" ca="1" si="283"/>
        <v/>
      </c>
      <c r="Z616" s="315" t="str">
        <f t="shared" ca="1" si="284"/>
        <v/>
      </c>
      <c r="AA616" s="316" t="str">
        <f t="shared" ca="1" si="285"/>
        <v/>
      </c>
      <c r="AC616" s="310" t="e">
        <f t="shared" ca="1" si="286"/>
        <v>#N/A</v>
      </c>
      <c r="AD616" s="323" t="e">
        <f t="shared" ca="1" si="287"/>
        <v>#N/A</v>
      </c>
      <c r="AE616" s="324" t="e">
        <f t="shared" ca="1" si="266"/>
        <v>#N/A</v>
      </c>
      <c r="AG616" s="306">
        <f t="shared" ca="1" si="288"/>
        <v>6.7087603625838215</v>
      </c>
      <c r="AH616" s="304">
        <f t="shared" ca="1" si="289"/>
        <v>-2.7038505644916357</v>
      </c>
    </row>
    <row r="617" spans="1:34" x14ac:dyDescent="0.2">
      <c r="A617" s="347">
        <f t="shared" ca="1" si="267"/>
        <v>0.1</v>
      </c>
      <c r="B617" s="304">
        <f t="shared" ca="1" si="268"/>
        <v>25.300000000000047</v>
      </c>
      <c r="D617" s="306">
        <f t="shared" ca="1" si="269"/>
        <v>-0.76682214934281179</v>
      </c>
      <c r="E617" s="307">
        <f t="shared" ca="1" si="270"/>
        <v>-7.158326639337</v>
      </c>
      <c r="F617" s="304">
        <f t="shared" ca="1" si="271"/>
        <v>7.1992816644554525</v>
      </c>
      <c r="G617" s="306">
        <f t="shared" ca="1" si="272"/>
        <v>18.650094889830651</v>
      </c>
      <c r="H617" s="307">
        <f t="shared" ca="1" si="273"/>
        <v>-65.473085727550426</v>
      </c>
      <c r="I617" s="304">
        <f t="shared" ca="1" si="274"/>
        <v>68.077536633509695</v>
      </c>
      <c r="J617" s="306">
        <f t="shared" ca="1" si="275"/>
        <v>763.6739880176566</v>
      </c>
      <c r="K617" s="307">
        <f t="shared" ca="1" si="276"/>
        <v>1960.7957516006111</v>
      </c>
      <c r="L617" s="304">
        <f t="shared" ca="1" si="261"/>
        <v>2104.2618514504788</v>
      </c>
      <c r="M617" s="306">
        <f t="shared" ca="1" si="277"/>
        <v>-1.2932946858160124</v>
      </c>
      <c r="N617" s="304">
        <f t="shared" ca="1" si="278"/>
        <v>-74.100327163955328</v>
      </c>
      <c r="P617" s="310">
        <f t="shared" ca="1" si="279"/>
        <v>23</v>
      </c>
      <c r="Q617" s="304">
        <f t="shared" ca="1" si="280"/>
        <v>0</v>
      </c>
      <c r="R617" s="306">
        <f t="shared" ca="1" si="281"/>
        <v>0</v>
      </c>
      <c r="S617" s="307">
        <f t="shared" ca="1" si="282"/>
        <v>5.0829999999999913</v>
      </c>
      <c r="T617" s="304">
        <f t="shared" ca="1" si="262"/>
        <v>49.864229999999914</v>
      </c>
      <c r="U617" s="311">
        <f t="shared" ca="1" si="263"/>
        <v>0</v>
      </c>
      <c r="V617" s="306">
        <f t="shared" ca="1" si="264"/>
        <v>1.0062488378946215</v>
      </c>
      <c r="W617" s="304">
        <f t="shared" ca="1" si="265"/>
        <v>14.319125496061636</v>
      </c>
      <c r="Y617" s="314" t="str">
        <f t="shared" ca="1" si="283"/>
        <v/>
      </c>
      <c r="Z617" s="315" t="str">
        <f t="shared" ca="1" si="284"/>
        <v/>
      </c>
      <c r="AA617" s="316" t="str">
        <f t="shared" ca="1" si="285"/>
        <v/>
      </c>
      <c r="AC617" s="310" t="e">
        <f t="shared" ca="1" si="286"/>
        <v>#N/A</v>
      </c>
      <c r="AD617" s="323" t="e">
        <f t="shared" ca="1" si="287"/>
        <v>#N/A</v>
      </c>
      <c r="AE617" s="324" t="e">
        <f t="shared" ca="1" si="266"/>
        <v>#N/A</v>
      </c>
      <c r="AG617" s="306">
        <f t="shared" ca="1" si="288"/>
        <v>6.6635397767161342</v>
      </c>
      <c r="AH617" s="304">
        <f t="shared" ca="1" si="289"/>
        <v>-2.7603238615011358</v>
      </c>
    </row>
    <row r="618" spans="1:34" x14ac:dyDescent="0.2">
      <c r="A618" s="347">
        <f t="shared" ca="1" si="267"/>
        <v>0.1</v>
      </c>
      <c r="B618" s="304">
        <f t="shared" ca="1" si="268"/>
        <v>25.400000000000048</v>
      </c>
      <c r="D618" s="306">
        <f t="shared" ca="1" si="269"/>
        <v>-0.77174459923067817</v>
      </c>
      <c r="E618" s="307">
        <f t="shared" ca="1" si="270"/>
        <v>-7.1007108192379267</v>
      </c>
      <c r="F618" s="304">
        <f t="shared" ca="1" si="271"/>
        <v>7.1425264343147008</v>
      </c>
      <c r="G618" s="306">
        <f t="shared" ca="1" si="272"/>
        <v>18.572920429907583</v>
      </c>
      <c r="H618" s="307">
        <f t="shared" ca="1" si="273"/>
        <v>-66.183156809474212</v>
      </c>
      <c r="I618" s="304">
        <f t="shared" ca="1" si="274"/>
        <v>68.739825563956231</v>
      </c>
      <c r="J618" s="306">
        <f t="shared" ca="1" si="275"/>
        <v>765.53513878364356</v>
      </c>
      <c r="K618" s="307">
        <f t="shared" ca="1" si="276"/>
        <v>1954.2129394737599</v>
      </c>
      <c r="L618" s="304">
        <f t="shared" ca="1" si="261"/>
        <v>2098.8073426399019</v>
      </c>
      <c r="M618" s="306">
        <f t="shared" ca="1" si="277"/>
        <v>-1.2972043450084676</v>
      </c>
      <c r="N618" s="304">
        <f t="shared" ca="1" si="278"/>
        <v>-74.324334135017537</v>
      </c>
      <c r="P618" s="310">
        <f t="shared" ca="1" si="279"/>
        <v>23</v>
      </c>
      <c r="Q618" s="304">
        <f t="shared" ca="1" si="280"/>
        <v>0</v>
      </c>
      <c r="R618" s="306">
        <f t="shared" ca="1" si="281"/>
        <v>0</v>
      </c>
      <c r="S618" s="307">
        <f t="shared" ca="1" si="282"/>
        <v>5.0829999999999913</v>
      </c>
      <c r="T618" s="304">
        <f t="shared" ca="1" si="262"/>
        <v>49.864229999999914</v>
      </c>
      <c r="U618" s="311">
        <f t="shared" ca="1" si="263"/>
        <v>0</v>
      </c>
      <c r="V618" s="306">
        <f t="shared" ca="1" si="264"/>
        <v>1.0069178617374988</v>
      </c>
      <c r="W618" s="304">
        <f t="shared" ca="1" si="265"/>
        <v>14.608792981052137</v>
      </c>
      <c r="Y618" s="314" t="str">
        <f t="shared" ca="1" si="283"/>
        <v/>
      </c>
      <c r="Z618" s="315" t="str">
        <f t="shared" ca="1" si="284"/>
        <v/>
      </c>
      <c r="AA618" s="316" t="str">
        <f t="shared" ca="1" si="285"/>
        <v/>
      </c>
      <c r="AC618" s="310" t="e">
        <f t="shared" ca="1" si="286"/>
        <v>#N/A</v>
      </c>
      <c r="AD618" s="323" t="e">
        <f t="shared" ca="1" si="287"/>
        <v>#N/A</v>
      </c>
      <c r="AE618" s="324" t="e">
        <f t="shared" ca="1" si="266"/>
        <v>#N/A</v>
      </c>
      <c r="AG618" s="306">
        <f t="shared" ca="1" si="288"/>
        <v>6.6176357204791714</v>
      </c>
      <c r="AH618" s="304">
        <f t="shared" ca="1" si="289"/>
        <v>-2.817061872134893</v>
      </c>
    </row>
    <row r="619" spans="1:34" x14ac:dyDescent="0.2">
      <c r="A619" s="347">
        <f t="shared" ca="1" si="267"/>
        <v>0.1</v>
      </c>
      <c r="B619" s="304">
        <f t="shared" ca="1" si="268"/>
        <v>25.50000000000005</v>
      </c>
      <c r="D619" s="306">
        <f t="shared" ca="1" si="269"/>
        <v>-0.77654387314092144</v>
      </c>
      <c r="E619" s="307">
        <f t="shared" ca="1" si="270"/>
        <v>-7.0428463302538482</v>
      </c>
      <c r="F619" s="304">
        <f t="shared" ca="1" si="271"/>
        <v>7.0855278433213993</v>
      </c>
      <c r="G619" s="306">
        <f t="shared" ca="1" si="272"/>
        <v>18.495266042593492</v>
      </c>
      <c r="H619" s="307">
        <f t="shared" ca="1" si="273"/>
        <v>-66.887441442499593</v>
      </c>
      <c r="I619" s="304">
        <f t="shared" ca="1" si="274"/>
        <v>69.397440073176512</v>
      </c>
      <c r="J619" s="306">
        <f t="shared" ca="1" si="275"/>
        <v>767.38854810726866</v>
      </c>
      <c r="K619" s="307">
        <f t="shared" ca="1" si="276"/>
        <v>1947.5594095611611</v>
      </c>
      <c r="L619" s="304">
        <f t="shared" ca="1" si="261"/>
        <v>2093.2923440208729</v>
      </c>
      <c r="M619" s="306">
        <f t="shared" ca="1" si="277"/>
        <v>-1.3010237735151429</v>
      </c>
      <c r="N619" s="304">
        <f t="shared" ca="1" si="278"/>
        <v>-74.543171268601981</v>
      </c>
      <c r="P619" s="310">
        <f t="shared" ca="1" si="279"/>
        <v>23</v>
      </c>
      <c r="Q619" s="304">
        <f t="shared" ca="1" si="280"/>
        <v>0</v>
      </c>
      <c r="R619" s="306">
        <f t="shared" ca="1" si="281"/>
        <v>0</v>
      </c>
      <c r="S619" s="307">
        <f t="shared" ca="1" si="282"/>
        <v>5.0829999999999913</v>
      </c>
      <c r="T619" s="304">
        <f t="shared" ca="1" si="262"/>
        <v>49.864229999999914</v>
      </c>
      <c r="U619" s="311">
        <f t="shared" ca="1" si="263"/>
        <v>0</v>
      </c>
      <c r="V619" s="306">
        <f t="shared" ca="1" si="264"/>
        <v>1.0075944805805519</v>
      </c>
      <c r="W619" s="304">
        <f t="shared" ca="1" si="265"/>
        <v>14.899651805830167</v>
      </c>
      <c r="Y619" s="314" t="str">
        <f t="shared" ca="1" si="283"/>
        <v/>
      </c>
      <c r="Z619" s="315" t="str">
        <f t="shared" ca="1" si="284"/>
        <v/>
      </c>
      <c r="AA619" s="316" t="str">
        <f t="shared" ca="1" si="285"/>
        <v/>
      </c>
      <c r="AC619" s="310" t="e">
        <f t="shared" ca="1" si="286"/>
        <v>#N/A</v>
      </c>
      <c r="AD619" s="323" t="e">
        <f t="shared" ca="1" si="287"/>
        <v>#N/A</v>
      </c>
      <c r="AE619" s="324" t="e">
        <f t="shared" ca="1" si="266"/>
        <v>#N/A</v>
      </c>
      <c r="AG619" s="306">
        <f t="shared" ca="1" si="288"/>
        <v>6.5710832372389429</v>
      </c>
      <c r="AH619" s="304">
        <f t="shared" ca="1" si="289"/>
        <v>-2.8740493765595438</v>
      </c>
    </row>
    <row r="620" spans="1:34" x14ac:dyDescent="0.2">
      <c r="A620" s="347">
        <f t="shared" ca="1" si="267"/>
        <v>0.1</v>
      </c>
      <c r="B620" s="304">
        <f t="shared" ca="1" si="268"/>
        <v>25.600000000000051</v>
      </c>
      <c r="D620" s="306">
        <f t="shared" ca="1" si="269"/>
        <v>-0.78121962002782541</v>
      </c>
      <c r="E620" s="307">
        <f t="shared" ca="1" si="270"/>
        <v>-6.9847483130004395</v>
      </c>
      <c r="F620" s="304">
        <f t="shared" ca="1" si="271"/>
        <v>7.02830086796794</v>
      </c>
      <c r="G620" s="306">
        <f t="shared" ca="1" si="272"/>
        <v>18.41714408059071</v>
      </c>
      <c r="H620" s="307">
        <f t="shared" ca="1" si="273"/>
        <v>-67.58591627379964</v>
      </c>
      <c r="I620" s="304">
        <f t="shared" ca="1" si="274"/>
        <v>70.050319589951144</v>
      </c>
      <c r="J620" s="306">
        <f t="shared" ca="1" si="275"/>
        <v>769.23416861342787</v>
      </c>
      <c r="K620" s="307">
        <f t="shared" ca="1" si="276"/>
        <v>1940.8357416753461</v>
      </c>
      <c r="L620" s="304">
        <f t="shared" ca="1" si="261"/>
        <v>2087.7175532928018</v>
      </c>
      <c r="M620" s="306">
        <f t="shared" ca="1" si="277"/>
        <v>-1.3047560776581044</v>
      </c>
      <c r="N620" s="304">
        <f t="shared" ca="1" si="278"/>
        <v>-74.75701654385287</v>
      </c>
      <c r="P620" s="310">
        <f t="shared" ca="1" si="279"/>
        <v>23</v>
      </c>
      <c r="Q620" s="304">
        <f t="shared" ca="1" si="280"/>
        <v>0</v>
      </c>
      <c r="R620" s="306">
        <f t="shared" ca="1" si="281"/>
        <v>0</v>
      </c>
      <c r="S620" s="307">
        <f t="shared" ca="1" si="282"/>
        <v>5.0829999999999913</v>
      </c>
      <c r="T620" s="304">
        <f t="shared" ca="1" si="262"/>
        <v>49.864229999999914</v>
      </c>
      <c r="U620" s="311">
        <f t="shared" ca="1" si="263"/>
        <v>0</v>
      </c>
      <c r="V620" s="306">
        <f t="shared" ca="1" si="264"/>
        <v>1.0082786488587279</v>
      </c>
      <c r="W620" s="304">
        <f t="shared" ca="1" si="265"/>
        <v>15.191625691321732</v>
      </c>
      <c r="Y620" s="314" t="str">
        <f t="shared" ca="1" si="283"/>
        <v/>
      </c>
      <c r="Z620" s="315" t="str">
        <f t="shared" ca="1" si="284"/>
        <v/>
      </c>
      <c r="AA620" s="316" t="str">
        <f t="shared" ca="1" si="285"/>
        <v/>
      </c>
      <c r="AC620" s="310" t="e">
        <f t="shared" ca="1" si="286"/>
        <v>#N/A</v>
      </c>
      <c r="AD620" s="323" t="e">
        <f t="shared" ca="1" si="287"/>
        <v>#N/A</v>
      </c>
      <c r="AE620" s="324" t="e">
        <f t="shared" ca="1" si="266"/>
        <v>#N/A</v>
      </c>
      <c r="AG620" s="306">
        <f t="shared" ca="1" si="288"/>
        <v>6.5239161356515307</v>
      </c>
      <c r="AH620" s="304">
        <f t="shared" ca="1" si="289"/>
        <v>-2.9312712582786138</v>
      </c>
    </row>
    <row r="621" spans="1:34" x14ac:dyDescent="0.2">
      <c r="A621" s="347">
        <f t="shared" ca="1" si="267"/>
        <v>0.1</v>
      </c>
      <c r="B621" s="304">
        <f t="shared" ca="1" si="268"/>
        <v>25.700000000000053</v>
      </c>
      <c r="D621" s="306">
        <f t="shared" ca="1" si="269"/>
        <v>-0.78577156028949779</v>
      </c>
      <c r="E621" s="307">
        <f t="shared" ca="1" si="270"/>
        <v>-6.9264318065998669</v>
      </c>
      <c r="F621" s="304">
        <f t="shared" ca="1" si="271"/>
        <v>6.970860385665322</v>
      </c>
      <c r="G621" s="306">
        <f t="shared" ca="1" si="272"/>
        <v>18.338566924561761</v>
      </c>
      <c r="H621" s="307">
        <f t="shared" ca="1" si="273"/>
        <v>-68.278559454459625</v>
      </c>
      <c r="I621" s="304">
        <f t="shared" ca="1" si="274"/>
        <v>70.698406757315325</v>
      </c>
      <c r="J621" s="306">
        <f t="shared" ca="1" si="275"/>
        <v>771.07195416368552</v>
      </c>
      <c r="K621" s="307">
        <f t="shared" ca="1" si="276"/>
        <v>1934.0425178889332</v>
      </c>
      <c r="L621" s="304">
        <f t="shared" ca="1" si="261"/>
        <v>2082.0836725501617</v>
      </c>
      <c r="M621" s="306">
        <f t="shared" ca="1" si="277"/>
        <v>-1.3084042261615934</v>
      </c>
      <c r="N621" s="304">
        <f t="shared" ca="1" si="278"/>
        <v>-74.966040056139747</v>
      </c>
      <c r="P621" s="310">
        <f t="shared" ca="1" si="279"/>
        <v>23</v>
      </c>
      <c r="Q621" s="304">
        <f t="shared" ca="1" si="280"/>
        <v>0</v>
      </c>
      <c r="R621" s="306">
        <f t="shared" ca="1" si="281"/>
        <v>0</v>
      </c>
      <c r="S621" s="307">
        <f t="shared" ca="1" si="282"/>
        <v>5.0829999999999913</v>
      </c>
      <c r="T621" s="304">
        <f t="shared" ca="1" si="262"/>
        <v>49.864229999999914</v>
      </c>
      <c r="U621" s="311">
        <f t="shared" ca="1" si="263"/>
        <v>0</v>
      </c>
      <c r="V621" s="306">
        <f t="shared" ca="1" si="264"/>
        <v>1.0089703207941105</v>
      </c>
      <c r="W621" s="304">
        <f t="shared" ca="1" si="265"/>
        <v>15.484638948398519</v>
      </c>
      <c r="Y621" s="314" t="str">
        <f t="shared" ca="1" si="283"/>
        <v/>
      </c>
      <c r="Z621" s="315" t="str">
        <f t="shared" ca="1" si="284"/>
        <v/>
      </c>
      <c r="AA621" s="316" t="str">
        <f t="shared" ca="1" si="285"/>
        <v/>
      </c>
      <c r="AC621" s="310" t="e">
        <f t="shared" ca="1" si="286"/>
        <v>#N/A</v>
      </c>
      <c r="AD621" s="323" t="e">
        <f t="shared" ca="1" si="287"/>
        <v>#N/A</v>
      </c>
      <c r="AE621" s="324" t="e">
        <f t="shared" ca="1" si="266"/>
        <v>#N/A</v>
      </c>
      <c r="AG621" s="306">
        <f t="shared" ca="1" si="288"/>
        <v>6.4761670577993655</v>
      </c>
      <c r="AH621" s="304">
        <f t="shared" ca="1" si="289"/>
        <v>-2.9887125105885812</v>
      </c>
    </row>
    <row r="622" spans="1:34" x14ac:dyDescent="0.2">
      <c r="A622" s="347">
        <f t="shared" ca="1" si="267"/>
        <v>0.1</v>
      </c>
      <c r="B622" s="304">
        <f t="shared" ca="1" si="268"/>
        <v>25.800000000000054</v>
      </c>
      <c r="D622" s="306">
        <f t="shared" ca="1" si="269"/>
        <v>-0.7901994836239451</v>
      </c>
      <c r="E622" s="307">
        <f t="shared" ca="1" si="270"/>
        <v>-6.8679117416618869</v>
      </c>
      <c r="F622" s="304">
        <f t="shared" ca="1" si="271"/>
        <v>6.9132211678187154</v>
      </c>
      <c r="G622" s="306">
        <f t="shared" ca="1" si="272"/>
        <v>18.259546976199367</v>
      </c>
      <c r="H622" s="307">
        <f t="shared" ca="1" si="273"/>
        <v>-68.965350628625814</v>
      </c>
      <c r="I622" s="304">
        <f t="shared" ca="1" si="274"/>
        <v>71.341647325425072</v>
      </c>
      <c r="J622" s="306">
        <f t="shared" ca="1" si="275"/>
        <v>772.90185985872358</v>
      </c>
      <c r="K622" s="307">
        <f t="shared" ca="1" si="276"/>
        <v>1927.1803223847789</v>
      </c>
      <c r="L622" s="304">
        <f t="shared" ca="1" si="261"/>
        <v>2076.3914081791454</v>
      </c>
      <c r="M622" s="306">
        <f t="shared" ca="1" si="277"/>
        <v>-1.3119710574099741</v>
      </c>
      <c r="N622" s="304">
        <f t="shared" ca="1" si="278"/>
        <v>-75.170404432907347</v>
      </c>
      <c r="P622" s="310">
        <f t="shared" ca="1" si="279"/>
        <v>23</v>
      </c>
      <c r="Q622" s="304">
        <f t="shared" ca="1" si="280"/>
        <v>0</v>
      </c>
      <c r="R622" s="306">
        <f t="shared" ca="1" si="281"/>
        <v>0</v>
      </c>
      <c r="S622" s="307">
        <f t="shared" ca="1" si="282"/>
        <v>5.0829999999999913</v>
      </c>
      <c r="T622" s="304">
        <f t="shared" ca="1" si="262"/>
        <v>49.864229999999914</v>
      </c>
      <c r="U622" s="311">
        <f t="shared" ca="1" si="263"/>
        <v>0</v>
      </c>
      <c r="V622" s="306">
        <f t="shared" ca="1" si="264"/>
        <v>1.0096694504070558</v>
      </c>
      <c r="W622" s="304">
        <f t="shared" ca="1" si="265"/>
        <v>15.778616508783891</v>
      </c>
      <c r="Y622" s="314" t="str">
        <f t="shared" ca="1" si="283"/>
        <v/>
      </c>
      <c r="Z622" s="315" t="str">
        <f t="shared" ca="1" si="284"/>
        <v/>
      </c>
      <c r="AA622" s="316" t="str">
        <f t="shared" ca="1" si="285"/>
        <v/>
      </c>
      <c r="AC622" s="310" t="e">
        <f t="shared" ca="1" si="286"/>
        <v>#N/A</v>
      </c>
      <c r="AD622" s="323" t="e">
        <f t="shared" ca="1" si="287"/>
        <v>#N/A</v>
      </c>
      <c r="AE622" s="324" t="e">
        <f t="shared" ca="1" si="266"/>
        <v>#N/A</v>
      </c>
      <c r="AG622" s="306">
        <f t="shared" ca="1" si="288"/>
        <v>6.4278675420055151</v>
      </c>
      <c r="AH622" s="304">
        <f t="shared" ca="1" si="289"/>
        <v>-3.0463582428484255</v>
      </c>
    </row>
    <row r="623" spans="1:34" x14ac:dyDescent="0.2">
      <c r="A623" s="347">
        <f t="shared" ca="1" si="267"/>
        <v>0.1</v>
      </c>
      <c r="B623" s="304">
        <f t="shared" ca="1" si="268"/>
        <v>25.900000000000055</v>
      </c>
      <c r="D623" s="306">
        <f t="shared" ca="1" si="269"/>
        <v>-0.79450324695209951</v>
      </c>
      <c r="E623" s="307">
        <f t="shared" ca="1" si="270"/>
        <v>-6.8092029335090238</v>
      </c>
      <c r="F623" s="304">
        <f t="shared" ca="1" si="271"/>
        <v>6.855397873145316</v>
      </c>
      <c r="G623" s="306">
        <f t="shared" ca="1" si="272"/>
        <v>18.180096651504158</v>
      </c>
      <c r="H623" s="307">
        <f t="shared" ca="1" si="273"/>
        <v>-69.646270921976722</v>
      </c>
      <c r="I623" s="304">
        <f t="shared" ca="1" si="274"/>
        <v>71.979990049981339</v>
      </c>
      <c r="J623" s="306">
        <f t="shared" ca="1" si="275"/>
        <v>774.72384204010871</v>
      </c>
      <c r="K623" s="307">
        <f t="shared" ca="1" si="276"/>
        <v>1920.2497413072488</v>
      </c>
      <c r="L623" s="304">
        <f t="shared" ca="1" si="261"/>
        <v>2070.6414707563313</v>
      </c>
      <c r="M623" s="306">
        <f t="shared" ca="1" si="277"/>
        <v>-1.3154592862701731</v>
      </c>
      <c r="N623" s="304">
        <f t="shared" ca="1" si="278"/>
        <v>-75.370265224572478</v>
      </c>
      <c r="P623" s="310">
        <f t="shared" ca="1" si="279"/>
        <v>23</v>
      </c>
      <c r="Q623" s="304">
        <f t="shared" ca="1" si="280"/>
        <v>0</v>
      </c>
      <c r="R623" s="306">
        <f t="shared" ca="1" si="281"/>
        <v>0</v>
      </c>
      <c r="S623" s="307">
        <f t="shared" ca="1" si="282"/>
        <v>5.0829999999999913</v>
      </c>
      <c r="T623" s="304">
        <f t="shared" ca="1" si="262"/>
        <v>49.864229999999914</v>
      </c>
      <c r="U623" s="311">
        <f t="shared" ca="1" si="263"/>
        <v>0</v>
      </c>
      <c r="V623" s="306">
        <f t="shared" ca="1" si="264"/>
        <v>1.0103759915272665</v>
      </c>
      <c r="W623" s="304">
        <f t="shared" ca="1" si="265"/>
        <v>16.073483954984791</v>
      </c>
      <c r="Y623" s="314" t="str">
        <f t="shared" ca="1" si="283"/>
        <v/>
      </c>
      <c r="Z623" s="315" t="str">
        <f t="shared" ca="1" si="284"/>
        <v/>
      </c>
      <c r="AA623" s="316" t="str">
        <f t="shared" ca="1" si="285"/>
        <v/>
      </c>
      <c r="AC623" s="310" t="e">
        <f t="shared" ca="1" si="286"/>
        <v>#N/A</v>
      </c>
      <c r="AD623" s="323" t="e">
        <f t="shared" ca="1" si="287"/>
        <v>#N/A</v>
      </c>
      <c r="AE623" s="324" t="e">
        <f t="shared" ca="1" si="266"/>
        <v>#N/A</v>
      </c>
      <c r="AG623" s="306">
        <f t="shared" ca="1" si="288"/>
        <v>6.3790480807732175</v>
      </c>
      <c r="AH623" s="304">
        <f t="shared" ca="1" si="289"/>
        <v>-3.1041936865598894</v>
      </c>
    </row>
    <row r="624" spans="1:34" x14ac:dyDescent="0.2">
      <c r="A624" s="347">
        <f t="shared" ca="1" si="267"/>
        <v>0.1</v>
      </c>
      <c r="B624" s="304">
        <f t="shared" ca="1" si="268"/>
        <v>26.000000000000057</v>
      </c>
      <c r="D624" s="306">
        <f t="shared" ca="1" si="269"/>
        <v>-0.79868277240257191</v>
      </c>
      <c r="E624" s="307">
        <f t="shared" ca="1" si="270"/>
        <v>-6.7503200756436721</v>
      </c>
      <c r="F624" s="304">
        <f t="shared" ca="1" si="271"/>
        <v>6.7974050412323272</v>
      </c>
      <c r="G624" s="306">
        <f t="shared" ca="1" si="272"/>
        <v>18.100228374263899</v>
      </c>
      <c r="H624" s="307">
        <f t="shared" ca="1" si="273"/>
        <v>-70.321302929541091</v>
      </c>
      <c r="I624" s="304">
        <f t="shared" ca="1" si="274"/>
        <v>72.613386595784064</v>
      </c>
      <c r="J624" s="306">
        <f t="shared" ca="1" si="275"/>
        <v>776.53785829139713</v>
      </c>
      <c r="K624" s="307">
        <f t="shared" ca="1" si="276"/>
        <v>1913.2513626146729</v>
      </c>
      <c r="L624" s="304">
        <f t="shared" ca="1" si="261"/>
        <v>2064.8345749494538</v>
      </c>
      <c r="M624" s="306">
        <f t="shared" ca="1" si="277"/>
        <v>-1.318871510507218</v>
      </c>
      <c r="N624" s="304">
        <f t="shared" ca="1" si="278"/>
        <v>-75.565771272107398</v>
      </c>
      <c r="P624" s="310">
        <f t="shared" ca="1" si="279"/>
        <v>23</v>
      </c>
      <c r="Q624" s="304">
        <f t="shared" ca="1" si="280"/>
        <v>0</v>
      </c>
      <c r="R624" s="306">
        <f t="shared" ca="1" si="281"/>
        <v>0</v>
      </c>
      <c r="S624" s="307">
        <f t="shared" ca="1" si="282"/>
        <v>5.0829999999999913</v>
      </c>
      <c r="T624" s="304">
        <f t="shared" ca="1" si="262"/>
        <v>49.864229999999914</v>
      </c>
      <c r="U624" s="311">
        <f t="shared" ca="1" si="263"/>
        <v>0</v>
      </c>
      <c r="V624" s="306">
        <f t="shared" ca="1" si="264"/>
        <v>1.0110898978048031</v>
      </c>
      <c r="W624" s="304">
        <f t="shared" ca="1" si="265"/>
        <v>16.369167549238838</v>
      </c>
      <c r="Y624" s="314" t="str">
        <f t="shared" ca="1" si="283"/>
        <v/>
      </c>
      <c r="Z624" s="315" t="str">
        <f t="shared" ca="1" si="284"/>
        <v/>
      </c>
      <c r="AA624" s="316" t="str">
        <f t="shared" ca="1" si="285"/>
        <v/>
      </c>
      <c r="AC624" s="310">
        <f t="shared" ca="1" si="286"/>
        <v>26.000000000000057</v>
      </c>
      <c r="AD624" s="323">
        <f t="shared" ca="1" si="287"/>
        <v>776.53785829139713</v>
      </c>
      <c r="AE624" s="324" t="e">
        <f t="shared" ca="1" si="266"/>
        <v>#N/A</v>
      </c>
      <c r="AG624" s="306">
        <f t="shared" ca="1" si="288"/>
        <v>6.3297381742592433</v>
      </c>
      <c r="AH624" s="304">
        <f t="shared" ca="1" si="289"/>
        <v>-3.1622042012561122</v>
      </c>
    </row>
    <row r="625" spans="1:34" x14ac:dyDescent="0.2">
      <c r="A625" s="347">
        <f t="shared" ca="1" si="267"/>
        <v>0.1</v>
      </c>
      <c r="B625" s="304">
        <f t="shared" ca="1" si="268"/>
        <v>26.100000000000058</v>
      </c>
      <c r="D625" s="306">
        <f t="shared" ca="1" si="269"/>
        <v>-0.80273804535340665</v>
      </c>
      <c r="E625" s="307">
        <f t="shared" ca="1" si="270"/>
        <v>-6.6912777334551024</v>
      </c>
      <c r="F625" s="304">
        <f t="shared" ca="1" si="271"/>
        <v>6.7392570863330228</v>
      </c>
      <c r="G625" s="306">
        <f t="shared" ca="1" si="272"/>
        <v>18.019954569728558</v>
      </c>
      <c r="H625" s="307">
        <f t="shared" ca="1" si="273"/>
        <v>-70.990430702886599</v>
      </c>
      <c r="I625" s="304">
        <f t="shared" ca="1" si="274"/>
        <v>73.241791445024234</v>
      </c>
      <c r="J625" s="306">
        <f t="shared" ca="1" si="275"/>
        <v>778.3438674385967</v>
      </c>
      <c r="K625" s="307">
        <f t="shared" ca="1" si="276"/>
        <v>1906.1857759330514</v>
      </c>
      <c r="L625" s="304">
        <f t="shared" ca="1" si="261"/>
        <v>2058.9714394203629</v>
      </c>
      <c r="M625" s="306">
        <f t="shared" ca="1" si="277"/>
        <v>-1.3222102168195151</v>
      </c>
      <c r="N625" s="304">
        <f t="shared" ca="1" si="278"/>
        <v>-75.757065052835713</v>
      </c>
      <c r="P625" s="310">
        <f t="shared" ca="1" si="279"/>
        <v>23</v>
      </c>
      <c r="Q625" s="304">
        <f t="shared" ca="1" si="280"/>
        <v>0</v>
      </c>
      <c r="R625" s="306">
        <f t="shared" ca="1" si="281"/>
        <v>0</v>
      </c>
      <c r="S625" s="307">
        <f t="shared" ca="1" si="282"/>
        <v>5.0829999999999913</v>
      </c>
      <c r="T625" s="304">
        <f t="shared" ca="1" si="262"/>
        <v>49.864229999999914</v>
      </c>
      <c r="U625" s="311">
        <f t="shared" ca="1" si="263"/>
        <v>0</v>
      </c>
      <c r="V625" s="306">
        <f t="shared" ca="1" si="264"/>
        <v>1.0118111227210178</v>
      </c>
      <c r="W625" s="304">
        <f t="shared" ca="1" si="265"/>
        <v>16.665594261467557</v>
      </c>
      <c r="Y625" s="314" t="str">
        <f t="shared" ca="1" si="283"/>
        <v/>
      </c>
      <c r="Z625" s="315" t="str">
        <f t="shared" ca="1" si="284"/>
        <v/>
      </c>
      <c r="AA625" s="316" t="str">
        <f t="shared" ca="1" si="285"/>
        <v/>
      </c>
      <c r="AC625" s="310" t="e">
        <f t="shared" ca="1" si="286"/>
        <v>#N/A</v>
      </c>
      <c r="AD625" s="323" t="e">
        <f t="shared" ca="1" si="287"/>
        <v>#N/A</v>
      </c>
      <c r="AE625" s="324" t="e">
        <f t="shared" ca="1" si="266"/>
        <v>#N/A</v>
      </c>
      <c r="AG625" s="306">
        <f t="shared" ca="1" si="288"/>
        <v>6.2799663796545504</v>
      </c>
      <c r="AH625" s="304">
        <f t="shared" ca="1" si="289"/>
        <v>-3.2203752801965111</v>
      </c>
    </row>
    <row r="626" spans="1:34" x14ac:dyDescent="0.2">
      <c r="A626" s="347">
        <f t="shared" ca="1" si="267"/>
        <v>0.1</v>
      </c>
      <c r="B626" s="304">
        <f t="shared" ca="1" si="268"/>
        <v>26.20000000000006</v>
      </c>
      <c r="D626" s="306">
        <f t="shared" ca="1" si="269"/>
        <v>-0.80666911252658668</v>
      </c>
      <c r="E626" s="307">
        <f t="shared" ca="1" si="270"/>
        <v>-6.6320903381644714</v>
      </c>
      <c r="F626" s="304">
        <f t="shared" ca="1" si="271"/>
        <v>6.6809682913990072</v>
      </c>
      <c r="G626" s="306">
        <f t="shared" ca="1" si="272"/>
        <v>17.939287658475898</v>
      </c>
      <c r="H626" s="307">
        <f t="shared" ca="1" si="273"/>
        <v>-71.653639736703042</v>
      </c>
      <c r="I626" s="304">
        <f t="shared" ca="1" si="274"/>
        <v>73.865161809954586</v>
      </c>
      <c r="J626" s="306">
        <f t="shared" ca="1" si="275"/>
        <v>780.14182955000695</v>
      </c>
      <c r="K626" s="307">
        <f t="shared" ca="1" si="276"/>
        <v>1899.0535724110719</v>
      </c>
      <c r="L626" s="304">
        <f t="shared" ca="1" si="261"/>
        <v>2053.0527867302599</v>
      </c>
      <c r="M626" s="306">
        <f t="shared" ca="1" si="277"/>
        <v>-1.3254777865186593</v>
      </c>
      <c r="N626" s="304">
        <f t="shared" ca="1" si="278"/>
        <v>-75.944283005861507</v>
      </c>
      <c r="P626" s="310">
        <f t="shared" ca="1" si="279"/>
        <v>23</v>
      </c>
      <c r="Q626" s="304">
        <f t="shared" ca="1" si="280"/>
        <v>0</v>
      </c>
      <c r="R626" s="306">
        <f t="shared" ca="1" si="281"/>
        <v>0</v>
      </c>
      <c r="S626" s="307">
        <f t="shared" ca="1" si="282"/>
        <v>5.0829999999999913</v>
      </c>
      <c r="T626" s="304">
        <f t="shared" ca="1" si="262"/>
        <v>49.864229999999914</v>
      </c>
      <c r="U626" s="311">
        <f t="shared" ca="1" si="263"/>
        <v>0</v>
      </c>
      <c r="V626" s="306">
        <f t="shared" ca="1" si="264"/>
        <v>1.0125396195994207</v>
      </c>
      <c r="W626" s="304">
        <f t="shared" ca="1" si="265"/>
        <v>16.962691796228228</v>
      </c>
      <c r="Y626" s="314" t="str">
        <f t="shared" ca="1" si="283"/>
        <v/>
      </c>
      <c r="Z626" s="315" t="str">
        <f t="shared" ca="1" si="284"/>
        <v/>
      </c>
      <c r="AA626" s="316" t="str">
        <f t="shared" ca="1" si="285"/>
        <v/>
      </c>
      <c r="AC626" s="310" t="e">
        <f t="shared" ca="1" si="286"/>
        <v>#N/A</v>
      </c>
      <c r="AD626" s="323" t="e">
        <f t="shared" ca="1" si="287"/>
        <v>#N/A</v>
      </c>
      <c r="AE626" s="324" t="e">
        <f t="shared" ca="1" si="266"/>
        <v>#N/A</v>
      </c>
      <c r="AG626" s="306">
        <f t="shared" ca="1" si="288"/>
        <v>6.2297603568135296</v>
      </c>
      <c r="AH626" s="304">
        <f t="shared" ca="1" si="289"/>
        <v>-3.2786925558661393</v>
      </c>
    </row>
    <row r="627" spans="1:34" x14ac:dyDescent="0.2">
      <c r="A627" s="347">
        <f t="shared" ca="1" si="267"/>
        <v>0.1</v>
      </c>
      <c r="B627" s="304">
        <f t="shared" ca="1" si="268"/>
        <v>26.300000000000061</v>
      </c>
      <c r="D627" s="306">
        <f t="shared" ca="1" si="269"/>
        <v>-0.81047608013146333</v>
      </c>
      <c r="E627" s="307">
        <f t="shared" ca="1" si="270"/>
        <v>-6.5727721810059325</v>
      </c>
      <c r="F627" s="304">
        <f t="shared" ca="1" si="271"/>
        <v>6.6225528023467461</v>
      </c>
      <c r="G627" s="306">
        <f t="shared" ca="1" si="272"/>
        <v>17.858240050462751</v>
      </c>
      <c r="H627" s="307">
        <f t="shared" ca="1" si="273"/>
        <v>-72.310916954803631</v>
      </c>
      <c r="I627" s="304">
        <f t="shared" ca="1" si="274"/>
        <v>74.483457549609355</v>
      </c>
      <c r="J627" s="306">
        <f t="shared" ca="1" si="275"/>
        <v>781.93170593545392</v>
      </c>
      <c r="K627" s="307">
        <f t="shared" ca="1" si="276"/>
        <v>1891.8553445764965</v>
      </c>
      <c r="L627" s="304">
        <f t="shared" ca="1" si="261"/>
        <v>2047.0793432472967</v>
      </c>
      <c r="M627" s="306">
        <f t="shared" ca="1" si="277"/>
        <v>-1.3286765008768577</v>
      </c>
      <c r="N627" s="304">
        <f t="shared" ca="1" si="278"/>
        <v>-76.127555838454171</v>
      </c>
      <c r="P627" s="310">
        <f t="shared" ca="1" si="279"/>
        <v>23</v>
      </c>
      <c r="Q627" s="304">
        <f t="shared" ca="1" si="280"/>
        <v>0</v>
      </c>
      <c r="R627" s="306">
        <f t="shared" ca="1" si="281"/>
        <v>0</v>
      </c>
      <c r="S627" s="307">
        <f t="shared" ca="1" si="282"/>
        <v>5.0829999999999913</v>
      </c>
      <c r="T627" s="304">
        <f t="shared" ca="1" si="262"/>
        <v>49.864229999999914</v>
      </c>
      <c r="U627" s="311">
        <f t="shared" ca="1" si="263"/>
        <v>0</v>
      </c>
      <c r="V627" s="306">
        <f t="shared" ca="1" si="264"/>
        <v>1.0132753416164564</v>
      </c>
      <c r="W627" s="304">
        <f t="shared" ca="1" si="265"/>
        <v>17.260388618658002</v>
      </c>
      <c r="Y627" s="314" t="str">
        <f t="shared" ca="1" si="283"/>
        <v/>
      </c>
      <c r="Z627" s="315" t="str">
        <f t="shared" ca="1" si="284"/>
        <v/>
      </c>
      <c r="AA627" s="316" t="str">
        <f t="shared" ca="1" si="285"/>
        <v/>
      </c>
      <c r="AC627" s="310" t="e">
        <f t="shared" ca="1" si="286"/>
        <v>#N/A</v>
      </c>
      <c r="AD627" s="323" t="e">
        <f t="shared" ca="1" si="287"/>
        <v>#N/A</v>
      </c>
      <c r="AE627" s="324" t="e">
        <f t="shared" ca="1" si="266"/>
        <v>#N/A</v>
      </c>
      <c r="AG627" s="306">
        <f t="shared" ca="1" si="288"/>
        <v>6.1791469104440493</v>
      </c>
      <c r="AH627" s="304">
        <f t="shared" ca="1" si="289"/>
        <v>-3.3371418052780362</v>
      </c>
    </row>
    <row r="628" spans="1:34" x14ac:dyDescent="0.2">
      <c r="A628" s="347">
        <f t="shared" ca="1" si="267"/>
        <v>0.1</v>
      </c>
      <c r="B628" s="304">
        <f t="shared" ca="1" si="268"/>
        <v>26.400000000000063</v>
      </c>
      <c r="D628" s="306">
        <f t="shared" ca="1" si="269"/>
        <v>-0.81415911205366576</v>
      </c>
      <c r="E628" s="307">
        <f t="shared" ca="1" si="270"/>
        <v>-6.5133374076420392</v>
      </c>
      <c r="F628" s="304">
        <f t="shared" ca="1" si="271"/>
        <v>6.5640246225565857</v>
      </c>
      <c r="G628" s="306">
        <f t="shared" ca="1" si="272"/>
        <v>17.776824139257386</v>
      </c>
      <c r="H628" s="307">
        <f t="shared" ca="1" si="273"/>
        <v>-72.962250695567832</v>
      </c>
      <c r="I628" s="304">
        <f t="shared" ca="1" si="274"/>
        <v>75.096641090270964</v>
      </c>
      <c r="J628" s="306">
        <f t="shared" ca="1" si="275"/>
        <v>783.71345914493997</v>
      </c>
      <c r="K628" s="307">
        <f t="shared" ca="1" si="276"/>
        <v>1884.5916861939779</v>
      </c>
      <c r="L628" s="304">
        <f t="shared" ca="1" si="261"/>
        <v>2041.0518390566147</v>
      </c>
      <c r="M628" s="306">
        <f t="shared" ca="1" si="277"/>
        <v>-1.3318085461634532</v>
      </c>
      <c r="N628" s="304">
        <f t="shared" ca="1" si="278"/>
        <v>-76.307008814619934</v>
      </c>
      <c r="P628" s="310">
        <f t="shared" ca="1" si="279"/>
        <v>23</v>
      </c>
      <c r="Q628" s="304">
        <f t="shared" ca="1" si="280"/>
        <v>0</v>
      </c>
      <c r="R628" s="306">
        <f t="shared" ca="1" si="281"/>
        <v>0</v>
      </c>
      <c r="S628" s="307">
        <f t="shared" ca="1" si="282"/>
        <v>5.0829999999999913</v>
      </c>
      <c r="T628" s="304">
        <f t="shared" ca="1" si="262"/>
        <v>49.864229999999914</v>
      </c>
      <c r="U628" s="311">
        <f t="shared" ca="1" si="263"/>
        <v>0</v>
      </c>
      <c r="V628" s="306">
        <f t="shared" ca="1" si="264"/>
        <v>1.0140182418122035</v>
      </c>
      <c r="W628" s="304">
        <f t="shared" ca="1" si="265"/>
        <v>17.558613979405838</v>
      </c>
      <c r="Y628" s="314" t="str">
        <f t="shared" ca="1" si="283"/>
        <v/>
      </c>
      <c r="Z628" s="315" t="str">
        <f t="shared" ca="1" si="284"/>
        <v/>
      </c>
      <c r="AA628" s="316" t="str">
        <f t="shared" ca="1" si="285"/>
        <v/>
      </c>
      <c r="AC628" s="310" t="e">
        <f t="shared" ca="1" si="286"/>
        <v>#N/A</v>
      </c>
      <c r="AD628" s="323" t="e">
        <f t="shared" ca="1" si="287"/>
        <v>#N/A</v>
      </c>
      <c r="AE628" s="324" t="e">
        <f t="shared" ca="1" si="266"/>
        <v>#N/A</v>
      </c>
      <c r="AG628" s="306">
        <f t="shared" ca="1" si="288"/>
        <v>6.1281520291439175</v>
      </c>
      <c r="AH628" s="304">
        <f t="shared" ca="1" si="289"/>
        <v>-3.395708955077323</v>
      </c>
    </row>
    <row r="629" spans="1:34" x14ac:dyDescent="0.2">
      <c r="A629" s="347">
        <f t="shared" ca="1" si="267"/>
        <v>0.1</v>
      </c>
      <c r="B629" s="304">
        <f t="shared" ca="1" si="268"/>
        <v>26.500000000000064</v>
      </c>
      <c r="D629" s="306">
        <f t="shared" ca="1" si="269"/>
        <v>-0.81771842808641715</v>
      </c>
      <c r="E629" s="307">
        <f t="shared" ca="1" si="270"/>
        <v>-6.4538000128115574</v>
      </c>
      <c r="F629" s="304">
        <f t="shared" ca="1" si="271"/>
        <v>6.5053976076023652</v>
      </c>
      <c r="G629" s="306">
        <f t="shared" ca="1" si="272"/>
        <v>17.695052296448743</v>
      </c>
      <c r="H629" s="307">
        <f t="shared" ca="1" si="273"/>
        <v>-73.607630696848986</v>
      </c>
      <c r="I629" s="304">
        <f t="shared" ca="1" si="274"/>
        <v>75.704677349406623</v>
      </c>
      <c r="J629" s="306">
        <f t="shared" ca="1" si="275"/>
        <v>785.48705296672529</v>
      </c>
      <c r="K629" s="307">
        <f t="shared" ca="1" si="276"/>
        <v>1877.2631921243571</v>
      </c>
      <c r="L629" s="304">
        <f t="shared" ca="1" si="261"/>
        <v>2034.9710078729088</v>
      </c>
      <c r="M629" s="306">
        <f t="shared" ca="1" si="277"/>
        <v>-1.3348760183905537</v>
      </c>
      <c r="N629" s="304">
        <f t="shared" ca="1" si="278"/>
        <v>-76.482762027006387</v>
      </c>
      <c r="P629" s="310">
        <f t="shared" ca="1" si="279"/>
        <v>23</v>
      </c>
      <c r="Q629" s="304">
        <f t="shared" ca="1" si="280"/>
        <v>0</v>
      </c>
      <c r="R629" s="306">
        <f t="shared" ca="1" si="281"/>
        <v>0</v>
      </c>
      <c r="S629" s="307">
        <f t="shared" ca="1" si="282"/>
        <v>5.0829999999999913</v>
      </c>
      <c r="T629" s="304">
        <f t="shared" ca="1" si="262"/>
        <v>49.864229999999914</v>
      </c>
      <c r="U629" s="311">
        <f t="shared" ca="1" si="263"/>
        <v>0</v>
      </c>
      <c r="V629" s="306">
        <f t="shared" ca="1" si="264"/>
        <v>1.0147682731009802</v>
      </c>
      <c r="W629" s="304">
        <f t="shared" ca="1" si="265"/>
        <v>17.857297938548705</v>
      </c>
      <c r="Y629" s="314" t="str">
        <f t="shared" ca="1" si="283"/>
        <v/>
      </c>
      <c r="Z629" s="315" t="str">
        <f t="shared" ca="1" si="284"/>
        <v/>
      </c>
      <c r="AA629" s="316" t="str">
        <f t="shared" ca="1" si="285"/>
        <v/>
      </c>
      <c r="AC629" s="310" t="e">
        <f t="shared" ca="1" si="286"/>
        <v>#N/A</v>
      </c>
      <c r="AD629" s="323" t="e">
        <f t="shared" ca="1" si="287"/>
        <v>#N/A</v>
      </c>
      <c r="AE629" s="324" t="e">
        <f t="shared" ca="1" si="266"/>
        <v>#N/A</v>
      </c>
      <c r="AG629" s="306">
        <f t="shared" ca="1" si="288"/>
        <v>6.0768009215450087</v>
      </c>
      <c r="AH629" s="304">
        <f t="shared" ca="1" si="289"/>
        <v>-3.4543800864461671</v>
      </c>
    </row>
    <row r="630" spans="1:34" x14ac:dyDescent="0.2">
      <c r="A630" s="347">
        <f t="shared" ca="1" si="267"/>
        <v>0.1</v>
      </c>
      <c r="B630" s="304">
        <f t="shared" ca="1" si="268"/>
        <v>26.600000000000065</v>
      </c>
      <c r="D630" s="306">
        <f t="shared" ca="1" si="269"/>
        <v>-0.82115430220147834</v>
      </c>
      <c r="E630" s="307">
        <f t="shared" ca="1" si="270"/>
        <v>-6.3941738352078445</v>
      </c>
      <c r="F630" s="304">
        <f t="shared" ca="1" si="271"/>
        <v>6.4466854602098111</v>
      </c>
      <c r="G630" s="306">
        <f t="shared" ca="1" si="272"/>
        <v>17.612936866228594</v>
      </c>
      <c r="H630" s="307">
        <f t="shared" ca="1" si="273"/>
        <v>-74.247048080369765</v>
      </c>
      <c r="I630" s="304">
        <f t="shared" ca="1" si="274"/>
        <v>76.30753366282056</v>
      </c>
      <c r="J630" s="306">
        <f t="shared" ca="1" si="275"/>
        <v>787.25245242485914</v>
      </c>
      <c r="K630" s="307">
        <f t="shared" ca="1" si="276"/>
        <v>1869.8704581854963</v>
      </c>
      <c r="L630" s="304">
        <f t="shared" ca="1" si="261"/>
        <v>2028.8375869555928</v>
      </c>
      <c r="M630" s="306">
        <f t="shared" ca="1" si="277"/>
        <v>-1.3378809277863926</v>
      </c>
      <c r="N630" s="304">
        <f t="shared" ca="1" si="278"/>
        <v>-76.65493065320716</v>
      </c>
      <c r="P630" s="310">
        <f t="shared" ca="1" si="279"/>
        <v>23</v>
      </c>
      <c r="Q630" s="304">
        <f t="shared" ca="1" si="280"/>
        <v>0</v>
      </c>
      <c r="R630" s="306">
        <f t="shared" ca="1" si="281"/>
        <v>0</v>
      </c>
      <c r="S630" s="307">
        <f t="shared" ca="1" si="282"/>
        <v>5.0829999999999913</v>
      </c>
      <c r="T630" s="304">
        <f t="shared" ca="1" si="262"/>
        <v>49.864229999999914</v>
      </c>
      <c r="U630" s="311">
        <f t="shared" ca="1" si="263"/>
        <v>0</v>
      </c>
      <c r="V630" s="306">
        <f t="shared" ca="1" si="264"/>
        <v>1.0155253882818582</v>
      </c>
      <c r="W630" s="304">
        <f t="shared" ca="1" si="265"/>
        <v>18.156371388490243</v>
      </c>
      <c r="Y630" s="314" t="str">
        <f t="shared" ca="1" si="283"/>
        <v/>
      </c>
      <c r="Z630" s="315" t="str">
        <f t="shared" ca="1" si="284"/>
        <v/>
      </c>
      <c r="AA630" s="316" t="str">
        <f t="shared" ca="1" si="285"/>
        <v/>
      </c>
      <c r="AC630" s="310" t="e">
        <f t="shared" ca="1" si="286"/>
        <v>#N/A</v>
      </c>
      <c r="AD630" s="323" t="e">
        <f t="shared" ca="1" si="287"/>
        <v>#N/A</v>
      </c>
      <c r="AE630" s="324" t="e">
        <f t="shared" ca="1" si="266"/>
        <v>#N/A</v>
      </c>
      <c r="AG630" s="306">
        <f t="shared" ca="1" si="288"/>
        <v>6.02511804980435</v>
      </c>
      <c r="AH630" s="304">
        <f t="shared" ca="1" si="289"/>
        <v>-3.5131414398089191</v>
      </c>
    </row>
    <row r="631" spans="1:34" x14ac:dyDescent="0.2">
      <c r="A631" s="347">
        <f t="shared" ca="1" si="267"/>
        <v>0.1</v>
      </c>
      <c r="B631" s="304">
        <f t="shared" ca="1" si="268"/>
        <v>26.700000000000067</v>
      </c>
      <c r="D631" s="306">
        <f t="shared" ca="1" si="269"/>
        <v>-0.82446706085725197</v>
      </c>
      <c r="E631" s="307">
        <f t="shared" ca="1" si="270"/>
        <v>-6.3344725525858792</v>
      </c>
      <c r="F631" s="304">
        <f t="shared" ca="1" si="271"/>
        <v>6.38790172544181</v>
      </c>
      <c r="G631" s="306">
        <f t="shared" ca="1" si="272"/>
        <v>17.530490160142868</v>
      </c>
      <c r="H631" s="307">
        <f t="shared" ca="1" si="273"/>
        <v>-74.880495335628353</v>
      </c>
      <c r="I631" s="304">
        <f t="shared" ca="1" si="274"/>
        <v>76.905179714788559</v>
      </c>
      <c r="J631" s="306">
        <f t="shared" ca="1" si="275"/>
        <v>789.0096237761777</v>
      </c>
      <c r="K631" s="307">
        <f t="shared" ca="1" si="276"/>
        <v>1862.4140810146964</v>
      </c>
      <c r="L631" s="304">
        <f t="shared" ca="1" si="261"/>
        <v>2022.6523170266416</v>
      </c>
      <c r="M631" s="306">
        <f t="shared" ca="1" si="277"/>
        <v>-1.3408252030137653</v>
      </c>
      <c r="N631" s="304">
        <f t="shared" ca="1" si="278"/>
        <v>-76.823625197460544</v>
      </c>
      <c r="P631" s="310">
        <f t="shared" ca="1" si="279"/>
        <v>23</v>
      </c>
      <c r="Q631" s="304">
        <f t="shared" ca="1" si="280"/>
        <v>0</v>
      </c>
      <c r="R631" s="306">
        <f t="shared" ca="1" si="281"/>
        <v>0</v>
      </c>
      <c r="S631" s="307">
        <f t="shared" ca="1" si="282"/>
        <v>5.0829999999999913</v>
      </c>
      <c r="T631" s="304">
        <f t="shared" ca="1" si="262"/>
        <v>49.864229999999914</v>
      </c>
      <c r="U631" s="311">
        <f t="shared" ca="1" si="263"/>
        <v>0</v>
      </c>
      <c r="V631" s="306">
        <f t="shared" ca="1" si="264"/>
        <v>1.0162895400490819</v>
      </c>
      <c r="W631" s="304">
        <f t="shared" ca="1" si="265"/>
        <v>18.455766075841204</v>
      </c>
      <c r="Y631" s="314" t="str">
        <f t="shared" ca="1" si="283"/>
        <v/>
      </c>
      <c r="Z631" s="315" t="str">
        <f t="shared" ca="1" si="284"/>
        <v/>
      </c>
      <c r="AA631" s="316" t="str">
        <f t="shared" ca="1" si="285"/>
        <v/>
      </c>
      <c r="AC631" s="310" t="e">
        <f t="shared" ca="1" si="286"/>
        <v>#N/A</v>
      </c>
      <c r="AD631" s="323" t="e">
        <f t="shared" ca="1" si="287"/>
        <v>#N/A</v>
      </c>
      <c r="AE631" s="324" t="e">
        <f t="shared" ca="1" si="266"/>
        <v>#N/A</v>
      </c>
      <c r="AG631" s="306">
        <f t="shared" ca="1" si="288"/>
        <v>5.9731271606612015</v>
      </c>
      <c r="AH631" s="304">
        <f t="shared" ca="1" si="289"/>
        <v>-3.5719794193370595</v>
      </c>
    </row>
    <row r="632" spans="1:34" x14ac:dyDescent="0.2">
      <c r="A632" s="347">
        <f t="shared" ca="1" si="267"/>
        <v>0.1</v>
      </c>
      <c r="B632" s="304">
        <f t="shared" ca="1" si="268"/>
        <v>26.800000000000068</v>
      </c>
      <c r="D632" s="306">
        <f t="shared" ca="1" si="269"/>
        <v>-0.82765708134184557</v>
      </c>
      <c r="E632" s="307">
        <f t="shared" ca="1" si="270"/>
        <v>-6.2747096770959461</v>
      </c>
      <c r="F632" s="304">
        <f t="shared" ca="1" si="271"/>
        <v>6.3290597861085827</v>
      </c>
      <c r="G632" s="306">
        <f t="shared" ca="1" si="272"/>
        <v>17.447724452008682</v>
      </c>
      <c r="H632" s="307">
        <f t="shared" ca="1" si="273"/>
        <v>-75.507966303337952</v>
      </c>
      <c r="I632" s="304">
        <f t="shared" ca="1" si="274"/>
        <v>77.497587470960937</v>
      </c>
      <c r="J632" s="306">
        <f t="shared" ca="1" si="275"/>
        <v>790.75853450678528</v>
      </c>
      <c r="K632" s="307">
        <f t="shared" ca="1" si="276"/>
        <v>1854.894657932748</v>
      </c>
      <c r="L632" s="304">
        <f t="shared" ca="1" si="261"/>
        <v>2016.4159421911852</v>
      </c>
      <c r="M632" s="306">
        <f t="shared" ca="1" si="277"/>
        <v>-1.3437106951497031</v>
      </c>
      <c r="N632" s="304">
        <f t="shared" ca="1" si="278"/>
        <v>-76.988951718667963</v>
      </c>
      <c r="P632" s="310">
        <f t="shared" ca="1" si="279"/>
        <v>23</v>
      </c>
      <c r="Q632" s="304">
        <f t="shared" ca="1" si="280"/>
        <v>0</v>
      </c>
      <c r="R632" s="306">
        <f t="shared" ca="1" si="281"/>
        <v>0</v>
      </c>
      <c r="S632" s="307">
        <f t="shared" ca="1" si="282"/>
        <v>5.0829999999999913</v>
      </c>
      <c r="T632" s="304">
        <f t="shared" ca="1" si="262"/>
        <v>49.864229999999914</v>
      </c>
      <c r="U632" s="311">
        <f t="shared" ca="1" si="263"/>
        <v>0</v>
      </c>
      <c r="V632" s="306">
        <f t="shared" ca="1" si="264"/>
        <v>1.017060681002381</v>
      </c>
      <c r="W632" s="304">
        <f t="shared" ca="1" si="265"/>
        <v>18.755414622282093</v>
      </c>
      <c r="Y632" s="314" t="str">
        <f t="shared" ca="1" si="283"/>
        <v/>
      </c>
      <c r="Z632" s="315" t="str">
        <f t="shared" ca="1" si="284"/>
        <v/>
      </c>
      <c r="AA632" s="316" t="str">
        <f t="shared" ca="1" si="285"/>
        <v/>
      </c>
      <c r="AC632" s="310" t="e">
        <f t="shared" ca="1" si="286"/>
        <v>#N/A</v>
      </c>
      <c r="AD632" s="323" t="e">
        <f t="shared" ca="1" si="287"/>
        <v>#N/A</v>
      </c>
      <c r="AE632" s="324" t="e">
        <f t="shared" ca="1" si="266"/>
        <v>#N/A</v>
      </c>
      <c r="AG632" s="306">
        <f t="shared" ca="1" si="288"/>
        <v>5.9208513142608066</v>
      </c>
      <c r="AH632" s="304">
        <f t="shared" ca="1" si="289"/>
        <v>-3.6308805972538334</v>
      </c>
    </row>
    <row r="633" spans="1:34" x14ac:dyDescent="0.2">
      <c r="A633" s="347">
        <f t="shared" ca="1" si="267"/>
        <v>0.1</v>
      </c>
      <c r="B633" s="304">
        <f t="shared" ca="1" si="268"/>
        <v>26.90000000000007</v>
      </c>
      <c r="D633" s="306">
        <f t="shared" ca="1" si="269"/>
        <v>-0.83072479014909661</v>
      </c>
      <c r="E633" s="307">
        <f t="shared" ca="1" si="270"/>
        <v>-6.2148985508420242</v>
      </c>
      <c r="F633" s="304">
        <f t="shared" ca="1" si="271"/>
        <v>6.2701728584008398</v>
      </c>
      <c r="G633" s="306">
        <f t="shared" ca="1" si="272"/>
        <v>17.364651972993773</v>
      </c>
      <c r="H633" s="307">
        <f t="shared" ca="1" si="273"/>
        <v>-76.129456158422158</v>
      </c>
      <c r="I633" s="304">
        <f t="shared" ca="1" si="274"/>
        <v>78.084731113837606</v>
      </c>
      <c r="J633" s="306">
        <f t="shared" ca="1" si="275"/>
        <v>792.49915332803539</v>
      </c>
      <c r="K633" s="307">
        <f t="shared" ca="1" si="276"/>
        <v>1847.3127868096601</v>
      </c>
      <c r="L633" s="304">
        <f t="shared" ca="1" si="261"/>
        <v>2010.1292098609297</v>
      </c>
      <c r="M633" s="306">
        <f t="shared" ca="1" si="277"/>
        <v>-1.3465391814414303</v>
      </c>
      <c r="N633" s="304">
        <f t="shared" ca="1" si="278"/>
        <v>-77.151012045594541</v>
      </c>
      <c r="P633" s="310">
        <f t="shared" ca="1" si="279"/>
        <v>23</v>
      </c>
      <c r="Q633" s="304">
        <f t="shared" ca="1" si="280"/>
        <v>0</v>
      </c>
      <c r="R633" s="306">
        <f t="shared" ca="1" si="281"/>
        <v>0</v>
      </c>
      <c r="S633" s="307">
        <f t="shared" ca="1" si="282"/>
        <v>5.0829999999999913</v>
      </c>
      <c r="T633" s="304">
        <f t="shared" ca="1" si="262"/>
        <v>49.864229999999914</v>
      </c>
      <c r="U633" s="311">
        <f t="shared" ca="1" si="263"/>
        <v>0</v>
      </c>
      <c r="V633" s="306">
        <f t="shared" ca="1" si="264"/>
        <v>1.0178387636571857</v>
      </c>
      <c r="W633" s="304">
        <f t="shared" ca="1" si="265"/>
        <v>19.055250544410342</v>
      </c>
      <c r="Y633" s="314" t="str">
        <f t="shared" ca="1" si="283"/>
        <v/>
      </c>
      <c r="Z633" s="315" t="str">
        <f t="shared" ca="1" si="284"/>
        <v/>
      </c>
      <c r="AA633" s="316" t="str">
        <f t="shared" ca="1" si="285"/>
        <v/>
      </c>
      <c r="AC633" s="310" t="e">
        <f t="shared" ca="1" si="286"/>
        <v>#N/A</v>
      </c>
      <c r="AD633" s="323" t="e">
        <f t="shared" ca="1" si="287"/>
        <v>#N/A</v>
      </c>
      <c r="AE633" s="324" t="e">
        <f t="shared" ca="1" si="266"/>
        <v>#N/A</v>
      </c>
      <c r="AG633" s="306">
        <f t="shared" ca="1" si="288"/>
        <v>5.8683129109287364</v>
      </c>
      <c r="AH633" s="304">
        <f t="shared" ca="1" si="289"/>
        <v>-3.6898317179386435</v>
      </c>
    </row>
    <row r="634" spans="1:34" x14ac:dyDescent="0.2">
      <c r="A634" s="347">
        <f t="shared" ca="1" si="267"/>
        <v>0.1</v>
      </c>
      <c r="B634" s="304">
        <f t="shared" ca="1" si="268"/>
        <v>27.000000000000071</v>
      </c>
      <c r="D634" s="306">
        <f t="shared" ca="1" si="269"/>
        <v>-0.83367066138584967</v>
      </c>
      <c r="E634" s="307">
        <f t="shared" ca="1" si="270"/>
        <v>-6.1550523416626381</v>
      </c>
      <c r="F634" s="304">
        <f t="shared" ca="1" si="271"/>
        <v>6.211253987743719</v>
      </c>
      <c r="G634" s="306">
        <f t="shared" ca="1" si="272"/>
        <v>17.281284906855188</v>
      </c>
      <c r="H634" s="307">
        <f t="shared" ca="1" si="273"/>
        <v>-76.744961392588422</v>
      </c>
      <c r="I634" s="304">
        <f t="shared" ca="1" si="274"/>
        <v>78.666586980634847</v>
      </c>
      <c r="J634" s="306">
        <f t="shared" ca="1" si="275"/>
        <v>794.23145017202785</v>
      </c>
      <c r="K634" s="307">
        <f t="shared" ca="1" si="276"/>
        <v>1839.6690659321096</v>
      </c>
      <c r="L634" s="304">
        <f t="shared" ca="1" si="261"/>
        <v>2003.792870680471</v>
      </c>
      <c r="M634" s="306">
        <f t="shared" ca="1" si="277"/>
        <v>-1.3493123688526367</v>
      </c>
      <c r="N634" s="304">
        <f t="shared" ca="1" si="278"/>
        <v>-77.309903980055481</v>
      </c>
      <c r="P634" s="310">
        <f t="shared" ca="1" si="279"/>
        <v>23</v>
      </c>
      <c r="Q634" s="304">
        <f t="shared" ca="1" si="280"/>
        <v>0</v>
      </c>
      <c r="R634" s="306">
        <f t="shared" ca="1" si="281"/>
        <v>0</v>
      </c>
      <c r="S634" s="307">
        <f t="shared" ca="1" si="282"/>
        <v>5.0829999999999913</v>
      </c>
      <c r="T634" s="304">
        <f t="shared" ca="1" si="262"/>
        <v>49.864229999999914</v>
      </c>
      <c r="U634" s="311">
        <f t="shared" ca="1" si="263"/>
        <v>0</v>
      </c>
      <c r="V634" s="306">
        <f t="shared" ca="1" si="264"/>
        <v>1.0186237404547274</v>
      </c>
      <c r="W634" s="304">
        <f t="shared" ca="1" si="265"/>
        <v>19.355208272574526</v>
      </c>
      <c r="Y634" s="314" t="str">
        <f t="shared" ca="1" si="283"/>
        <v/>
      </c>
      <c r="Z634" s="315" t="str">
        <f t="shared" ca="1" si="284"/>
        <v/>
      </c>
      <c r="AA634" s="316" t="str">
        <f t="shared" ca="1" si="285"/>
        <v/>
      </c>
      <c r="AC634" s="310">
        <f t="shared" ca="1" si="286"/>
        <v>27.000000000000071</v>
      </c>
      <c r="AD634" s="323">
        <f t="shared" ca="1" si="287"/>
        <v>794.23145017202785</v>
      </c>
      <c r="AE634" s="324" t="e">
        <f t="shared" ca="1" si="266"/>
        <v>#N/A</v>
      </c>
      <c r="AG634" s="306">
        <f t="shared" ca="1" si="288"/>
        <v>5.8155337160643121</v>
      </c>
      <c r="AH634" s="304">
        <f t="shared" ca="1" si="289"/>
        <v>-3.7488197018316693</v>
      </c>
    </row>
    <row r="635" spans="1:34" x14ac:dyDescent="0.2">
      <c r="A635" s="347">
        <f t="shared" ca="1" si="267"/>
        <v>0.1</v>
      </c>
      <c r="B635" s="304">
        <f t="shared" ca="1" si="268"/>
        <v>27.100000000000072</v>
      </c>
      <c r="D635" s="306">
        <f t="shared" ca="1" si="269"/>
        <v>-0.83649521520888726</v>
      </c>
      <c r="E635" s="307">
        <f t="shared" ca="1" si="270"/>
        <v>-6.0951840391321133</v>
      </c>
      <c r="F635" s="304">
        <f t="shared" ca="1" si="271"/>
        <v>6.1523160448694627</v>
      </c>
      <c r="G635" s="306">
        <f t="shared" ca="1" si="272"/>
        <v>17.197635385334298</v>
      </c>
      <c r="H635" s="307">
        <f t="shared" ca="1" si="273"/>
        <v>-77.354479796501636</v>
      </c>
      <c r="I635" s="304">
        <f t="shared" ca="1" si="274"/>
        <v>79.243133503378587</v>
      </c>
      <c r="J635" s="306">
        <f t="shared" ca="1" si="275"/>
        <v>795.95539618663736</v>
      </c>
      <c r="K635" s="307">
        <f t="shared" ca="1" si="276"/>
        <v>1831.964093872655</v>
      </c>
      <c r="L635" s="304">
        <f t="shared" ca="1" si="261"/>
        <v>1997.407678456575</v>
      </c>
      <c r="M635" s="306">
        <f t="shared" ca="1" si="277"/>
        <v>-1.3520318974131365</v>
      </c>
      <c r="N635" s="304">
        <f t="shared" ca="1" si="278"/>
        <v>-77.465721488837403</v>
      </c>
      <c r="P635" s="310">
        <f t="shared" ca="1" si="279"/>
        <v>23</v>
      </c>
      <c r="Q635" s="304">
        <f t="shared" ca="1" si="280"/>
        <v>0</v>
      </c>
      <c r="R635" s="306">
        <f t="shared" ca="1" si="281"/>
        <v>0</v>
      </c>
      <c r="S635" s="307">
        <f t="shared" ca="1" si="282"/>
        <v>5.0829999999999913</v>
      </c>
      <c r="T635" s="304">
        <f t="shared" ca="1" si="262"/>
        <v>49.864229999999914</v>
      </c>
      <c r="U635" s="311">
        <f t="shared" ca="1" si="263"/>
        <v>0</v>
      </c>
      <c r="V635" s="306">
        <f t="shared" ca="1" si="264"/>
        <v>1.0194155637720341</v>
      </c>
      <c r="W635" s="304">
        <f t="shared" ca="1" si="265"/>
        <v>19.655223168700385</v>
      </c>
      <c r="Y635" s="314" t="str">
        <f t="shared" ca="1" si="283"/>
        <v/>
      </c>
      <c r="Z635" s="315" t="str">
        <f t="shared" ca="1" si="284"/>
        <v/>
      </c>
      <c r="AA635" s="316" t="str">
        <f t="shared" ca="1" si="285"/>
        <v/>
      </c>
      <c r="AC635" s="310" t="e">
        <f t="shared" ca="1" si="286"/>
        <v>#N/A</v>
      </c>
      <c r="AD635" s="323" t="e">
        <f t="shared" ca="1" si="287"/>
        <v>#N/A</v>
      </c>
      <c r="AE635" s="324" t="e">
        <f t="shared" ca="1" si="266"/>
        <v>#N/A</v>
      </c>
      <c r="AG635" s="306">
        <f t="shared" ca="1" si="288"/>
        <v>5.762534883307719</v>
      </c>
      <c r="AH635" s="304">
        <f t="shared" ca="1" si="289"/>
        <v>-3.8078316491392012</v>
      </c>
    </row>
    <row r="636" spans="1:34" x14ac:dyDescent="0.2">
      <c r="A636" s="347">
        <f t="shared" ca="1" si="267"/>
        <v>0.1</v>
      </c>
      <c r="B636" s="304">
        <f t="shared" ca="1" si="268"/>
        <v>27.200000000000074</v>
      </c>
      <c r="D636" s="306">
        <f t="shared" ca="1" si="269"/>
        <v>-0.83919901629017213</v>
      </c>
      <c r="E636" s="307">
        <f t="shared" ca="1" si="270"/>
        <v>-6.0353064507798138</v>
      </c>
      <c r="F636" s="304">
        <f t="shared" ca="1" si="271"/>
        <v>6.0933717221064745</v>
      </c>
      <c r="G636" s="306">
        <f t="shared" ca="1" si="272"/>
        <v>17.113715483705281</v>
      </c>
      <c r="H636" s="307">
        <f t="shared" ca="1" si="273"/>
        <v>-77.958010441579617</v>
      </c>
      <c r="I636" s="304">
        <f t="shared" ca="1" si="274"/>
        <v>79.814351151072145</v>
      </c>
      <c r="J636" s="306">
        <f t="shared" ca="1" si="275"/>
        <v>797.67096373008928</v>
      </c>
      <c r="K636" s="307">
        <f t="shared" ca="1" si="276"/>
        <v>1824.198469360751</v>
      </c>
      <c r="L636" s="304">
        <f t="shared" ca="1" si="261"/>
        <v>1990.9743900904894</v>
      </c>
      <c r="M636" s="306">
        <f t="shared" ca="1" si="277"/>
        <v>-1.3546993433841001</v>
      </c>
      <c r="N636" s="304">
        <f t="shared" ca="1" si="278"/>
        <v>-77.618554885052802</v>
      </c>
      <c r="P636" s="310">
        <f t="shared" ca="1" si="279"/>
        <v>23</v>
      </c>
      <c r="Q636" s="304">
        <f t="shared" ca="1" si="280"/>
        <v>0</v>
      </c>
      <c r="R636" s="306">
        <f t="shared" ca="1" si="281"/>
        <v>0</v>
      </c>
      <c r="S636" s="307">
        <f t="shared" ca="1" si="282"/>
        <v>5.0829999999999913</v>
      </c>
      <c r="T636" s="304">
        <f t="shared" ca="1" si="262"/>
        <v>49.864229999999914</v>
      </c>
      <c r="U636" s="311">
        <f t="shared" ca="1" si="263"/>
        <v>0</v>
      </c>
      <c r="V636" s="306">
        <f t="shared" ca="1" si="264"/>
        <v>1.0202141859318077</v>
      </c>
      <c r="W636" s="304">
        <f t="shared" ca="1" si="265"/>
        <v>19.95523154311363</v>
      </c>
      <c r="Y636" s="314" t="str">
        <f t="shared" ca="1" si="283"/>
        <v/>
      </c>
      <c r="Z636" s="315" t="str">
        <f t="shared" ca="1" si="284"/>
        <v/>
      </c>
      <c r="AA636" s="316" t="str">
        <f t="shared" ca="1" si="285"/>
        <v/>
      </c>
      <c r="AC636" s="310" t="e">
        <f t="shared" ca="1" si="286"/>
        <v>#N/A</v>
      </c>
      <c r="AD636" s="323" t="e">
        <f t="shared" ca="1" si="287"/>
        <v>#N/A</v>
      </c>
      <c r="AE636" s="324" t="e">
        <f t="shared" ca="1" si="266"/>
        <v>#N/A</v>
      </c>
      <c r="AG636" s="306">
        <f t="shared" ca="1" si="288"/>
        <v>5.709336976122529</v>
      </c>
      <c r="AH636" s="304">
        <f t="shared" ca="1" si="289"/>
        <v>-3.8668548433406293</v>
      </c>
    </row>
    <row r="637" spans="1:34" x14ac:dyDescent="0.2">
      <c r="A637" s="347">
        <f t="shared" ca="1" si="267"/>
        <v>0.1</v>
      </c>
      <c r="B637" s="304">
        <f t="shared" ca="1" si="268"/>
        <v>27.300000000000075</v>
      </c>
      <c r="D637" s="306">
        <f t="shared" ca="1" si="269"/>
        <v>-0.84178267230917247</v>
      </c>
      <c r="E637" s="307">
        <f t="shared" ca="1" si="270"/>
        <v>-5.9754321985250689</v>
      </c>
      <c r="F637" s="304">
        <f t="shared" ca="1" si="271"/>
        <v>6.0344335298824952</v>
      </c>
      <c r="G637" s="306">
        <f t="shared" ca="1" si="272"/>
        <v>17.029537216474363</v>
      </c>
      <c r="H637" s="307">
        <f t="shared" ca="1" si="273"/>
        <v>-78.555553661432128</v>
      </c>
      <c r="I637" s="304">
        <f t="shared" ca="1" si="274"/>
        <v>80.380222373799313</v>
      </c>
      <c r="J637" s="306">
        <f t="shared" ca="1" si="275"/>
        <v>799.3781263650983</v>
      </c>
      <c r="K637" s="307">
        <f t="shared" ca="1" si="276"/>
        <v>1816.3727911556005</v>
      </c>
      <c r="L637" s="304">
        <f t="shared" ca="1" si="261"/>
        <v>1984.4937655133517</v>
      </c>
      <c r="M637" s="306">
        <f t="shared" ca="1" si="277"/>
        <v>-1.3573162222502333</v>
      </c>
      <c r="N637" s="304">
        <f t="shared" ca="1" si="278"/>
        <v>-77.768490999579214</v>
      </c>
      <c r="P637" s="310">
        <f t="shared" ca="1" si="279"/>
        <v>23</v>
      </c>
      <c r="Q637" s="304">
        <f t="shared" ca="1" si="280"/>
        <v>0</v>
      </c>
      <c r="R637" s="306">
        <f t="shared" ca="1" si="281"/>
        <v>0</v>
      </c>
      <c r="S637" s="307">
        <f t="shared" ca="1" si="282"/>
        <v>5.0829999999999913</v>
      </c>
      <c r="T637" s="304">
        <f t="shared" ca="1" si="262"/>
        <v>49.864229999999914</v>
      </c>
      <c r="U637" s="311">
        <f t="shared" ca="1" si="263"/>
        <v>0</v>
      </c>
      <c r="V637" s="306">
        <f t="shared" ca="1" si="264"/>
        <v>1.0210195592121847</v>
      </c>
      <c r="W637" s="304">
        <f t="shared" ca="1" si="265"/>
        <v>20.25517067036612</v>
      </c>
      <c r="Y637" s="314" t="str">
        <f t="shared" ca="1" si="283"/>
        <v/>
      </c>
      <c r="Z637" s="315" t="str">
        <f t="shared" ca="1" si="284"/>
        <v/>
      </c>
      <c r="AA637" s="316" t="str">
        <f t="shared" ca="1" si="285"/>
        <v/>
      </c>
      <c r="AC637" s="310" t="e">
        <f t="shared" ca="1" si="286"/>
        <v>#N/A</v>
      </c>
      <c r="AD637" s="323" t="e">
        <f t="shared" ca="1" si="287"/>
        <v>#N/A</v>
      </c>
      <c r="AE637" s="324" t="e">
        <f t="shared" ca="1" si="266"/>
        <v>#N/A</v>
      </c>
      <c r="AG637" s="306">
        <f t="shared" ca="1" si="288"/>
        <v>5.655959987923703</v>
      </c>
      <c r="AH637" s="304">
        <f t="shared" ca="1" si="289"/>
        <v>-3.9258767544980651</v>
      </c>
    </row>
    <row r="638" spans="1:34" x14ac:dyDescent="0.2">
      <c r="A638" s="347">
        <f t="shared" ca="1" si="267"/>
        <v>0.1</v>
      </c>
      <c r="B638" s="304">
        <f t="shared" ca="1" si="268"/>
        <v>27.400000000000077</v>
      </c>
      <c r="D638" s="306">
        <f t="shared" ca="1" si="269"/>
        <v>-0.8442468324711917</v>
      </c>
      <c r="E638" s="307">
        <f t="shared" ca="1" si="270"/>
        <v>-5.9155737153252419</v>
      </c>
      <c r="F638" s="304">
        <f t="shared" ca="1" si="271"/>
        <v>5.9755137934393998</v>
      </c>
      <c r="G638" s="306">
        <f t="shared" ca="1" si="272"/>
        <v>16.945112533227245</v>
      </c>
      <c r="H638" s="307">
        <f t="shared" ca="1" si="273"/>
        <v>-79.147111032964659</v>
      </c>
      <c r="I638" s="304">
        <f t="shared" ca="1" si="274"/>
        <v>80.940731548634844</v>
      </c>
      <c r="J638" s="306">
        <f t="shared" ca="1" si="275"/>
        <v>801.07685885258343</v>
      </c>
      <c r="K638" s="307">
        <f t="shared" ca="1" si="276"/>
        <v>1808.4876579208806</v>
      </c>
      <c r="L638" s="304">
        <f t="shared" ca="1" si="261"/>
        <v>1977.9665676247598</v>
      </c>
      <c r="M638" s="306">
        <f t="shared" ca="1" si="277"/>
        <v>-1.359883991549498</v>
      </c>
      <c r="N638" s="304">
        <f t="shared" ca="1" si="278"/>
        <v>-77.915613343190344</v>
      </c>
      <c r="P638" s="310">
        <f t="shared" ca="1" si="279"/>
        <v>23</v>
      </c>
      <c r="Q638" s="304">
        <f t="shared" ca="1" si="280"/>
        <v>0</v>
      </c>
      <c r="R638" s="306">
        <f t="shared" ca="1" si="281"/>
        <v>0</v>
      </c>
      <c r="S638" s="307">
        <f t="shared" ca="1" si="282"/>
        <v>5.0829999999999913</v>
      </c>
      <c r="T638" s="304">
        <f t="shared" ca="1" si="262"/>
        <v>49.864229999999914</v>
      </c>
      <c r="U638" s="311">
        <f t="shared" ca="1" si="263"/>
        <v>0</v>
      </c>
      <c r="V638" s="306">
        <f t="shared" ca="1" si="264"/>
        <v>1.0218316358563782</v>
      </c>
      <c r="W638" s="304">
        <f t="shared" ca="1" si="265"/>
        <v>20.554978804073034</v>
      </c>
      <c r="Y638" s="314" t="str">
        <f t="shared" ca="1" si="283"/>
        <v/>
      </c>
      <c r="Z638" s="315" t="str">
        <f t="shared" ca="1" si="284"/>
        <v/>
      </c>
      <c r="AA638" s="316" t="str">
        <f t="shared" ca="1" si="285"/>
        <v/>
      </c>
      <c r="AC638" s="310" t="e">
        <f t="shared" ca="1" si="286"/>
        <v>#N/A</v>
      </c>
      <c r="AD638" s="323" t="e">
        <f t="shared" ca="1" si="287"/>
        <v>#N/A</v>
      </c>
      <c r="AE638" s="324" t="e">
        <f t="shared" ca="1" si="266"/>
        <v>#N/A</v>
      </c>
      <c r="AG638" s="306">
        <f t="shared" ca="1" si="288"/>
        <v>5.6024233608703966</v>
      </c>
      <c r="AH638" s="304">
        <f t="shared" ca="1" si="289"/>
        <v>-3.9848850423698905</v>
      </c>
    </row>
    <row r="639" spans="1:34" x14ac:dyDescent="0.2">
      <c r="A639" s="347">
        <f t="shared" ca="1" si="267"/>
        <v>0.1</v>
      </c>
      <c r="B639" s="304">
        <f t="shared" ca="1" si="268"/>
        <v>27.500000000000078</v>
      </c>
      <c r="D639" s="306">
        <f t="shared" ca="1" si="269"/>
        <v>-0.84659218605079678</v>
      </c>
      <c r="E639" s="307">
        <f t="shared" ca="1" si="270"/>
        <v>-5.8557432420343263</v>
      </c>
      <c r="F639" s="304">
        <f t="shared" ca="1" si="271"/>
        <v>5.9166246497570683</v>
      </c>
      <c r="G639" s="306">
        <f t="shared" ca="1" si="272"/>
        <v>16.860453314622166</v>
      </c>
      <c r="H639" s="307">
        <f t="shared" ca="1" si="273"/>
        <v>-79.732685357168094</v>
      </c>
      <c r="I639" s="304">
        <f t="shared" ca="1" si="274"/>
        <v>81.495864927244753</v>
      </c>
      <c r="J639" s="306">
        <f t="shared" ca="1" si="275"/>
        <v>802.76713714497589</v>
      </c>
      <c r="K639" s="307">
        <f t="shared" ca="1" si="276"/>
        <v>1800.5436681013739</v>
      </c>
      <c r="L639" s="304">
        <f t="shared" ca="1" si="261"/>
        <v>1971.3935622345659</v>
      </c>
      <c r="M639" s="306">
        <f t="shared" ca="1" si="277"/>
        <v>-1.3624040535502786</v>
      </c>
      <c r="N639" s="304">
        <f t="shared" ca="1" si="278"/>
        <v>-78.060002259946359</v>
      </c>
      <c r="P639" s="310">
        <f t="shared" ca="1" si="279"/>
        <v>23</v>
      </c>
      <c r="Q639" s="304">
        <f t="shared" ca="1" si="280"/>
        <v>0</v>
      </c>
      <c r="R639" s="306">
        <f t="shared" ca="1" si="281"/>
        <v>0</v>
      </c>
      <c r="S639" s="307">
        <f t="shared" ca="1" si="282"/>
        <v>5.0829999999999913</v>
      </c>
      <c r="T639" s="304">
        <f t="shared" ca="1" si="262"/>
        <v>49.864229999999914</v>
      </c>
      <c r="U639" s="311">
        <f t="shared" ca="1" si="263"/>
        <v>0</v>
      </c>
      <c r="V639" s="306">
        <f t="shared" ca="1" si="264"/>
        <v>1.0226503680821941</v>
      </c>
      <c r="W639" s="304">
        <f t="shared" ca="1" si="265"/>
        <v>20.854595190769153</v>
      </c>
      <c r="Y639" s="314" t="str">
        <f t="shared" ca="1" si="283"/>
        <v/>
      </c>
      <c r="Z639" s="315" t="str">
        <f t="shared" ca="1" si="284"/>
        <v/>
      </c>
      <c r="AA639" s="316" t="str">
        <f t="shared" ca="1" si="285"/>
        <v/>
      </c>
      <c r="AC639" s="310" t="e">
        <f t="shared" ca="1" si="286"/>
        <v>#N/A</v>
      </c>
      <c r="AD639" s="323" t="e">
        <f t="shared" ca="1" si="287"/>
        <v>#N/A</v>
      </c>
      <c r="AE639" s="324" t="e">
        <f t="shared" ca="1" si="266"/>
        <v>#N/A</v>
      </c>
      <c r="AG639" s="306">
        <f t="shared" ca="1" si="288"/>
        <v>5.5487460034331324</v>
      </c>
      <c r="AH639" s="304">
        <f t="shared" ca="1" si="289"/>
        <v>-4.0438675593297404</v>
      </c>
    </row>
    <row r="640" spans="1:34" x14ac:dyDescent="0.2">
      <c r="A640" s="347">
        <f t="shared" ca="1" si="267"/>
        <v>0.1</v>
      </c>
      <c r="B640" s="304">
        <f t="shared" ca="1" si="268"/>
        <v>27.60000000000008</v>
      </c>
      <c r="D640" s="306">
        <f t="shared" ca="1" si="269"/>
        <v>-0.84881946095948968</v>
      </c>
      <c r="E640" s="307">
        <f t="shared" ca="1" si="270"/>
        <v>-5.7959528244694392</v>
      </c>
      <c r="F640" s="304">
        <f t="shared" ca="1" si="271"/>
        <v>5.8577780446837373</v>
      </c>
      <c r="G640" s="306">
        <f t="shared" ca="1" si="272"/>
        <v>16.775571368526219</v>
      </c>
      <c r="H640" s="307">
        <f t="shared" ca="1" si="273"/>
        <v>-80.312280639615039</v>
      </c>
      <c r="I640" s="304">
        <f t="shared" ca="1" si="274"/>
        <v>82.045610585069099</v>
      </c>
      <c r="J640" s="306">
        <f t="shared" ca="1" si="275"/>
        <v>804.44893837913332</v>
      </c>
      <c r="K640" s="307">
        <f t="shared" ca="1" si="276"/>
        <v>1792.5414198015346</v>
      </c>
      <c r="L640" s="304">
        <f t="shared" ca="1" si="261"/>
        <v>1964.7755180079521</v>
      </c>
      <c r="M640" s="306">
        <f t="shared" ca="1" si="277"/>
        <v>-1.3648777577852258</v>
      </c>
      <c r="N640" s="304">
        <f t="shared" ca="1" si="278"/>
        <v>-78.201735072372472</v>
      </c>
      <c r="P640" s="310">
        <f t="shared" ca="1" si="279"/>
        <v>23</v>
      </c>
      <c r="Q640" s="304">
        <f t="shared" ca="1" si="280"/>
        <v>0</v>
      </c>
      <c r="R640" s="306">
        <f t="shared" ca="1" si="281"/>
        <v>0</v>
      </c>
      <c r="S640" s="307">
        <f t="shared" ca="1" si="282"/>
        <v>5.0829999999999913</v>
      </c>
      <c r="T640" s="304">
        <f t="shared" ca="1" si="262"/>
        <v>49.864229999999914</v>
      </c>
      <c r="U640" s="311">
        <f t="shared" ca="1" si="263"/>
        <v>0</v>
      </c>
      <c r="V640" s="306">
        <f t="shared" ca="1" si="264"/>
        <v>1.0234757080914267</v>
      </c>
      <c r="W640" s="304">
        <f t="shared" ca="1" si="265"/>
        <v>21.153960082794168</v>
      </c>
      <c r="Y640" s="314" t="str">
        <f t="shared" ca="1" si="283"/>
        <v/>
      </c>
      <c r="Z640" s="315" t="str">
        <f t="shared" ca="1" si="284"/>
        <v/>
      </c>
      <c r="AA640" s="316" t="str">
        <f t="shared" ca="1" si="285"/>
        <v/>
      </c>
      <c r="AC640" s="310" t="e">
        <f t="shared" ca="1" si="286"/>
        <v>#N/A</v>
      </c>
      <c r="AD640" s="323" t="e">
        <f t="shared" ca="1" si="287"/>
        <v>#N/A</v>
      </c>
      <c r="AE640" s="324" t="e">
        <f t="shared" ca="1" si="266"/>
        <v>#N/A</v>
      </c>
      <c r="AG640" s="306">
        <f t="shared" ca="1" si="288"/>
        <v>5.4949463068359039</v>
      </c>
      <c r="AH640" s="304">
        <f t="shared" ca="1" si="289"/>
        <v>-4.102812353092502</v>
      </c>
    </row>
    <row r="641" spans="1:34" x14ac:dyDescent="0.2">
      <c r="A641" s="347">
        <f t="shared" ca="1" si="267"/>
        <v>0.1</v>
      </c>
      <c r="B641" s="304">
        <f t="shared" ca="1" si="268"/>
        <v>27.700000000000081</v>
      </c>
      <c r="D641" s="306">
        <f t="shared" ca="1" si="269"/>
        <v>-0.85092942233694269</v>
      </c>
      <c r="E641" s="307">
        <f t="shared" ca="1" si="270"/>
        <v>-5.73621431068229</v>
      </c>
      <c r="F641" s="304">
        <f t="shared" ca="1" si="271"/>
        <v>5.7989857302699912</v>
      </c>
      <c r="G641" s="306">
        <f t="shared" ca="1" si="272"/>
        <v>16.690478426292525</v>
      </c>
      <c r="H641" s="307">
        <f t="shared" ca="1" si="273"/>
        <v>-80.885902070683272</v>
      </c>
      <c r="I641" s="304">
        <f t="shared" ca="1" si="274"/>
        <v>82.589958371987947</v>
      </c>
      <c r="J641" s="306">
        <f t="shared" ca="1" si="275"/>
        <v>806.12224086887431</v>
      </c>
      <c r="K641" s="307">
        <f t="shared" ca="1" si="276"/>
        <v>1784.4815106660196</v>
      </c>
      <c r="L641" s="304">
        <f t="shared" ca="1" si="261"/>
        <v>1958.1132064138515</v>
      </c>
      <c r="M641" s="306">
        <f t="shared" ca="1" si="277"/>
        <v>-1.3673064034504043</v>
      </c>
      <c r="N641" s="304">
        <f t="shared" ca="1" si="278"/>
        <v>-78.340886218919948</v>
      </c>
      <c r="P641" s="310">
        <f t="shared" ca="1" si="279"/>
        <v>23</v>
      </c>
      <c r="Q641" s="304">
        <f t="shared" ca="1" si="280"/>
        <v>0</v>
      </c>
      <c r="R641" s="306">
        <f t="shared" ca="1" si="281"/>
        <v>0</v>
      </c>
      <c r="S641" s="307">
        <f t="shared" ca="1" si="282"/>
        <v>5.0829999999999913</v>
      </c>
      <c r="T641" s="304">
        <f t="shared" ca="1" si="262"/>
        <v>49.864229999999914</v>
      </c>
      <c r="U641" s="311">
        <f t="shared" ca="1" si="263"/>
        <v>0</v>
      </c>
      <c r="V641" s="306">
        <f t="shared" ca="1" si="264"/>
        <v>1.02430760807912</v>
      </c>
      <c r="W641" s="304">
        <f t="shared" ca="1" si="265"/>
        <v>21.453014750216866</v>
      </c>
      <c r="Y641" s="314" t="str">
        <f t="shared" ca="1" si="283"/>
        <v/>
      </c>
      <c r="Z641" s="315" t="str">
        <f t="shared" ca="1" si="284"/>
        <v/>
      </c>
      <c r="AA641" s="316" t="str">
        <f t="shared" ca="1" si="285"/>
        <v/>
      </c>
      <c r="AC641" s="310" t="e">
        <f t="shared" ca="1" si="286"/>
        <v>#N/A</v>
      </c>
      <c r="AD641" s="323" t="e">
        <f t="shared" ca="1" si="287"/>
        <v>#N/A</v>
      </c>
      <c r="AE641" s="324" t="e">
        <f t="shared" ca="1" si="266"/>
        <v>#N/A</v>
      </c>
      <c r="AG641" s="306">
        <f t="shared" ca="1" si="288"/>
        <v>5.4410421604655523</v>
      </c>
      <c r="AH641" s="304">
        <f t="shared" ca="1" si="289"/>
        <v>-4.161707669249302</v>
      </c>
    </row>
    <row r="642" spans="1:34" x14ac:dyDescent="0.2">
      <c r="A642" s="347">
        <f t="shared" ca="1" si="267"/>
        <v>0.1</v>
      </c>
      <c r="B642" s="304">
        <f t="shared" ca="1" si="268"/>
        <v>27.800000000000082</v>
      </c>
      <c r="D642" s="306">
        <f t="shared" ca="1" si="269"/>
        <v>-0.85292287116515875</v>
      </c>
      <c r="E642" s="307">
        <f t="shared" ca="1" si="270"/>
        <v>-5.6765393484328204</v>
      </c>
      <c r="F642" s="304">
        <f t="shared" ca="1" si="271"/>
        <v>5.7402592623036401</v>
      </c>
      <c r="G642" s="306">
        <f t="shared" ca="1" si="272"/>
        <v>16.605186139176009</v>
      </c>
      <c r="H642" s="307">
        <f t="shared" ca="1" si="273"/>
        <v>-81.453556005526551</v>
      </c>
      <c r="I642" s="304">
        <f t="shared" ca="1" si="274"/>
        <v>83.128899864380102</v>
      </c>
      <c r="J642" s="306">
        <f t="shared" ca="1" si="275"/>
        <v>807.78702409714776</v>
      </c>
      <c r="K642" s="307">
        <f t="shared" ca="1" si="276"/>
        <v>1776.3645377622092</v>
      </c>
      <c r="L642" s="304">
        <f t="shared" ca="1" si="261"/>
        <v>1951.4074016767677</v>
      </c>
      <c r="M642" s="306">
        <f t="shared" ca="1" si="277"/>
        <v>-1.3696912416778</v>
      </c>
      <c r="N642" s="304">
        <f t="shared" ca="1" si="278"/>
        <v>-78.477527384171182</v>
      </c>
      <c r="P642" s="310">
        <f t="shared" ca="1" si="279"/>
        <v>23</v>
      </c>
      <c r="Q642" s="304">
        <f t="shared" ca="1" si="280"/>
        <v>0</v>
      </c>
      <c r="R642" s="306">
        <f t="shared" ca="1" si="281"/>
        <v>0</v>
      </c>
      <c r="S642" s="307">
        <f t="shared" ca="1" si="282"/>
        <v>5.0829999999999913</v>
      </c>
      <c r="T642" s="304">
        <f t="shared" ca="1" si="262"/>
        <v>49.864229999999914</v>
      </c>
      <c r="U642" s="311">
        <f t="shared" ca="1" si="263"/>
        <v>0</v>
      </c>
      <c r="V642" s="306">
        <f t="shared" ca="1" si="264"/>
        <v>1.0251460202427047</v>
      </c>
      <c r="W642" s="304">
        <f t="shared" ca="1" si="265"/>
        <v>21.751701491809833</v>
      </c>
      <c r="Y642" s="314" t="str">
        <f t="shared" ca="1" si="283"/>
        <v/>
      </c>
      <c r="Z642" s="315" t="str">
        <f t="shared" ca="1" si="284"/>
        <v/>
      </c>
      <c r="AA642" s="316" t="str">
        <f t="shared" ca="1" si="285"/>
        <v/>
      </c>
      <c r="AC642" s="310" t="e">
        <f t="shared" ca="1" si="286"/>
        <v>#N/A</v>
      </c>
      <c r="AD642" s="323" t="e">
        <f t="shared" ca="1" si="287"/>
        <v>#N/A</v>
      </c>
      <c r="AE642" s="324" t="e">
        <f t="shared" ca="1" si="266"/>
        <v>#N/A</v>
      </c>
      <c r="AG642" s="306">
        <f t="shared" ca="1" si="288"/>
        <v>5.3870509663332884</v>
      </c>
      <c r="AH642" s="304">
        <f t="shared" ca="1" si="289"/>
        <v>-4.2205419536133979</v>
      </c>
    </row>
    <row r="643" spans="1:34" x14ac:dyDescent="0.2">
      <c r="A643" s="347">
        <f t="shared" ca="1" si="267"/>
        <v>0.1</v>
      </c>
      <c r="B643" s="304">
        <f t="shared" ca="1" si="268"/>
        <v>27.900000000000084</v>
      </c>
      <c r="D643" s="306">
        <f t="shared" ca="1" si="269"/>
        <v>-0.85480064290504565</v>
      </c>
      <c r="E643" s="307">
        <f t="shared" ca="1" si="270"/>
        <v>-5.6169393828619096</v>
      </c>
      <c r="F643" s="304">
        <f t="shared" ca="1" si="271"/>
        <v>5.6816099980424575</v>
      </c>
      <c r="G643" s="306">
        <f t="shared" ca="1" si="272"/>
        <v>16.519706074885505</v>
      </c>
      <c r="H643" s="307">
        <f t="shared" ca="1" si="273"/>
        <v>-82.015249943812748</v>
      </c>
      <c r="I643" s="304">
        <f t="shared" ca="1" si="274"/>
        <v>83.662428318491237</v>
      </c>
      <c r="J643" s="306">
        <f t="shared" ca="1" si="275"/>
        <v>809.44326870785085</v>
      </c>
      <c r="K643" s="307">
        <f t="shared" ca="1" si="276"/>
        <v>1768.1910974647424</v>
      </c>
      <c r="L643" s="304">
        <f t="shared" ca="1" si="261"/>
        <v>1944.6588807320477</v>
      </c>
      <c r="M643" s="306">
        <f t="shared" ca="1" si="277"/>
        <v>-1.3720334776887169</v>
      </c>
      <c r="N643" s="304">
        <f t="shared" ca="1" si="278"/>
        <v>-78.611727622220272</v>
      </c>
      <c r="P643" s="310">
        <f t="shared" ca="1" si="279"/>
        <v>23</v>
      </c>
      <c r="Q643" s="304">
        <f t="shared" ca="1" si="280"/>
        <v>0</v>
      </c>
      <c r="R643" s="306">
        <f t="shared" ca="1" si="281"/>
        <v>0</v>
      </c>
      <c r="S643" s="307">
        <f t="shared" ca="1" si="282"/>
        <v>5.0829999999999913</v>
      </c>
      <c r="T643" s="304">
        <f t="shared" ca="1" si="262"/>
        <v>49.864229999999914</v>
      </c>
      <c r="U643" s="311">
        <f t="shared" ca="1" si="263"/>
        <v>0</v>
      </c>
      <c r="V643" s="306">
        <f t="shared" ca="1" si="264"/>
        <v>1.025990896790999</v>
      </c>
      <c r="W643" s="304">
        <f t="shared" ca="1" si="265"/>
        <v>22.049963645086468</v>
      </c>
      <c r="Y643" s="314" t="str">
        <f t="shared" ca="1" si="283"/>
        <v/>
      </c>
      <c r="Z643" s="315" t="str">
        <f t="shared" ca="1" si="284"/>
        <v/>
      </c>
      <c r="AA643" s="316" t="str">
        <f t="shared" ca="1" si="285"/>
        <v/>
      </c>
      <c r="AC643" s="310" t="e">
        <f t="shared" ca="1" si="286"/>
        <v>#N/A</v>
      </c>
      <c r="AD643" s="323" t="e">
        <f t="shared" ca="1" si="287"/>
        <v>#N/A</v>
      </c>
      <c r="AE643" s="324" t="e">
        <f t="shared" ca="1" si="266"/>
        <v>#N/A</v>
      </c>
      <c r="AG643" s="306">
        <f t="shared" ca="1" si="288"/>
        <v>5.3329896526662095</v>
      </c>
      <c r="AH643" s="304">
        <f t="shared" ca="1" si="289"/>
        <v>-4.2793038543792781</v>
      </c>
    </row>
    <row r="644" spans="1:34" x14ac:dyDescent="0.2">
      <c r="A644" s="347">
        <f t="shared" ca="1" si="267"/>
        <v>0.1</v>
      </c>
      <c r="B644" s="304">
        <f t="shared" ca="1" si="268"/>
        <v>28.000000000000085</v>
      </c>
      <c r="D644" s="306">
        <f t="shared" ca="1" si="269"/>
        <v>-0.85656360615493043</v>
      </c>
      <c r="E644" s="307">
        <f t="shared" ca="1" si="270"/>
        <v>-5.5574256543600686</v>
      </c>
      <c r="F644" s="304">
        <f t="shared" ca="1" si="271"/>
        <v>5.6230490941417699</v>
      </c>
      <c r="G644" s="306">
        <f t="shared" ca="1" si="272"/>
        <v>16.434049714270014</v>
      </c>
      <c r="H644" s="307">
        <f t="shared" ca="1" si="273"/>
        <v>-82.570992509248754</v>
      </c>
      <c r="I644" s="304">
        <f t="shared" ca="1" si="274"/>
        <v>84.190538625035003</v>
      </c>
      <c r="J644" s="306">
        <f t="shared" ca="1" si="275"/>
        <v>811.09095649730864</v>
      </c>
      <c r="K644" s="307">
        <f t="shared" ca="1" si="276"/>
        <v>1759.9617853420893</v>
      </c>
      <c r="L644" s="304">
        <f t="shared" ref="L644:L707" ca="1" si="290">SQRT(pos_x^2+pos_z^2)</f>
        <v>1937.8684231846685</v>
      </c>
      <c r="M644" s="306">
        <f t="shared" ca="1" si="277"/>
        <v>-1.3743342728350951</v>
      </c>
      <c r="N644" s="304">
        <f t="shared" ca="1" si="278"/>
        <v>-78.743553473631934</v>
      </c>
      <c r="P644" s="310">
        <f t="shared" ca="1" si="279"/>
        <v>23</v>
      </c>
      <c r="Q644" s="304">
        <f t="shared" ca="1" si="280"/>
        <v>0</v>
      </c>
      <c r="R644" s="306">
        <f t="shared" ca="1" si="281"/>
        <v>0</v>
      </c>
      <c r="S644" s="307">
        <f t="shared" ca="1" si="282"/>
        <v>5.0829999999999913</v>
      </c>
      <c r="T644" s="304">
        <f t="shared" ref="T644:T707" ca="1" si="291">m*g</f>
        <v>49.864229999999914</v>
      </c>
      <c r="U644" s="311">
        <f t="shared" ref="U644:U707" ca="1" si="292">IF(pos_xz&lt;L_rampe,Poids*COS(Beta),0)</f>
        <v>0</v>
      </c>
      <c r="V644" s="306">
        <f t="shared" ref="V644:V707" ca="1" si="293">Rho_moyen*(20000-Alt_rampe-pos_z)/(20000+Alt_rampe+pos_z)</f>
        <v>1.0268421899530771</v>
      </c>
      <c r="W644" s="304">
        <f t="shared" ref="W644:W707" ca="1" si="294">1/2*Rho*Sref*Cx*vit_xz^2</f>
        <v>22.347745595413237</v>
      </c>
      <c r="Y644" s="314" t="str">
        <f t="shared" ca="1" si="283"/>
        <v/>
      </c>
      <c r="Z644" s="315" t="str">
        <f t="shared" ca="1" si="284"/>
        <v/>
      </c>
      <c r="AA644" s="316" t="str">
        <f t="shared" ca="1" si="285"/>
        <v/>
      </c>
      <c r="AC644" s="310">
        <f t="shared" ca="1" si="286"/>
        <v>28.000000000000085</v>
      </c>
      <c r="AD644" s="323">
        <f t="shared" ca="1" si="287"/>
        <v>811.09095649730864</v>
      </c>
      <c r="AE644" s="324" t="e">
        <f t="shared" ref="AE644:AE707" ca="1" si="295">IF(t&lt;T_para, pos_z, NA())</f>
        <v>#N/A</v>
      </c>
      <c r="AG644" s="306">
        <f t="shared" ca="1" si="288"/>
        <v>5.2788746867004521</v>
      </c>
      <c r="AH644" s="304">
        <f t="shared" ca="1" si="289"/>
        <v>-4.3379822240972858</v>
      </c>
    </row>
    <row r="645" spans="1:34" x14ac:dyDescent="0.2">
      <c r="A645" s="347">
        <f t="shared" ref="A645:A708" ca="1" si="296">IF(B644+0.01&lt;=T_ini+ROUNDUP(Temps_fin_propu,0), 0.01, IF(K644&gt;0, 0.1, 0.0001))</f>
        <v>0.1</v>
      </c>
      <c r="B645" s="304">
        <f t="shared" ref="B645:B708" ca="1" si="297">B644+pas</f>
        <v>28.100000000000087</v>
      </c>
      <c r="D645" s="306">
        <f t="shared" ref="D645:D708" ca="1" si="298">IF(AND(L644&lt;L_rampe,Poussee&lt;Poids*SIN(M644)),0,(-W644+Poussee)/m*COS(M644)-U644/m*SIN(M644))</f>
        <v>-0.85821266133065599</v>
      </c>
      <c r="E645" s="307">
        <f t="shared" ref="E645:E708" ca="1" si="299">IF(AND(L644&lt;L_rampe,Poussee&lt;Poids*SIN(M644)),0,(-W644+Poussee)/m*SIN(M644)+U644/m*COS(M644)-Poids/m)</f>
        <v>-5.4980091966288818</v>
      </c>
      <c r="F645" s="304">
        <f t="shared" ref="F645:F708" ca="1" si="300">SQRT(acc_x^2+acc_z^2)</f>
        <v>5.564587504773737</v>
      </c>
      <c r="G645" s="306">
        <f t="shared" ref="G645:G708" ca="1" si="301">G644+acc_x*pas</f>
        <v>16.348228448136947</v>
      </c>
      <c r="H645" s="307">
        <f t="shared" ref="H645:H708" ca="1" si="302">H644+acc_z*pas</f>
        <v>-83.120793428911639</v>
      </c>
      <c r="I645" s="304">
        <f t="shared" ref="I645:I708" ca="1" si="303">SQRT(vit_x^2+vit_z^2)</f>
        <v>84.713227264957112</v>
      </c>
      <c r="J645" s="306">
        <f t="shared" ref="J645:J708" ca="1" si="304">J644+0.5*(vit_x+G644)*pas*(K644&gt;=0)</f>
        <v>812.73007040542893</v>
      </c>
      <c r="K645" s="307">
        <f t="shared" ref="K645:K708" ca="1" si="305">K644+0.5*(vit_z+H644)*pas</f>
        <v>1751.6771960451813</v>
      </c>
      <c r="L645" s="304">
        <f t="shared" ca="1" si="290"/>
        <v>1931.0368112715826</v>
      </c>
      <c r="M645" s="306">
        <f t="shared" ref="M645:M708" ca="1" si="306">IF(AND(L644&gt;L_rampe,G645&gt;0),ATAN2(G645,H645),$M$4)</f>
        <v>-1.3765947465353365</v>
      </c>
      <c r="N645" s="304">
        <f t="shared" ref="N645:N708" ca="1" si="307">DEGREES(Beta)</f>
        <v>-78.873069076356089</v>
      </c>
      <c r="P645" s="310">
        <f t="shared" ref="P645:P708" ca="1" si="308">MATCH(t-pas/2-T_ini,CdP_t)</f>
        <v>23</v>
      </c>
      <c r="Q645" s="304">
        <f t="shared" ref="Q645:Q708" ca="1" si="309">(INDEX(CdP,2,i_P+1)-INDEX(CdP,2,i_P+0))/(INDEX(CdP,1,i_P+1)-INDEX(CdP,1,i_P+0))*(t-pas/2-T_ini-INDEX(CdP,1,i_P+0))+INDEX(CdP,2,i_P+0)</f>
        <v>0</v>
      </c>
      <c r="R645" s="306">
        <f t="shared" ref="R645:R708" ca="1" si="310">Poussee/(g*ISP)</f>
        <v>0</v>
      </c>
      <c r="S645" s="307">
        <f t="shared" ref="S645:S708" ca="1" si="311">S644-Débit*pas</f>
        <v>5.0829999999999913</v>
      </c>
      <c r="T645" s="304">
        <f t="shared" ca="1" si="291"/>
        <v>49.864229999999914</v>
      </c>
      <c r="U645" s="311">
        <f t="shared" ca="1" si="292"/>
        <v>0</v>
      </c>
      <c r="V645" s="306">
        <f t="shared" ca="1" si="293"/>
        <v>1.0276998519870009</v>
      </c>
      <c r="W645" s="304">
        <f t="shared" ca="1" si="294"/>
        <v>22.644992784210729</v>
      </c>
      <c r="Y645" s="314" t="str">
        <f t="shared" ref="Y645:Y708" ca="1" si="312">IF(AND(pos_z&lt;=0,K644&gt;0),"Impact balistique","") &amp; IF(AND(H646&lt;0,vit_z&gt;=0),"Apogée","") &amp; IF(AND(Poussee=0,Q644&gt;0),"Fin de propulsion","") &amp; IF(AND(L646&gt;L_rampe,pos_xz&lt;=L_rampe),"Sortie de rampe","")</f>
        <v/>
      </c>
      <c r="Z645" s="315" t="str">
        <f t="shared" ref="Z645:Z708" ca="1" si="313">IF(ABS(t-T_para)&lt;pas/2,"Para","")</f>
        <v/>
      </c>
      <c r="AA645" s="316" t="str">
        <f t="shared" ref="AA645:AA708" ca="1" si="314">IF(ABS(t-T_satellite)&lt;pas/2,"Satellite","")</f>
        <v/>
      </c>
      <c r="AC645" s="310" t="e">
        <f t="shared" ref="AC645:AC708" ca="1" si="315">IF(ABS(t-ROUND(t,0))&lt;0.001,t,NA())</f>
        <v>#N/A</v>
      </c>
      <c r="AD645" s="323" t="e">
        <f t="shared" ref="AD645:AD708" ca="1" si="316">IF(ABS(t-ROUND(t,0))&lt;0.001,pos_x,NA())</f>
        <v>#N/A</v>
      </c>
      <c r="AE645" s="324" t="e">
        <f t="shared" ca="1" si="295"/>
        <v>#N/A</v>
      </c>
      <c r="AG645" s="306">
        <f t="shared" ref="AG645:AG708" ca="1" si="317">IF(AND(L644&lt;L_rampe,Poussee&lt;Poids*SIN(M644)),0,(-W644+Poussee)/m-Poids*SIN(M644)/m)</f>
        <v>5.2247220867416946</v>
      </c>
      <c r="AH645" s="304">
        <f t="shared" ref="AH645:AH708" ca="1" si="318">IF(AND(L644&lt;L_rampe,Poussee&lt;Poids*SIN(M644)), g*SIN(M644), (-W644+Poussee)/m)</f>
        <v>-4.3965661214663143</v>
      </c>
    </row>
    <row r="646" spans="1:34" x14ac:dyDescent="0.2">
      <c r="A646" s="347">
        <f t="shared" ca="1" si="296"/>
        <v>0.1</v>
      </c>
      <c r="B646" s="304">
        <f t="shared" ca="1" si="297"/>
        <v>28.200000000000088</v>
      </c>
      <c r="D646" s="306">
        <f t="shared" ca="1" si="298"/>
        <v>-0.85974873936690299</v>
      </c>
      <c r="E646" s="307">
        <f t="shared" ca="1" si="299"/>
        <v>-5.4387008349319039</v>
      </c>
      <c r="F646" s="304">
        <f t="shared" ca="1" si="300"/>
        <v>5.5062359799351102</v>
      </c>
      <c r="G646" s="306">
        <f t="shared" ca="1" si="301"/>
        <v>16.262253574200258</v>
      </c>
      <c r="H646" s="307">
        <f t="shared" ca="1" si="302"/>
        <v>-83.664663512404829</v>
      </c>
      <c r="I646" s="304">
        <f t="shared" ca="1" si="303"/>
        <v>85.230492266298171</v>
      </c>
      <c r="J646" s="306">
        <f t="shared" ca="1" si="304"/>
        <v>814.36059450654579</v>
      </c>
      <c r="K646" s="307">
        <f t="shared" ca="1" si="305"/>
        <v>1743.3379231981155</v>
      </c>
      <c r="L646" s="304">
        <f t="shared" ca="1" si="290"/>
        <v>1924.1648298276768</v>
      </c>
      <c r="M646" s="306">
        <f t="shared" ca="1" si="306"/>
        <v>-1.3788159781107849</v>
      </c>
      <c r="N646" s="304">
        <f t="shared" ca="1" si="307"/>
        <v>-79.00033627095047</v>
      </c>
      <c r="P646" s="310">
        <f t="shared" ca="1" si="308"/>
        <v>23</v>
      </c>
      <c r="Q646" s="304">
        <f t="shared" ca="1" si="309"/>
        <v>0</v>
      </c>
      <c r="R646" s="306">
        <f t="shared" ca="1" si="310"/>
        <v>0</v>
      </c>
      <c r="S646" s="307">
        <f t="shared" ca="1" si="311"/>
        <v>5.0829999999999913</v>
      </c>
      <c r="T646" s="304">
        <f t="shared" ca="1" si="291"/>
        <v>49.864229999999914</v>
      </c>
      <c r="U646" s="311">
        <f t="shared" ca="1" si="292"/>
        <v>0</v>
      </c>
      <c r="V646" s="306">
        <f t="shared" ca="1" si="293"/>
        <v>1.0285638351884125</v>
      </c>
      <c r="W646" s="304">
        <f t="shared" ca="1" si="294"/>
        <v>22.94165171625778</v>
      </c>
      <c r="Y646" s="314" t="str">
        <f t="shared" ca="1" si="312"/>
        <v/>
      </c>
      <c r="Z646" s="315" t="str">
        <f t="shared" ca="1" si="313"/>
        <v/>
      </c>
      <c r="AA646" s="316" t="str">
        <f t="shared" ca="1" si="314"/>
        <v/>
      </c>
      <c r="AC646" s="310" t="e">
        <f t="shared" ca="1" si="315"/>
        <v>#N/A</v>
      </c>
      <c r="AD646" s="323" t="e">
        <f t="shared" ca="1" si="316"/>
        <v>#N/A</v>
      </c>
      <c r="AE646" s="324" t="e">
        <f t="shared" ca="1" si="295"/>
        <v>#N/A</v>
      </c>
      <c r="AG646" s="306">
        <f t="shared" ca="1" si="317"/>
        <v>5.1705474335534722</v>
      </c>
      <c r="AH646" s="304">
        <f t="shared" ca="1" si="318"/>
        <v>-4.4550448129472295</v>
      </c>
    </row>
    <row r="647" spans="1:34" x14ac:dyDescent="0.2">
      <c r="A647" s="347">
        <f t="shared" ca="1" si="296"/>
        <v>0.1</v>
      </c>
      <c r="B647" s="304">
        <f t="shared" ca="1" si="297"/>
        <v>28.30000000000009</v>
      </c>
      <c r="D647" s="306">
        <f t="shared" ca="1" si="298"/>
        <v>-0.86117280043949451</v>
      </c>
      <c r="E647" s="307">
        <f t="shared" ca="1" si="299"/>
        <v>-5.3795111845315757</v>
      </c>
      <c r="F647" s="304">
        <f t="shared" ca="1" si="300"/>
        <v>5.4480050639401139</v>
      </c>
      <c r="G647" s="306">
        <f t="shared" ca="1" si="301"/>
        <v>16.176136294156308</v>
      </c>
      <c r="H647" s="307">
        <f t="shared" ca="1" si="302"/>
        <v>-84.20261463085798</v>
      </c>
      <c r="I647" s="304">
        <f t="shared" ca="1" si="303"/>
        <v>85.742333162096187</v>
      </c>
      <c r="J647" s="306">
        <f t="shared" ca="1" si="304"/>
        <v>815.98251399996366</v>
      </c>
      <c r="K647" s="307">
        <f t="shared" ca="1" si="305"/>
        <v>1734.9445592909524</v>
      </c>
      <c r="L647" s="304">
        <f t="shared" ca="1" si="290"/>
        <v>1917.2532662553942</v>
      </c>
      <c r="M647" s="306">
        <f t="shared" ca="1" si="306"/>
        <v>-1.3809990085286257</v>
      </c>
      <c r="N647" s="304">
        <f t="shared" ca="1" si="307"/>
        <v>-79.125414700441425</v>
      </c>
      <c r="P647" s="310">
        <f t="shared" ca="1" si="308"/>
        <v>23</v>
      </c>
      <c r="Q647" s="304">
        <f t="shared" ca="1" si="309"/>
        <v>0</v>
      </c>
      <c r="R647" s="306">
        <f t="shared" ca="1" si="310"/>
        <v>0</v>
      </c>
      <c r="S647" s="307">
        <f t="shared" ca="1" si="311"/>
        <v>5.0829999999999913</v>
      </c>
      <c r="T647" s="304">
        <f t="shared" ca="1" si="291"/>
        <v>49.864229999999914</v>
      </c>
      <c r="U647" s="311">
        <f t="shared" ca="1" si="292"/>
        <v>0</v>
      </c>
      <c r="V647" s="306">
        <f t="shared" ca="1" si="293"/>
        <v>1.0294340918989902</v>
      </c>
      <c r="W647" s="304">
        <f t="shared" ca="1" si="294"/>
        <v>23.237669966113639</v>
      </c>
      <c r="Y647" s="314" t="str">
        <f t="shared" ca="1" si="312"/>
        <v/>
      </c>
      <c r="Z647" s="315" t="str">
        <f t="shared" ca="1" si="313"/>
        <v/>
      </c>
      <c r="AA647" s="316" t="str">
        <f t="shared" ca="1" si="314"/>
        <v/>
      </c>
      <c r="AC647" s="310" t="e">
        <f t="shared" ca="1" si="315"/>
        <v>#N/A</v>
      </c>
      <c r="AD647" s="323" t="e">
        <f t="shared" ca="1" si="316"/>
        <v>#N/A</v>
      </c>
      <c r="AE647" s="324" t="e">
        <f t="shared" ca="1" si="295"/>
        <v>#N/A</v>
      </c>
      <c r="AG647" s="306">
        <f t="shared" ca="1" si="317"/>
        <v>5.1163658811288144</v>
      </c>
      <c r="AH647" s="304">
        <f t="shared" ca="1" si="318"/>
        <v>-4.5134077741998464</v>
      </c>
    </row>
    <row r="648" spans="1:34" x14ac:dyDescent="0.2">
      <c r="A648" s="347">
        <f t="shared" ca="1" si="296"/>
        <v>0.1</v>
      </c>
      <c r="B648" s="304">
        <f t="shared" ca="1" si="297"/>
        <v>28.400000000000091</v>
      </c>
      <c r="D648" s="306">
        <f t="shared" ca="1" si="298"/>
        <v>-0.8624858327084427</v>
      </c>
      <c r="E648" s="307">
        <f t="shared" ca="1" si="299"/>
        <v>-5.3204506493086852</v>
      </c>
      <c r="F648" s="304">
        <f t="shared" ca="1" si="300"/>
        <v>5.3899050940950701</v>
      </c>
      <c r="G648" s="306">
        <f t="shared" ca="1" si="301"/>
        <v>16.089887710885463</v>
      </c>
      <c r="H648" s="307">
        <f t="shared" ca="1" si="302"/>
        <v>-84.734659695788849</v>
      </c>
      <c r="I648" s="304">
        <f t="shared" ca="1" si="303"/>
        <v>86.248750949274893</v>
      </c>
      <c r="J648" s="306">
        <f t="shared" ca="1" si="304"/>
        <v>817.59581520021572</v>
      </c>
      <c r="K648" s="307">
        <f t="shared" ca="1" si="305"/>
        <v>1726.4976955746201</v>
      </c>
      <c r="L648" s="304">
        <f t="shared" ca="1" si="290"/>
        <v>1910.3029104980653</v>
      </c>
      <c r="M648" s="306">
        <f t="shared" ca="1" si="306"/>
        <v>-1.3831448420565913</v>
      </c>
      <c r="N648" s="304">
        <f t="shared" ca="1" si="307"/>
        <v>-79.248361905131532</v>
      </c>
      <c r="P648" s="310">
        <f t="shared" ca="1" si="308"/>
        <v>23</v>
      </c>
      <c r="Q648" s="304">
        <f t="shared" ca="1" si="309"/>
        <v>0</v>
      </c>
      <c r="R648" s="306">
        <f t="shared" ca="1" si="310"/>
        <v>0</v>
      </c>
      <c r="S648" s="307">
        <f t="shared" ca="1" si="311"/>
        <v>5.0829999999999913</v>
      </c>
      <c r="T648" s="304">
        <f t="shared" ca="1" si="291"/>
        <v>49.864229999999914</v>
      </c>
      <c r="U648" s="311">
        <f t="shared" ca="1" si="292"/>
        <v>0</v>
      </c>
      <c r="V648" s="306">
        <f t="shared" ca="1" si="293"/>
        <v>1.0303105745147596</v>
      </c>
      <c r="W648" s="304">
        <f t="shared" ca="1" si="294"/>
        <v>23.532996183673717</v>
      </c>
      <c r="Y648" s="314" t="str">
        <f t="shared" ca="1" si="312"/>
        <v/>
      </c>
      <c r="Z648" s="315" t="str">
        <f t="shared" ca="1" si="313"/>
        <v/>
      </c>
      <c r="AA648" s="316" t="str">
        <f t="shared" ca="1" si="314"/>
        <v/>
      </c>
      <c r="AC648" s="310" t="e">
        <f t="shared" ca="1" si="315"/>
        <v>#N/A</v>
      </c>
      <c r="AD648" s="323" t="e">
        <f t="shared" ca="1" si="316"/>
        <v>#N/A</v>
      </c>
      <c r="AE648" s="324" t="e">
        <f t="shared" ca="1" si="295"/>
        <v>#N/A</v>
      </c>
      <c r="AG648" s="306">
        <f t="shared" ca="1" si="317"/>
        <v>5.0621921668961889</v>
      </c>
      <c r="AH648" s="304">
        <f t="shared" ca="1" si="318"/>
        <v>-4.5716446913463855</v>
      </c>
    </row>
    <row r="649" spans="1:34" x14ac:dyDescent="0.2">
      <c r="A649" s="347">
        <f t="shared" ca="1" si="296"/>
        <v>0.1</v>
      </c>
      <c r="B649" s="304">
        <f t="shared" ca="1" si="297"/>
        <v>28.500000000000092</v>
      </c>
      <c r="D649" s="306">
        <f t="shared" ca="1" si="298"/>
        <v>-0.86368885108156268</v>
      </c>
      <c r="E649" s="307">
        <f t="shared" ca="1" si="299"/>
        <v>-5.261529420560791</v>
      </c>
      <c r="F649" s="304">
        <f t="shared" ca="1" si="300"/>
        <v>5.3319461995512825</v>
      </c>
      <c r="G649" s="306">
        <f t="shared" ca="1" si="301"/>
        <v>16.003518825777306</v>
      </c>
      <c r="H649" s="307">
        <f t="shared" ca="1" si="302"/>
        <v>-85.260812637844936</v>
      </c>
      <c r="I649" s="304">
        <f t="shared" ca="1" si="303"/>
        <v>86.749748048468177</v>
      </c>
      <c r="J649" s="306">
        <f t="shared" ca="1" si="304"/>
        <v>819.20048552704884</v>
      </c>
      <c r="K649" s="307">
        <f t="shared" ca="1" si="305"/>
        <v>1717.9979219579384</v>
      </c>
      <c r="L649" s="304">
        <f t="shared" ca="1" si="290"/>
        <v>1903.3145550169963</v>
      </c>
      <c r="M649" s="306">
        <f t="shared" ca="1" si="306"/>
        <v>-1.385254447834525</v>
      </c>
      <c r="N649" s="304">
        <f t="shared" ca="1" si="307"/>
        <v>-79.369233412643538</v>
      </c>
      <c r="P649" s="310">
        <f t="shared" ca="1" si="308"/>
        <v>23</v>
      </c>
      <c r="Q649" s="304">
        <f t="shared" ca="1" si="309"/>
        <v>0</v>
      </c>
      <c r="R649" s="306">
        <f t="shared" ca="1" si="310"/>
        <v>0</v>
      </c>
      <c r="S649" s="307">
        <f t="shared" ca="1" si="311"/>
        <v>5.0829999999999913</v>
      </c>
      <c r="T649" s="304">
        <f t="shared" ca="1" si="291"/>
        <v>49.864229999999914</v>
      </c>
      <c r="U649" s="311">
        <f t="shared" ca="1" si="292"/>
        <v>0</v>
      </c>
      <c r="V649" s="306">
        <f t="shared" ca="1" si="293"/>
        <v>1.0311932354942648</v>
      </c>
      <c r="W649" s="304">
        <f t="shared" ca="1" si="294"/>
        <v>23.827580098874968</v>
      </c>
      <c r="Y649" s="314" t="str">
        <f t="shared" ca="1" si="312"/>
        <v/>
      </c>
      <c r="Z649" s="315" t="str">
        <f t="shared" ca="1" si="313"/>
        <v/>
      </c>
      <c r="AA649" s="316" t="str">
        <f t="shared" ca="1" si="314"/>
        <v/>
      </c>
      <c r="AC649" s="310" t="e">
        <f t="shared" ca="1" si="315"/>
        <v>#N/A</v>
      </c>
      <c r="AD649" s="323" t="e">
        <f t="shared" ca="1" si="316"/>
        <v>#N/A</v>
      </c>
      <c r="AE649" s="324" t="e">
        <f t="shared" ca="1" si="295"/>
        <v>#N/A</v>
      </c>
      <c r="AG649" s="306">
        <f t="shared" ca="1" si="317"/>
        <v>5.0080406214066446</v>
      </c>
      <c r="AH649" s="304">
        <f t="shared" ca="1" si="318"/>
        <v>-4.6297454620644807</v>
      </c>
    </row>
    <row r="650" spans="1:34" x14ac:dyDescent="0.2">
      <c r="A650" s="347">
        <f t="shared" ca="1" si="296"/>
        <v>0.1</v>
      </c>
      <c r="B650" s="304">
        <f t="shared" ca="1" si="297"/>
        <v>28.600000000000094</v>
      </c>
      <c r="D650" s="306">
        <f t="shared" ca="1" si="298"/>
        <v>-0.86478289599849412</v>
      </c>
      <c r="E650" s="307">
        <f t="shared" ca="1" si="299"/>
        <v>-5.2027574759759583</v>
      </c>
      <c r="F650" s="304">
        <f t="shared" ca="1" si="300"/>
        <v>5.2741383003326021</v>
      </c>
      <c r="G650" s="306">
        <f t="shared" ca="1" si="301"/>
        <v>15.917040536177456</v>
      </c>
      <c r="H650" s="307">
        <f t="shared" ca="1" si="302"/>
        <v>-85.78108838544253</v>
      </c>
      <c r="I650" s="304">
        <f t="shared" ca="1" si="303"/>
        <v>87.245328264735292</v>
      </c>
      <c r="J650" s="306">
        <f t="shared" ca="1" si="304"/>
        <v>820.79651349514654</v>
      </c>
      <c r="K650" s="307">
        <f t="shared" ca="1" si="305"/>
        <v>1709.4458269067741</v>
      </c>
      <c r="L650" s="304">
        <f t="shared" ca="1" si="290"/>
        <v>1896.2889947723615</v>
      </c>
      <c r="M650" s="306">
        <f t="shared" ca="1" si="306"/>
        <v>-1.3873287613675263</v>
      </c>
      <c r="N650" s="304">
        <f t="shared" ca="1" si="307"/>
        <v>-79.488082823471387</v>
      </c>
      <c r="P650" s="310">
        <f t="shared" ca="1" si="308"/>
        <v>23</v>
      </c>
      <c r="Q650" s="304">
        <f t="shared" ca="1" si="309"/>
        <v>0</v>
      </c>
      <c r="R650" s="306">
        <f t="shared" ca="1" si="310"/>
        <v>0</v>
      </c>
      <c r="S650" s="307">
        <f t="shared" ca="1" si="311"/>
        <v>5.0829999999999913</v>
      </c>
      <c r="T650" s="304">
        <f t="shared" ca="1" si="291"/>
        <v>49.864229999999914</v>
      </c>
      <c r="U650" s="311">
        <f t="shared" ca="1" si="292"/>
        <v>0</v>
      </c>
      <c r="V650" s="306">
        <f t="shared" ca="1" si="293"/>
        <v>1.0320820273665947</v>
      </c>
      <c r="W650" s="304">
        <f t="shared" ca="1" si="294"/>
        <v>24.121372525567704</v>
      </c>
      <c r="Y650" s="314" t="str">
        <f t="shared" ca="1" si="312"/>
        <v/>
      </c>
      <c r="Z650" s="315" t="str">
        <f t="shared" ca="1" si="313"/>
        <v/>
      </c>
      <c r="AA650" s="316" t="str">
        <f t="shared" ca="1" si="314"/>
        <v/>
      </c>
      <c r="AC650" s="310" t="e">
        <f t="shared" ca="1" si="315"/>
        <v>#N/A</v>
      </c>
      <c r="AD650" s="323" t="e">
        <f t="shared" ca="1" si="316"/>
        <v>#N/A</v>
      </c>
      <c r="AE650" s="324" t="e">
        <f t="shared" ca="1" si="295"/>
        <v>#N/A</v>
      </c>
      <c r="AG650" s="306">
        <f t="shared" ca="1" si="317"/>
        <v>4.9539251775452238</v>
      </c>
      <c r="AH650" s="304">
        <f t="shared" ca="1" si="318"/>
        <v>-4.6877001965128882</v>
      </c>
    </row>
    <row r="651" spans="1:34" x14ac:dyDescent="0.2">
      <c r="A651" s="347">
        <f t="shared" ca="1" si="296"/>
        <v>0.1</v>
      </c>
      <c r="B651" s="304">
        <f t="shared" ca="1" si="297"/>
        <v>28.700000000000095</v>
      </c>
      <c r="D651" s="306">
        <f t="shared" ca="1" si="298"/>
        <v>-0.8657690322350361</v>
      </c>
      <c r="E651" s="307">
        <f t="shared" ca="1" si="299"/>
        <v>-5.1441445787780786</v>
      </c>
      <c r="F651" s="304">
        <f t="shared" ca="1" si="300"/>
        <v>5.2164911065340744</v>
      </c>
      <c r="G651" s="306">
        <f t="shared" ca="1" si="301"/>
        <v>15.830463632953952</v>
      </c>
      <c r="H651" s="307">
        <f t="shared" ca="1" si="302"/>
        <v>-86.295502843320335</v>
      </c>
      <c r="I651" s="304">
        <f t="shared" ca="1" si="303"/>
        <v>87.73549674912536</v>
      </c>
      <c r="J651" s="306">
        <f t="shared" ca="1" si="304"/>
        <v>822.38388870360313</v>
      </c>
      <c r="K651" s="307">
        <f t="shared" ca="1" si="305"/>
        <v>1700.841997345336</v>
      </c>
      <c r="L651" s="304">
        <f t="shared" ca="1" si="290"/>
        <v>1889.2270272079354</v>
      </c>
      <c r="M651" s="306">
        <f t="shared" ca="1" si="306"/>
        <v>-1.389368685945114</v>
      </c>
      <c r="N651" s="304">
        <f t="shared" ca="1" si="307"/>
        <v>-79.604961892292167</v>
      </c>
      <c r="P651" s="310">
        <f t="shared" ca="1" si="308"/>
        <v>23</v>
      </c>
      <c r="Q651" s="304">
        <f t="shared" ca="1" si="309"/>
        <v>0</v>
      </c>
      <c r="R651" s="306">
        <f t="shared" ca="1" si="310"/>
        <v>0</v>
      </c>
      <c r="S651" s="307">
        <f t="shared" ca="1" si="311"/>
        <v>5.0829999999999913</v>
      </c>
      <c r="T651" s="304">
        <f t="shared" ca="1" si="291"/>
        <v>49.864229999999914</v>
      </c>
      <c r="U651" s="311">
        <f t="shared" ca="1" si="292"/>
        <v>0</v>
      </c>
      <c r="V651" s="306">
        <f t="shared" ca="1" si="293"/>
        <v>1.0329769027392657</v>
      </c>
      <c r="W651" s="304">
        <f t="shared" ca="1" si="294"/>
        <v>24.414325364570981</v>
      </c>
      <c r="Y651" s="314" t="str">
        <f t="shared" ca="1" si="312"/>
        <v/>
      </c>
      <c r="Z651" s="315" t="str">
        <f t="shared" ca="1" si="313"/>
        <v/>
      </c>
      <c r="AA651" s="316" t="str">
        <f t="shared" ca="1" si="314"/>
        <v/>
      </c>
      <c r="AC651" s="310" t="e">
        <f t="shared" ca="1" si="315"/>
        <v>#N/A</v>
      </c>
      <c r="AD651" s="323" t="e">
        <f t="shared" ca="1" si="316"/>
        <v>#N/A</v>
      </c>
      <c r="AE651" s="324" t="e">
        <f t="shared" ca="1" si="295"/>
        <v>#N/A</v>
      </c>
      <c r="AG651" s="306">
        <f t="shared" ca="1" si="317"/>
        <v>4.899859379306128</v>
      </c>
      <c r="AH651" s="304">
        <f t="shared" ca="1" si="318"/>
        <v>-4.7454992180932019</v>
      </c>
    </row>
    <row r="652" spans="1:34" x14ac:dyDescent="0.2">
      <c r="A652" s="347">
        <f t="shared" ca="1" si="296"/>
        <v>0.1</v>
      </c>
      <c r="B652" s="304">
        <f t="shared" ca="1" si="297"/>
        <v>28.800000000000097</v>
      </c>
      <c r="D652" s="306">
        <f t="shared" ca="1" si="298"/>
        <v>-0.86664834772768806</v>
      </c>
      <c r="E652" s="307">
        <f t="shared" ca="1" si="299"/>
        <v>-5.0857002770399484</v>
      </c>
      <c r="F652" s="304">
        <f t="shared" ca="1" si="300"/>
        <v>5.1590141176879269</v>
      </c>
      <c r="G652" s="306">
        <f t="shared" ca="1" si="301"/>
        <v>15.743798798181183</v>
      </c>
      <c r="H652" s="307">
        <f t="shared" ca="1" si="302"/>
        <v>-86.804072871024331</v>
      </c>
      <c r="I652" s="304">
        <f t="shared" ca="1" si="303"/>
        <v>88.220259961052676</v>
      </c>
      <c r="J652" s="306">
        <f t="shared" ca="1" si="304"/>
        <v>823.96260182515994</v>
      </c>
      <c r="K652" s="307">
        <f t="shared" ca="1" si="305"/>
        <v>1692.1870185596188</v>
      </c>
      <c r="L652" s="304">
        <f t="shared" ca="1" si="290"/>
        <v>1882.1294522397175</v>
      </c>
      <c r="M652" s="306">
        <f t="shared" ca="1" si="306"/>
        <v>-1.3913750939905609</v>
      </c>
      <c r="N652" s="304">
        <f t="shared" ca="1" si="307"/>
        <v>-79.719920605277366</v>
      </c>
      <c r="P652" s="310">
        <f t="shared" ca="1" si="308"/>
        <v>23</v>
      </c>
      <c r="Q652" s="304">
        <f t="shared" ca="1" si="309"/>
        <v>0</v>
      </c>
      <c r="R652" s="306">
        <f t="shared" ca="1" si="310"/>
        <v>0</v>
      </c>
      <c r="S652" s="307">
        <f t="shared" ca="1" si="311"/>
        <v>5.0829999999999913</v>
      </c>
      <c r="T652" s="304">
        <f t="shared" ca="1" si="291"/>
        <v>49.864229999999914</v>
      </c>
      <c r="U652" s="311">
        <f t="shared" ca="1" si="292"/>
        <v>0</v>
      </c>
      <c r="V652" s="306">
        <f t="shared" ca="1" si="293"/>
        <v>1.0338778143059566</v>
      </c>
      <c r="W652" s="304">
        <f t="shared" ca="1" si="294"/>
        <v>24.706391605928967</v>
      </c>
      <c r="Y652" s="314" t="str">
        <f t="shared" ca="1" si="312"/>
        <v/>
      </c>
      <c r="Z652" s="315" t="str">
        <f t="shared" ca="1" si="313"/>
        <v/>
      </c>
      <c r="AA652" s="316" t="str">
        <f t="shared" ca="1" si="314"/>
        <v/>
      </c>
      <c r="AC652" s="310" t="e">
        <f t="shared" ca="1" si="315"/>
        <v>#N/A</v>
      </c>
      <c r="AD652" s="323" t="e">
        <f t="shared" ca="1" si="316"/>
        <v>#N/A</v>
      </c>
      <c r="AE652" s="324" t="e">
        <f t="shared" ca="1" si="295"/>
        <v>#N/A</v>
      </c>
      <c r="AG652" s="306">
        <f t="shared" ca="1" si="317"/>
        <v>4.8458563901680023</v>
      </c>
      <c r="AH652" s="304">
        <f t="shared" ca="1" si="318"/>
        <v>-4.8031330640509591</v>
      </c>
    </row>
    <row r="653" spans="1:34" x14ac:dyDescent="0.2">
      <c r="A653" s="347">
        <f t="shared" ca="1" si="296"/>
        <v>0.1</v>
      </c>
      <c r="B653" s="304">
        <f t="shared" ca="1" si="297"/>
        <v>28.900000000000098</v>
      </c>
      <c r="D653" s="306">
        <f t="shared" ca="1" si="298"/>
        <v>-0.86742195241832498</v>
      </c>
      <c r="E653" s="307">
        <f t="shared" ca="1" si="299"/>
        <v>-5.0274339031603281</v>
      </c>
      <c r="F653" s="304">
        <f t="shared" ca="1" si="300"/>
        <v>5.1017166222932362</v>
      </c>
      <c r="G653" s="306">
        <f t="shared" ca="1" si="301"/>
        <v>15.657056602939351</v>
      </c>
      <c r="H653" s="307">
        <f t="shared" ca="1" si="302"/>
        <v>-87.306816261340359</v>
      </c>
      <c r="I653" s="304">
        <f t="shared" ca="1" si="303"/>
        <v>88.69962563144837</v>
      </c>
      <c r="J653" s="306">
        <f t="shared" ca="1" si="304"/>
        <v>825.53264459521597</v>
      </c>
      <c r="K653" s="307">
        <f t="shared" ca="1" si="305"/>
        <v>1683.4814741030004</v>
      </c>
      <c r="L653" s="304">
        <f t="shared" ca="1" si="290"/>
        <v>1874.9970722484827</v>
      </c>
      <c r="M653" s="306">
        <f t="shared" ca="1" si="306"/>
        <v>-1.3933488283442923</v>
      </c>
      <c r="N653" s="304">
        <f t="shared" ca="1" si="307"/>
        <v>-79.833007253626164</v>
      </c>
      <c r="P653" s="310">
        <f t="shared" ca="1" si="308"/>
        <v>23</v>
      </c>
      <c r="Q653" s="304">
        <f t="shared" ca="1" si="309"/>
        <v>0</v>
      </c>
      <c r="R653" s="306">
        <f t="shared" ca="1" si="310"/>
        <v>0</v>
      </c>
      <c r="S653" s="307">
        <f t="shared" ca="1" si="311"/>
        <v>5.0829999999999913</v>
      </c>
      <c r="T653" s="304">
        <f t="shared" ca="1" si="291"/>
        <v>49.864229999999914</v>
      </c>
      <c r="U653" s="311">
        <f t="shared" ca="1" si="292"/>
        <v>0</v>
      </c>
      <c r="V653" s="306">
        <f t="shared" ca="1" si="293"/>
        <v>1.0347847148540998</v>
      </c>
      <c r="W653" s="304">
        <f t="shared" ca="1" si="294"/>
        <v>24.997525330386694</v>
      </c>
      <c r="Y653" s="314" t="str">
        <f t="shared" ca="1" si="312"/>
        <v/>
      </c>
      <c r="Z653" s="315" t="str">
        <f t="shared" ca="1" si="313"/>
        <v/>
      </c>
      <c r="AA653" s="316" t="str">
        <f t="shared" ca="1" si="314"/>
        <v/>
      </c>
      <c r="AC653" s="310" t="e">
        <f t="shared" ca="1" si="315"/>
        <v>#N/A</v>
      </c>
      <c r="AD653" s="323" t="e">
        <f t="shared" ca="1" si="316"/>
        <v>#N/A</v>
      </c>
      <c r="AE653" s="324" t="e">
        <f t="shared" ca="1" si="295"/>
        <v>#N/A</v>
      </c>
      <c r="AG653" s="306">
        <f t="shared" ca="1" si="317"/>
        <v>4.7919290011027016</v>
      </c>
      <c r="AH653" s="304">
        <f t="shared" ca="1" si="318"/>
        <v>-4.860592485919538</v>
      </c>
    </row>
    <row r="654" spans="1:34" x14ac:dyDescent="0.2">
      <c r="A654" s="347">
        <f t="shared" ca="1" si="296"/>
        <v>0.1</v>
      </c>
      <c r="B654" s="304">
        <f t="shared" ca="1" si="297"/>
        <v>29.000000000000099</v>
      </c>
      <c r="D654" s="306">
        <f t="shared" ca="1" si="298"/>
        <v>-0.86809097711898797</v>
      </c>
      <c r="E654" s="307">
        <f t="shared" ca="1" si="299"/>
        <v>-4.9693545735009614</v>
      </c>
      <c r="F654" s="304">
        <f t="shared" ca="1" si="300"/>
        <v>5.0446076975053593</v>
      </c>
      <c r="G654" s="306">
        <f t="shared" ca="1" si="301"/>
        <v>15.570247505227451</v>
      </c>
      <c r="H654" s="307">
        <f t="shared" ca="1" si="302"/>
        <v>-87.803751718690449</v>
      </c>
      <c r="I654" s="304">
        <f t="shared" ca="1" si="303"/>
        <v>89.173602726656043</v>
      </c>
      <c r="J654" s="306">
        <f t="shared" ca="1" si="304"/>
        <v>827.09400980062435</v>
      </c>
      <c r="K654" s="307">
        <f t="shared" ca="1" si="305"/>
        <v>1674.7259457039988</v>
      </c>
      <c r="L654" s="304">
        <f t="shared" ca="1" si="290"/>
        <v>1867.8306920762998</v>
      </c>
      <c r="M654" s="306">
        <f t="shared" ca="1" si="306"/>
        <v>-1.3952907034850086</v>
      </c>
      <c r="N654" s="304">
        <f t="shared" ca="1" si="307"/>
        <v>-79.94426850353058</v>
      </c>
      <c r="P654" s="310">
        <f t="shared" ca="1" si="308"/>
        <v>23</v>
      </c>
      <c r="Q654" s="304">
        <f t="shared" ca="1" si="309"/>
        <v>0</v>
      </c>
      <c r="R654" s="306">
        <f t="shared" ca="1" si="310"/>
        <v>0</v>
      </c>
      <c r="S654" s="307">
        <f t="shared" ca="1" si="311"/>
        <v>5.0829999999999913</v>
      </c>
      <c r="T654" s="304">
        <f t="shared" ca="1" si="291"/>
        <v>49.864229999999914</v>
      </c>
      <c r="U654" s="311">
        <f t="shared" ca="1" si="292"/>
        <v>0</v>
      </c>
      <c r="V654" s="306">
        <f t="shared" ca="1" si="293"/>
        <v>1.0356975572723199</v>
      </c>
      <c r="W654" s="304">
        <f t="shared" ca="1" si="294"/>
        <v>25.287681710103165</v>
      </c>
      <c r="Y654" s="314" t="str">
        <f t="shared" ca="1" si="312"/>
        <v/>
      </c>
      <c r="Z654" s="315" t="str">
        <f t="shared" ca="1" si="313"/>
        <v/>
      </c>
      <c r="AA654" s="316" t="str">
        <f t="shared" ca="1" si="314"/>
        <v/>
      </c>
      <c r="AC654" s="310">
        <f t="shared" ca="1" si="315"/>
        <v>29.000000000000099</v>
      </c>
      <c r="AD654" s="323">
        <f t="shared" ca="1" si="316"/>
        <v>827.09400980062435</v>
      </c>
      <c r="AE654" s="324" t="e">
        <f t="shared" ca="1" si="295"/>
        <v>#N/A</v>
      </c>
      <c r="AG654" s="306">
        <f t="shared" ca="1" si="317"/>
        <v>4.7380896382480522</v>
      </c>
      <c r="AH654" s="304">
        <f t="shared" ca="1" si="318"/>
        <v>-4.9178684498104932</v>
      </c>
    </row>
    <row r="655" spans="1:34" x14ac:dyDescent="0.2">
      <c r="A655" s="347">
        <f t="shared" ca="1" si="296"/>
        <v>0.1</v>
      </c>
      <c r="B655" s="304">
        <f t="shared" ca="1" si="297"/>
        <v>29.100000000000101</v>
      </c>
      <c r="D655" s="306">
        <f t="shared" ca="1" si="298"/>
        <v>-0.86865657239671679</v>
      </c>
      <c r="E655" s="307">
        <f t="shared" ca="1" si="299"/>
        <v>-4.9114711881796929</v>
      </c>
      <c r="F655" s="304">
        <f t="shared" ca="1" si="300"/>
        <v>4.987696208981383</v>
      </c>
      <c r="G655" s="306">
        <f t="shared" ca="1" si="301"/>
        <v>15.483381847987779</v>
      </c>
      <c r="H655" s="307">
        <f t="shared" ca="1" si="302"/>
        <v>-88.294898837508413</v>
      </c>
      <c r="I655" s="304">
        <f t="shared" ca="1" si="303"/>
        <v>89.642201413042287</v>
      </c>
      <c r="J655" s="306">
        <f t="shared" ca="1" si="304"/>
        <v>828.64669126828517</v>
      </c>
      <c r="K655" s="307">
        <f t="shared" ca="1" si="305"/>
        <v>1665.9210131761888</v>
      </c>
      <c r="L655" s="304">
        <f t="shared" ca="1" si="290"/>
        <v>1860.631119027051</v>
      </c>
      <c r="M655" s="306">
        <f t="shared" ca="1" si="306"/>
        <v>-1.3972015066919605</v>
      </c>
      <c r="N655" s="304">
        <f t="shared" ca="1" si="307"/>
        <v>-80.053749462768991</v>
      </c>
      <c r="P655" s="310">
        <f t="shared" ca="1" si="308"/>
        <v>23</v>
      </c>
      <c r="Q655" s="304">
        <f t="shared" ca="1" si="309"/>
        <v>0</v>
      </c>
      <c r="R655" s="306">
        <f t="shared" ca="1" si="310"/>
        <v>0</v>
      </c>
      <c r="S655" s="307">
        <f t="shared" ca="1" si="311"/>
        <v>5.0829999999999913</v>
      </c>
      <c r="T655" s="304">
        <f t="shared" ca="1" si="291"/>
        <v>49.864229999999914</v>
      </c>
      <c r="U655" s="311">
        <f t="shared" ca="1" si="292"/>
        <v>0</v>
      </c>
      <c r="V655" s="306">
        <f t="shared" ca="1" si="293"/>
        <v>1.0366162945577302</v>
      </c>
      <c r="W655" s="304">
        <f t="shared" ca="1" si="294"/>
        <v>25.576817008620978</v>
      </c>
      <c r="Y655" s="314" t="str">
        <f t="shared" ca="1" si="312"/>
        <v/>
      </c>
      <c r="Z655" s="315" t="str">
        <f t="shared" ca="1" si="313"/>
        <v/>
      </c>
      <c r="AA655" s="316" t="str">
        <f t="shared" ca="1" si="314"/>
        <v/>
      </c>
      <c r="AC655" s="310" t="e">
        <f t="shared" ca="1" si="315"/>
        <v>#N/A</v>
      </c>
      <c r="AD655" s="323" t="e">
        <f t="shared" ca="1" si="316"/>
        <v>#N/A</v>
      </c>
      <c r="AE655" s="324" t="e">
        <f t="shared" ca="1" si="295"/>
        <v>#N/A</v>
      </c>
      <c r="AG655" s="306">
        <f t="shared" ca="1" si="317"/>
        <v>4.6843503702728118</v>
      </c>
      <c r="AH655" s="304">
        <f t="shared" ca="1" si="318"/>
        <v>-4.9749521365538474</v>
      </c>
    </row>
    <row r="656" spans="1:34" x14ac:dyDescent="0.2">
      <c r="A656" s="347">
        <f t="shared" ca="1" si="296"/>
        <v>0.1</v>
      </c>
      <c r="B656" s="304">
        <f t="shared" ca="1" si="297"/>
        <v>29.200000000000102</v>
      </c>
      <c r="D656" s="306">
        <f t="shared" ca="1" si="298"/>
        <v>-0.86911990747843326</v>
      </c>
      <c r="E656" s="307">
        <f t="shared" ca="1" si="299"/>
        <v>-4.8537924310155889</v>
      </c>
      <c r="F656" s="304">
        <f t="shared" ca="1" si="300"/>
        <v>4.9309908108776215</v>
      </c>
      <c r="G656" s="306">
        <f t="shared" ca="1" si="301"/>
        <v>15.396469857239936</v>
      </c>
      <c r="H656" s="307">
        <f t="shared" ca="1" si="302"/>
        <v>-88.780278080609975</v>
      </c>
      <c r="I656" s="304">
        <f t="shared" ca="1" si="303"/>
        <v>90.105433022295244</v>
      </c>
      <c r="J656" s="306">
        <f t="shared" ca="1" si="304"/>
        <v>830.1906838535466</v>
      </c>
      <c r="K656" s="307">
        <f t="shared" ca="1" si="305"/>
        <v>1657.0672543302828</v>
      </c>
      <c r="L656" s="304">
        <f t="shared" ca="1" si="290"/>
        <v>1853.3991628709994</v>
      </c>
      <c r="M656" s="306">
        <f t="shared" ca="1" si="306"/>
        <v>-1.3990819991515955</v>
      </c>
      <c r="N656" s="304">
        <f t="shared" ca="1" si="307"/>
        <v>-80.161493744112249</v>
      </c>
      <c r="P656" s="310">
        <f t="shared" ca="1" si="308"/>
        <v>23</v>
      </c>
      <c r="Q656" s="304">
        <f t="shared" ca="1" si="309"/>
        <v>0</v>
      </c>
      <c r="R656" s="306">
        <f t="shared" ca="1" si="310"/>
        <v>0</v>
      </c>
      <c r="S656" s="307">
        <f t="shared" ca="1" si="311"/>
        <v>5.0829999999999913</v>
      </c>
      <c r="T656" s="304">
        <f t="shared" ca="1" si="291"/>
        <v>49.864229999999914</v>
      </c>
      <c r="U656" s="311">
        <f t="shared" ca="1" si="292"/>
        <v>0</v>
      </c>
      <c r="V656" s="306">
        <f t="shared" ca="1" si="293"/>
        <v>1.0375408798230776</v>
      </c>
      <c r="W656" s="304">
        <f t="shared" ca="1" si="294"/>
        <v>25.864888580111298</v>
      </c>
      <c r="Y656" s="314" t="str">
        <f t="shared" ca="1" si="312"/>
        <v/>
      </c>
      <c r="Z656" s="315" t="str">
        <f t="shared" ca="1" si="313"/>
        <v/>
      </c>
      <c r="AA656" s="316" t="str">
        <f t="shared" ca="1" si="314"/>
        <v/>
      </c>
      <c r="AC656" s="310" t="e">
        <f t="shared" ca="1" si="315"/>
        <v>#N/A</v>
      </c>
      <c r="AD656" s="323" t="e">
        <f t="shared" ca="1" si="316"/>
        <v>#N/A</v>
      </c>
      <c r="AE656" s="324" t="e">
        <f t="shared" ca="1" si="295"/>
        <v>#N/A</v>
      </c>
      <c r="AG656" s="306">
        <f t="shared" ca="1" si="317"/>
        <v>4.6307229154594785</v>
      </c>
      <c r="AH656" s="304">
        <f t="shared" ca="1" si="318"/>
        <v>-5.0318349416921153</v>
      </c>
    </row>
    <row r="657" spans="1:34" x14ac:dyDescent="0.2">
      <c r="A657" s="347">
        <f t="shared" ca="1" si="296"/>
        <v>0.1</v>
      </c>
      <c r="B657" s="304">
        <f t="shared" ca="1" si="297"/>
        <v>29.300000000000104</v>
      </c>
      <c r="D657" s="306">
        <f t="shared" ca="1" si="298"/>
        <v>-0.8694821691758593</v>
      </c>
      <c r="E657" s="307">
        <f t="shared" ca="1" si="299"/>
        <v>-4.7963267696220564</v>
      </c>
      <c r="F657" s="304">
        <f t="shared" ca="1" si="300"/>
        <v>4.8744999459952725</v>
      </c>
      <c r="G657" s="306">
        <f t="shared" ca="1" si="301"/>
        <v>15.30952164032235</v>
      </c>
      <c r="H657" s="307">
        <f t="shared" ca="1" si="302"/>
        <v>-89.259910757572186</v>
      </c>
      <c r="I657" s="304">
        <f t="shared" ca="1" si="303"/>
        <v>90.563310017386456</v>
      </c>
      <c r="J657" s="306">
        <f t="shared" ca="1" si="304"/>
        <v>831.72598342842468</v>
      </c>
      <c r="K657" s="307">
        <f t="shared" ca="1" si="305"/>
        <v>1648.1652448883738</v>
      </c>
      <c r="L657" s="304">
        <f t="shared" ca="1" si="290"/>
        <v>1846.1356358534258</v>
      </c>
      <c r="M657" s="306">
        <f t="shared" ca="1" si="306"/>
        <v>-1.4009329170116036</v>
      </c>
      <c r="N657" s="304">
        <f t="shared" ca="1" si="307"/>
        <v>-80.267543525716093</v>
      </c>
      <c r="P657" s="310">
        <f t="shared" ca="1" si="308"/>
        <v>23</v>
      </c>
      <c r="Q657" s="304">
        <f t="shared" ca="1" si="309"/>
        <v>0</v>
      </c>
      <c r="R657" s="306">
        <f t="shared" ca="1" si="310"/>
        <v>0</v>
      </c>
      <c r="S657" s="307">
        <f t="shared" ca="1" si="311"/>
        <v>5.0829999999999913</v>
      </c>
      <c r="T657" s="304">
        <f t="shared" ca="1" si="291"/>
        <v>49.864229999999914</v>
      </c>
      <c r="U657" s="311">
        <f t="shared" ca="1" si="292"/>
        <v>0</v>
      </c>
      <c r="V657" s="306">
        <f t="shared" ca="1" si="293"/>
        <v>1.0384712663037354</v>
      </c>
      <c r="W657" s="304">
        <f t="shared" ca="1" si="294"/>
        <v>26.151854867913251</v>
      </c>
      <c r="Y657" s="314" t="str">
        <f t="shared" ca="1" si="312"/>
        <v/>
      </c>
      <c r="Z657" s="315" t="str">
        <f t="shared" ca="1" si="313"/>
        <v/>
      </c>
      <c r="AA657" s="316" t="str">
        <f t="shared" ca="1" si="314"/>
        <v/>
      </c>
      <c r="AC657" s="310" t="e">
        <f t="shared" ca="1" si="315"/>
        <v>#N/A</v>
      </c>
      <c r="AD657" s="323" t="e">
        <f t="shared" ca="1" si="316"/>
        <v>#N/A</v>
      </c>
      <c r="AE657" s="324" t="e">
        <f t="shared" ca="1" si="295"/>
        <v>#N/A</v>
      </c>
      <c r="AG657" s="306">
        <f t="shared" ca="1" si="317"/>
        <v>4.5772186485286186</v>
      </c>
      <c r="AH657" s="304">
        <f t="shared" ca="1" si="318"/>
        <v>-5.0885084753317615</v>
      </c>
    </row>
    <row r="658" spans="1:34" x14ac:dyDescent="0.2">
      <c r="A658" s="347">
        <f t="shared" ca="1" si="296"/>
        <v>0.1</v>
      </c>
      <c r="B658" s="304">
        <f t="shared" ca="1" si="297"/>
        <v>29.400000000000105</v>
      </c>
      <c r="D658" s="306">
        <f t="shared" ca="1" si="298"/>
        <v>-0.86974456083045093</v>
      </c>
      <c r="E658" s="307">
        <f t="shared" ca="1" si="299"/>
        <v>-4.7390824556439073</v>
      </c>
      <c r="F658" s="304">
        <f t="shared" ca="1" si="300"/>
        <v>4.8182318460703035</v>
      </c>
      <c r="G658" s="306">
        <f t="shared" ca="1" si="301"/>
        <v>15.222547184239305</v>
      </c>
      <c r="H658" s="307">
        <f t="shared" ca="1" si="302"/>
        <v>-89.733819003136574</v>
      </c>
      <c r="I658" s="304">
        <f t="shared" ca="1" si="303"/>
        <v>91.015845959173873</v>
      </c>
      <c r="J658" s="306">
        <f t="shared" ca="1" si="304"/>
        <v>833.25258686965276</v>
      </c>
      <c r="K658" s="307">
        <f t="shared" ca="1" si="305"/>
        <v>1639.2155584003383</v>
      </c>
      <c r="L658" s="304">
        <f t="shared" ca="1" si="290"/>
        <v>1838.8413527073783</v>
      </c>
      <c r="M658" s="306">
        <f t="shared" ca="1" si="306"/>
        <v>-1.402754972385206</v>
      </c>
      <c r="N658" s="304">
        <f t="shared" ca="1" si="307"/>
        <v>-80.371939608662643</v>
      </c>
      <c r="P658" s="310">
        <f t="shared" ca="1" si="308"/>
        <v>23</v>
      </c>
      <c r="Q658" s="304">
        <f t="shared" ca="1" si="309"/>
        <v>0</v>
      </c>
      <c r="R658" s="306">
        <f t="shared" ca="1" si="310"/>
        <v>0</v>
      </c>
      <c r="S658" s="307">
        <f t="shared" ca="1" si="311"/>
        <v>5.0829999999999913</v>
      </c>
      <c r="T658" s="304">
        <f t="shared" ca="1" si="291"/>
        <v>49.864229999999914</v>
      </c>
      <c r="U658" s="311">
        <f t="shared" ca="1" si="292"/>
        <v>0</v>
      </c>
      <c r="V658" s="306">
        <f t="shared" ca="1" si="293"/>
        <v>1.0394074073645527</v>
      </c>
      <c r="W658" s="304">
        <f t="shared" ca="1" si="294"/>
        <v>26.437675402387967</v>
      </c>
      <c r="Y658" s="314" t="str">
        <f t="shared" ca="1" si="312"/>
        <v/>
      </c>
      <c r="Z658" s="315" t="str">
        <f t="shared" ca="1" si="313"/>
        <v/>
      </c>
      <c r="AA658" s="316" t="str">
        <f t="shared" ca="1" si="314"/>
        <v/>
      </c>
      <c r="AC658" s="310" t="e">
        <f t="shared" ca="1" si="315"/>
        <v>#N/A</v>
      </c>
      <c r="AD658" s="323" t="e">
        <f t="shared" ca="1" si="316"/>
        <v>#N/A</v>
      </c>
      <c r="AE658" s="324" t="e">
        <f t="shared" ca="1" si="295"/>
        <v>#N/A</v>
      </c>
      <c r="AG658" s="306">
        <f t="shared" ca="1" si="317"/>
        <v>4.5238486072263804</v>
      </c>
      <c r="AH658" s="304">
        <f t="shared" ca="1" si="318"/>
        <v>-5.1449645618558524</v>
      </c>
    </row>
    <row r="659" spans="1:34" x14ac:dyDescent="0.2">
      <c r="A659" s="347">
        <f t="shared" ca="1" si="296"/>
        <v>0.1</v>
      </c>
      <c r="B659" s="304">
        <f t="shared" ca="1" si="297"/>
        <v>29.500000000000107</v>
      </c>
      <c r="D659" s="306">
        <f t="shared" ca="1" si="298"/>
        <v>-0.86990830127836294</v>
      </c>
      <c r="E659" s="307">
        <f t="shared" ca="1" si="299"/>
        <v>-4.6820675251341397</v>
      </c>
      <c r="F659" s="304">
        <f t="shared" ca="1" si="300"/>
        <v>4.7621945322034813</v>
      </c>
      <c r="G659" s="306">
        <f t="shared" ca="1" si="301"/>
        <v>15.135556354111468</v>
      </c>
      <c r="H659" s="307">
        <f t="shared" ca="1" si="302"/>
        <v>-90.202025755649984</v>
      </c>
      <c r="I659" s="304">
        <f t="shared" ca="1" si="303"/>
        <v>91.463055473625133</v>
      </c>
      <c r="J659" s="306">
        <f t="shared" ca="1" si="304"/>
        <v>834.77049204657033</v>
      </c>
      <c r="K659" s="307">
        <f t="shared" ca="1" si="305"/>
        <v>1630.2187661623989</v>
      </c>
      <c r="L659" s="304">
        <f t="shared" ca="1" si="290"/>
        <v>1831.5171306705615</v>
      </c>
      <c r="M659" s="306">
        <f t="shared" ca="1" si="306"/>
        <v>-1.4045488543083529</v>
      </c>
      <c r="N659" s="304">
        <f t="shared" ca="1" si="307"/>
        <v>-80.474721471803775</v>
      </c>
      <c r="P659" s="310">
        <f t="shared" ca="1" si="308"/>
        <v>23</v>
      </c>
      <c r="Q659" s="304">
        <f t="shared" ca="1" si="309"/>
        <v>0</v>
      </c>
      <c r="R659" s="306">
        <f t="shared" ca="1" si="310"/>
        <v>0</v>
      </c>
      <c r="S659" s="307">
        <f t="shared" ca="1" si="311"/>
        <v>5.0829999999999913</v>
      </c>
      <c r="T659" s="304">
        <f t="shared" ca="1" si="291"/>
        <v>49.864229999999914</v>
      </c>
      <c r="U659" s="311">
        <f t="shared" ca="1" si="292"/>
        <v>0</v>
      </c>
      <c r="V659" s="306">
        <f t="shared" ca="1" si="293"/>
        <v>1.0403492565065495</v>
      </c>
      <c r="W659" s="304">
        <f t="shared" ca="1" si="294"/>
        <v>26.722310798106278</v>
      </c>
      <c r="Y659" s="314" t="str">
        <f t="shared" ca="1" si="312"/>
        <v/>
      </c>
      <c r="Z659" s="315" t="str">
        <f t="shared" ca="1" si="313"/>
        <v/>
      </c>
      <c r="AA659" s="316" t="str">
        <f t="shared" ca="1" si="314"/>
        <v/>
      </c>
      <c r="AC659" s="310" t="e">
        <f t="shared" ca="1" si="315"/>
        <v>#N/A</v>
      </c>
      <c r="AD659" s="323" t="e">
        <f t="shared" ca="1" si="316"/>
        <v>#N/A</v>
      </c>
      <c r="AE659" s="324" t="e">
        <f t="shared" ca="1" si="295"/>
        <v>#N/A</v>
      </c>
      <c r="AG659" s="306">
        <f t="shared" ca="1" si="317"/>
        <v>4.4706234986949109</v>
      </c>
      <c r="AH659" s="304">
        <f t="shared" ca="1" si="318"/>
        <v>-5.201195239501871</v>
      </c>
    </row>
    <row r="660" spans="1:34" x14ac:dyDescent="0.2">
      <c r="A660" s="347">
        <f t="shared" ca="1" si="296"/>
        <v>0.1</v>
      </c>
      <c r="B660" s="304">
        <f t="shared" ca="1" si="297"/>
        <v>29.600000000000108</v>
      </c>
      <c r="D660" s="306">
        <f t="shared" ca="1" si="298"/>
        <v>-0.86997462383544544</v>
      </c>
      <c r="E660" s="307">
        <f t="shared" ca="1" si="299"/>
        <v>-4.6252897990664223</v>
      </c>
      <c r="F660" s="304">
        <f t="shared" ca="1" si="300"/>
        <v>4.7063958154266547</v>
      </c>
      <c r="G660" s="306">
        <f t="shared" ca="1" si="301"/>
        <v>15.048558891727923</v>
      </c>
      <c r="H660" s="307">
        <f t="shared" ca="1" si="302"/>
        <v>-90.664554735556621</v>
      </c>
      <c r="I660" s="304">
        <f t="shared" ca="1" si="303"/>
        <v>91.904954219642292</v>
      </c>
      <c r="J660" s="306">
        <f t="shared" ca="1" si="304"/>
        <v>836.27969780886224</v>
      </c>
      <c r="K660" s="307">
        <f t="shared" ca="1" si="305"/>
        <v>1621.1754371378386</v>
      </c>
      <c r="L660" s="304">
        <f t="shared" ca="1" si="290"/>
        <v>1824.1637895063984</v>
      </c>
      <c r="M660" s="306">
        <f t="shared" ca="1" si="306"/>
        <v>-1.4063152296523476</v>
      </c>
      <c r="N660" s="304">
        <f t="shared" ca="1" si="307"/>
        <v>-80.575927324050639</v>
      </c>
      <c r="P660" s="310">
        <f t="shared" ca="1" si="308"/>
        <v>23</v>
      </c>
      <c r="Q660" s="304">
        <f t="shared" ca="1" si="309"/>
        <v>0</v>
      </c>
      <c r="R660" s="306">
        <f t="shared" ca="1" si="310"/>
        <v>0</v>
      </c>
      <c r="S660" s="307">
        <f t="shared" ca="1" si="311"/>
        <v>5.0829999999999913</v>
      </c>
      <c r="T660" s="304">
        <f t="shared" ca="1" si="291"/>
        <v>49.864229999999914</v>
      </c>
      <c r="U660" s="311">
        <f t="shared" ca="1" si="292"/>
        <v>0</v>
      </c>
      <c r="V660" s="306">
        <f t="shared" ca="1" si="293"/>
        <v>1.041296767373463</v>
      </c>
      <c r="W660" s="304">
        <f t="shared" ca="1" si="294"/>
        <v>27.005722750390373</v>
      </c>
      <c r="Y660" s="314" t="str">
        <f t="shared" ca="1" si="312"/>
        <v/>
      </c>
      <c r="Z660" s="315" t="str">
        <f t="shared" ca="1" si="313"/>
        <v/>
      </c>
      <c r="AA660" s="316" t="str">
        <f t="shared" ca="1" si="314"/>
        <v/>
      </c>
      <c r="AC660" s="310" t="e">
        <f t="shared" ca="1" si="315"/>
        <v>#N/A</v>
      </c>
      <c r="AD660" s="323" t="e">
        <f t="shared" ca="1" si="316"/>
        <v>#N/A</v>
      </c>
      <c r="AE660" s="324" t="e">
        <f t="shared" ca="1" si="295"/>
        <v>#N/A</v>
      </c>
      <c r="AG660" s="306">
        <f t="shared" ca="1" si="317"/>
        <v>4.4175537056438996</v>
      </c>
      <c r="AH660" s="304">
        <f t="shared" ca="1" si="318"/>
        <v>-5.2571927598084445</v>
      </c>
    </row>
    <row r="661" spans="1:34" x14ac:dyDescent="0.2">
      <c r="A661" s="347">
        <f t="shared" ca="1" si="296"/>
        <v>0.1</v>
      </c>
      <c r="B661" s="304">
        <f t="shared" ca="1" si="297"/>
        <v>29.700000000000109</v>
      </c>
      <c r="D661" s="306">
        <f t="shared" ca="1" si="298"/>
        <v>-0.86994477530227221</v>
      </c>
      <c r="E661" s="307">
        <f t="shared" ca="1" si="299"/>
        <v>-4.5687568839790806</v>
      </c>
      <c r="F661" s="304">
        <f t="shared" ca="1" si="300"/>
        <v>4.6508432974012317</v>
      </c>
      <c r="G661" s="306">
        <f t="shared" ca="1" si="301"/>
        <v>14.961564414197696</v>
      </c>
      <c r="H661" s="307">
        <f t="shared" ca="1" si="302"/>
        <v>-91.121430423954536</v>
      </c>
      <c r="I661" s="304">
        <f t="shared" ca="1" si="303"/>
        <v>92.341558857470972</v>
      </c>
      <c r="J661" s="306">
        <f t="shared" ca="1" si="304"/>
        <v>837.78020397415855</v>
      </c>
      <c r="K661" s="307">
        <f t="shared" ca="1" si="305"/>
        <v>1612.0861378798629</v>
      </c>
      <c r="L661" s="304">
        <f t="shared" ca="1" si="290"/>
        <v>1816.7821515292896</v>
      </c>
      <c r="M661" s="306">
        <f t="shared" ca="1" si="306"/>
        <v>-1.4080547439942581</v>
      </c>
      <c r="N661" s="304">
        <f t="shared" ca="1" si="307"/>
        <v>-80.675594154244592</v>
      </c>
      <c r="P661" s="310">
        <f t="shared" ca="1" si="308"/>
        <v>23</v>
      </c>
      <c r="Q661" s="304">
        <f t="shared" ca="1" si="309"/>
        <v>0</v>
      </c>
      <c r="R661" s="306">
        <f t="shared" ca="1" si="310"/>
        <v>0</v>
      </c>
      <c r="S661" s="307">
        <f t="shared" ca="1" si="311"/>
        <v>5.0829999999999913</v>
      </c>
      <c r="T661" s="304">
        <f t="shared" ca="1" si="291"/>
        <v>49.864229999999914</v>
      </c>
      <c r="U661" s="311">
        <f t="shared" ca="1" si="292"/>
        <v>0</v>
      </c>
      <c r="V661" s="306">
        <f t="shared" ca="1" si="293"/>
        <v>1.0422498937581455</v>
      </c>
      <c r="W661" s="304">
        <f t="shared" ca="1" si="294"/>
        <v>27.287874031229428</v>
      </c>
      <c r="Y661" s="314" t="str">
        <f t="shared" ca="1" si="312"/>
        <v/>
      </c>
      <c r="Z661" s="315" t="str">
        <f t="shared" ca="1" si="313"/>
        <v/>
      </c>
      <c r="AA661" s="316" t="str">
        <f t="shared" ca="1" si="314"/>
        <v/>
      </c>
      <c r="AC661" s="310" t="e">
        <f t="shared" ca="1" si="315"/>
        <v>#N/A</v>
      </c>
      <c r="AD661" s="323" t="e">
        <f t="shared" ca="1" si="316"/>
        <v>#N/A</v>
      </c>
      <c r="AE661" s="324" t="e">
        <f t="shared" ca="1" si="295"/>
        <v>#N/A</v>
      </c>
      <c r="AG661" s="306">
        <f t="shared" ca="1" si="317"/>
        <v>4.364649292339819</v>
      </c>
      <c r="AH661" s="304">
        <f t="shared" ca="1" si="318"/>
        <v>-5.3129495869349634</v>
      </c>
    </row>
    <row r="662" spans="1:34" x14ac:dyDescent="0.2">
      <c r="A662" s="347">
        <f t="shared" ca="1" si="296"/>
        <v>0.1</v>
      </c>
      <c r="B662" s="304">
        <f t="shared" ca="1" si="297"/>
        <v>29.800000000000111</v>
      </c>
      <c r="D662" s="306">
        <f t="shared" ca="1" si="298"/>
        <v>-0.86982001498920813</v>
      </c>
      <c r="E662" s="307">
        <f t="shared" ca="1" si="299"/>
        <v>-4.5124761727463758</v>
      </c>
      <c r="F662" s="304">
        <f t="shared" ca="1" si="300"/>
        <v>4.5955443712447828</v>
      </c>
      <c r="G662" s="306">
        <f t="shared" ca="1" si="301"/>
        <v>14.874582412698775</v>
      </c>
      <c r="H662" s="307">
        <f t="shared" ca="1" si="302"/>
        <v>-91.572678041229167</v>
      </c>
      <c r="I662" s="304">
        <f t="shared" ca="1" si="303"/>
        <v>92.772887017677647</v>
      </c>
      <c r="J662" s="306">
        <f t="shared" ca="1" si="304"/>
        <v>839.27201131550339</v>
      </c>
      <c r="K662" s="307">
        <f t="shared" ca="1" si="305"/>
        <v>1602.9514324566037</v>
      </c>
      <c r="L662" s="304">
        <f t="shared" ca="1" si="290"/>
        <v>1809.3730416341039</v>
      </c>
      <c r="M662" s="306">
        <f t="shared" ca="1" si="306"/>
        <v>-1.4097680224473395</v>
      </c>
      <c r="N662" s="304">
        <f t="shared" ca="1" si="307"/>
        <v>-80.773757778736851</v>
      </c>
      <c r="P662" s="310">
        <f t="shared" ca="1" si="308"/>
        <v>23</v>
      </c>
      <c r="Q662" s="304">
        <f t="shared" ca="1" si="309"/>
        <v>0</v>
      </c>
      <c r="R662" s="306">
        <f t="shared" ca="1" si="310"/>
        <v>0</v>
      </c>
      <c r="S662" s="307">
        <f t="shared" ca="1" si="311"/>
        <v>5.0829999999999913</v>
      </c>
      <c r="T662" s="304">
        <f t="shared" ca="1" si="291"/>
        <v>49.864229999999914</v>
      </c>
      <c r="U662" s="311">
        <f t="shared" ca="1" si="292"/>
        <v>0</v>
      </c>
      <c r="V662" s="306">
        <f t="shared" ca="1" si="293"/>
        <v>1.0432085896088092</v>
      </c>
      <c r="W662" s="304">
        <f t="shared" ca="1" si="294"/>
        <v>27.568728484589023</v>
      </c>
      <c r="Y662" s="314" t="str">
        <f t="shared" ca="1" si="312"/>
        <v/>
      </c>
      <c r="Z662" s="315" t="str">
        <f t="shared" ca="1" si="313"/>
        <v/>
      </c>
      <c r="AA662" s="316" t="str">
        <f t="shared" ca="1" si="314"/>
        <v/>
      </c>
      <c r="AC662" s="310" t="e">
        <f t="shared" ca="1" si="315"/>
        <v>#N/A</v>
      </c>
      <c r="AD662" s="323" t="e">
        <f t="shared" ca="1" si="316"/>
        <v>#N/A</v>
      </c>
      <c r="AE662" s="324" t="e">
        <f t="shared" ca="1" si="295"/>
        <v>#N/A</v>
      </c>
      <c r="AG662" s="306">
        <f t="shared" ca="1" si="317"/>
        <v>4.3119200104279782</v>
      </c>
      <c r="AH662" s="304">
        <f t="shared" ca="1" si="318"/>
        <v>-5.3684583968580517</v>
      </c>
    </row>
    <row r="663" spans="1:34" x14ac:dyDescent="0.2">
      <c r="A663" s="347">
        <f t="shared" ca="1" si="296"/>
        <v>0.1</v>
      </c>
      <c r="B663" s="304">
        <f t="shared" ca="1" si="297"/>
        <v>29.900000000000112</v>
      </c>
      <c r="D663" s="306">
        <f t="shared" ca="1" si="298"/>
        <v>-0.86960161376150991</v>
      </c>
      <c r="E663" s="307">
        <f t="shared" ca="1" si="299"/>
        <v>-4.4564548454729973</v>
      </c>
      <c r="F663" s="304">
        <f t="shared" ca="1" si="300"/>
        <v>4.5405062224818478</v>
      </c>
      <c r="G663" s="306">
        <f t="shared" ca="1" si="301"/>
        <v>14.787622251322624</v>
      </c>
      <c r="H663" s="307">
        <f t="shared" ca="1" si="302"/>
        <v>-92.018323525776466</v>
      </c>
      <c r="I663" s="304">
        <f t="shared" ca="1" si="303"/>
        <v>93.198957270681305</v>
      </c>
      <c r="J663" s="306">
        <f t="shared" ca="1" si="304"/>
        <v>840.75512154870444</v>
      </c>
      <c r="K663" s="307">
        <f t="shared" ca="1" si="305"/>
        <v>1593.7718823782534</v>
      </c>
      <c r="L663" s="304">
        <f t="shared" ca="1" si="290"/>
        <v>1801.9372873299164</v>
      </c>
      <c r="M663" s="306">
        <f t="shared" ca="1" si="306"/>
        <v>-1.4114556704535592</v>
      </c>
      <c r="N663" s="304">
        <f t="shared" ca="1" si="307"/>
        <v>-80.870452886796912</v>
      </c>
      <c r="P663" s="310">
        <f t="shared" ca="1" si="308"/>
        <v>23</v>
      </c>
      <c r="Q663" s="304">
        <f t="shared" ca="1" si="309"/>
        <v>0</v>
      </c>
      <c r="R663" s="306">
        <f t="shared" ca="1" si="310"/>
        <v>0</v>
      </c>
      <c r="S663" s="307">
        <f t="shared" ca="1" si="311"/>
        <v>5.0829999999999913</v>
      </c>
      <c r="T663" s="304">
        <f t="shared" ca="1" si="291"/>
        <v>49.864229999999914</v>
      </c>
      <c r="U663" s="311">
        <f t="shared" ca="1" si="292"/>
        <v>0</v>
      </c>
      <c r="V663" s="306">
        <f t="shared" ca="1" si="293"/>
        <v>1.044172809035127</v>
      </c>
      <c r="W663" s="304">
        <f t="shared" ca="1" si="294"/>
        <v>27.848251021135187</v>
      </c>
      <c r="Y663" s="314" t="str">
        <f t="shared" ca="1" si="312"/>
        <v/>
      </c>
      <c r="Z663" s="315" t="str">
        <f t="shared" ca="1" si="313"/>
        <v/>
      </c>
      <c r="AA663" s="316" t="str">
        <f t="shared" ca="1" si="314"/>
        <v/>
      </c>
      <c r="AC663" s="310" t="e">
        <f t="shared" ca="1" si="315"/>
        <v>#N/A</v>
      </c>
      <c r="AD663" s="323" t="e">
        <f t="shared" ca="1" si="316"/>
        <v>#N/A</v>
      </c>
      <c r="AE663" s="324" t="e">
        <f t="shared" ca="1" si="295"/>
        <v>#N/A</v>
      </c>
      <c r="AG663" s="306">
        <f t="shared" ca="1" si="317"/>
        <v>4.2593753046013036</v>
      </c>
      <c r="AH663" s="304">
        <f t="shared" ca="1" si="318"/>
        <v>-5.4237120764487647</v>
      </c>
    </row>
    <row r="664" spans="1:34" x14ac:dyDescent="0.2">
      <c r="A664" s="347">
        <f t="shared" ca="1" si="296"/>
        <v>0.1</v>
      </c>
      <c r="B664" s="304">
        <f t="shared" ca="1" si="297"/>
        <v>30.000000000000114</v>
      </c>
      <c r="D664" s="306">
        <f t="shared" ca="1" si="298"/>
        <v>-0.86929085310447918</v>
      </c>
      <c r="E664" s="307">
        <f t="shared" ca="1" si="299"/>
        <v>-4.4006998705074629</v>
      </c>
      <c r="F664" s="304">
        <f t="shared" ca="1" si="300"/>
        <v>4.4857358301147778</v>
      </c>
      <c r="G664" s="306">
        <f t="shared" ca="1" si="301"/>
        <v>14.700693166012176</v>
      </c>
      <c r="H664" s="307">
        <f t="shared" ca="1" si="302"/>
        <v>-92.458393512827215</v>
      </c>
      <c r="I664" s="304">
        <f t="shared" ca="1" si="303"/>
        <v>93.619789096825286</v>
      </c>
      <c r="J664" s="306">
        <f t="shared" ca="1" si="304"/>
        <v>842.22953731957114</v>
      </c>
      <c r="K664" s="307">
        <f t="shared" ca="1" si="305"/>
        <v>1584.5480465263231</v>
      </c>
      <c r="L664" s="304">
        <f t="shared" ca="1" si="290"/>
        <v>1794.4757187780294</v>
      </c>
      <c r="M664" s="306">
        <f t="shared" ca="1" si="306"/>
        <v>-1.4131182745401996</v>
      </c>
      <c r="N664" s="304">
        <f t="shared" ca="1" si="307"/>
        <v>-80.965713083962612</v>
      </c>
      <c r="P664" s="310">
        <f t="shared" ca="1" si="308"/>
        <v>23</v>
      </c>
      <c r="Q664" s="304">
        <f t="shared" ca="1" si="309"/>
        <v>0</v>
      </c>
      <c r="R664" s="306">
        <f t="shared" ca="1" si="310"/>
        <v>0</v>
      </c>
      <c r="S664" s="307">
        <f t="shared" ca="1" si="311"/>
        <v>5.0829999999999913</v>
      </c>
      <c r="T664" s="304">
        <f t="shared" ca="1" si="291"/>
        <v>49.864229999999914</v>
      </c>
      <c r="U664" s="311">
        <f t="shared" ca="1" si="292"/>
        <v>0</v>
      </c>
      <c r="V664" s="306">
        <f t="shared" ca="1" si="293"/>
        <v>1.045142506314175</v>
      </c>
      <c r="W664" s="304">
        <f t="shared" ca="1" si="294"/>
        <v>28.126407612392402</v>
      </c>
      <c r="Y664" s="314" t="str">
        <f t="shared" ca="1" si="312"/>
        <v/>
      </c>
      <c r="Z664" s="315" t="str">
        <f t="shared" ca="1" si="313"/>
        <v/>
      </c>
      <c r="AA664" s="316" t="str">
        <f t="shared" ca="1" si="314"/>
        <v/>
      </c>
      <c r="AC664" s="310">
        <f t="shared" ca="1" si="315"/>
        <v>30.000000000000114</v>
      </c>
      <c r="AD664" s="323">
        <f t="shared" ca="1" si="316"/>
        <v>842.22953731957114</v>
      </c>
      <c r="AE664" s="324" t="e">
        <f t="shared" ca="1" si="295"/>
        <v>#N/A</v>
      </c>
      <c r="AG664" s="306">
        <f t="shared" ca="1" si="317"/>
        <v>4.2070243181283296</v>
      </c>
      <c r="AH664" s="304">
        <f t="shared" ca="1" si="318"/>
        <v>-5.4787037224346324</v>
      </c>
    </row>
    <row r="665" spans="1:34" x14ac:dyDescent="0.2">
      <c r="A665" s="347">
        <f t="shared" ca="1" si="296"/>
        <v>0.1</v>
      </c>
      <c r="B665" s="304">
        <f t="shared" ca="1" si="297"/>
        <v>30.100000000000115</v>
      </c>
      <c r="D665" s="306">
        <f t="shared" ca="1" si="298"/>
        <v>-0.86888902420862579</v>
      </c>
      <c r="E665" s="307">
        <f t="shared" ca="1" si="299"/>
        <v>-4.3452180055704064</v>
      </c>
      <c r="F665" s="304">
        <f t="shared" ca="1" si="300"/>
        <v>4.4312399678107575</v>
      </c>
      <c r="G665" s="306">
        <f t="shared" ca="1" si="301"/>
        <v>14.613804263591312</v>
      </c>
      <c r="H665" s="307">
        <f t="shared" ca="1" si="302"/>
        <v>-92.89291531338425</v>
      </c>
      <c r="I665" s="304">
        <f t="shared" ca="1" si="303"/>
        <v>94.035402856977953</v>
      </c>
      <c r="J665" s="306">
        <f t="shared" ca="1" si="304"/>
        <v>843.69526219105126</v>
      </c>
      <c r="K665" s="307">
        <f t="shared" ca="1" si="305"/>
        <v>1575.2804810850125</v>
      </c>
      <c r="L665" s="304">
        <f t="shared" ca="1" si="290"/>
        <v>1786.9891688342868</v>
      </c>
      <c r="M665" s="306">
        <f t="shared" ca="1" si="306"/>
        <v>-1.4147564030423894</v>
      </c>
      <c r="N665" s="304">
        <f t="shared" ca="1" si="307"/>
        <v>-81.059570933438167</v>
      </c>
      <c r="P665" s="310">
        <f t="shared" ca="1" si="308"/>
        <v>23</v>
      </c>
      <c r="Q665" s="304">
        <f t="shared" ca="1" si="309"/>
        <v>0</v>
      </c>
      <c r="R665" s="306">
        <f t="shared" ca="1" si="310"/>
        <v>0</v>
      </c>
      <c r="S665" s="307">
        <f t="shared" ca="1" si="311"/>
        <v>5.0829999999999913</v>
      </c>
      <c r="T665" s="304">
        <f t="shared" ca="1" si="291"/>
        <v>49.864229999999914</v>
      </c>
      <c r="U665" s="311">
        <f t="shared" ca="1" si="292"/>
        <v>0</v>
      </c>
      <c r="V665" s="306">
        <f t="shared" ca="1" si="293"/>
        <v>1.0461176358962361</v>
      </c>
      <c r="W665" s="304">
        <f t="shared" ca="1" si="294"/>
        <v>28.403165284356707</v>
      </c>
      <c r="Y665" s="314" t="str">
        <f t="shared" ca="1" si="312"/>
        <v/>
      </c>
      <c r="Z665" s="315" t="str">
        <f t="shared" ca="1" si="313"/>
        <v/>
      </c>
      <c r="AA665" s="316" t="str">
        <f t="shared" ca="1" si="314"/>
        <v/>
      </c>
      <c r="AC665" s="310" t="e">
        <f t="shared" ca="1" si="315"/>
        <v>#N/A</v>
      </c>
      <c r="AD665" s="323" t="e">
        <f t="shared" ca="1" si="316"/>
        <v>#N/A</v>
      </c>
      <c r="AE665" s="324" t="e">
        <f t="shared" ca="1" si="295"/>
        <v>#N/A</v>
      </c>
      <c r="AG665" s="306">
        <f t="shared" ca="1" si="317"/>
        <v>4.154875898252099</v>
      </c>
      <c r="AH665" s="304">
        <f t="shared" ca="1" si="318"/>
        <v>-5.5334266402503349</v>
      </c>
    </row>
    <row r="666" spans="1:34" x14ac:dyDescent="0.2">
      <c r="A666" s="347">
        <f t="shared" ca="1" si="296"/>
        <v>0.1</v>
      </c>
      <c r="B666" s="304">
        <f t="shared" ca="1" si="297"/>
        <v>30.200000000000117</v>
      </c>
      <c r="D666" s="306">
        <f t="shared" ca="1" si="298"/>
        <v>-0.86839742707486622</v>
      </c>
      <c r="E666" s="307">
        <f t="shared" ca="1" si="299"/>
        <v>-4.2900157989934442</v>
      </c>
      <c r="F666" s="304">
        <f t="shared" ca="1" si="300"/>
        <v>4.3770252052008569</v>
      </c>
      <c r="G666" s="306">
        <f t="shared" ca="1" si="301"/>
        <v>14.526964520883826</v>
      </c>
      <c r="H666" s="307">
        <f t="shared" ca="1" si="302"/>
        <v>-93.3219168932836</v>
      </c>
      <c r="I666" s="304">
        <f t="shared" ca="1" si="303"/>
        <v>94.445819763650462</v>
      </c>
      <c r="J666" s="306">
        <f t="shared" ca="1" si="304"/>
        <v>845.15230063027502</v>
      </c>
      <c r="K666" s="307">
        <f t="shared" ca="1" si="305"/>
        <v>1565.969739474679</v>
      </c>
      <c r="L666" s="304">
        <f t="shared" ca="1" si="290"/>
        <v>1779.4784730957103</v>
      </c>
      <c r="M666" s="306">
        <f t="shared" ca="1" si="306"/>
        <v>-1.4163706067933175</v>
      </c>
      <c r="N666" s="304">
        <f t="shared" ca="1" si="307"/>
        <v>-81.152057995640533</v>
      </c>
      <c r="P666" s="310">
        <f t="shared" ca="1" si="308"/>
        <v>23</v>
      </c>
      <c r="Q666" s="304">
        <f t="shared" ca="1" si="309"/>
        <v>0</v>
      </c>
      <c r="R666" s="306">
        <f t="shared" ca="1" si="310"/>
        <v>0</v>
      </c>
      <c r="S666" s="307">
        <f t="shared" ca="1" si="311"/>
        <v>5.0829999999999913</v>
      </c>
      <c r="T666" s="304">
        <f t="shared" ca="1" si="291"/>
        <v>49.864229999999914</v>
      </c>
      <c r="U666" s="311">
        <f t="shared" ca="1" si="292"/>
        <v>0</v>
      </c>
      <c r="V666" s="306">
        <f t="shared" ca="1" si="293"/>
        <v>1.0470981524104457</v>
      </c>
      <c r="W666" s="304">
        <f t="shared" ca="1" si="294"/>
        <v>28.678492110583488</v>
      </c>
      <c r="Y666" s="314" t="str">
        <f t="shared" ca="1" si="312"/>
        <v/>
      </c>
      <c r="Z666" s="315" t="str">
        <f t="shared" ca="1" si="313"/>
        <v/>
      </c>
      <c r="AA666" s="316" t="str">
        <f t="shared" ca="1" si="314"/>
        <v/>
      </c>
      <c r="AC666" s="310" t="e">
        <f t="shared" ca="1" si="315"/>
        <v>#N/A</v>
      </c>
      <c r="AD666" s="323" t="e">
        <f t="shared" ca="1" si="316"/>
        <v>#N/A</v>
      </c>
      <c r="AE666" s="324" t="e">
        <f t="shared" ca="1" si="295"/>
        <v>#N/A</v>
      </c>
      <c r="AG666" s="306">
        <f t="shared" ca="1" si="317"/>
        <v>4.1029386014702416</v>
      </c>
      <c r="AH666" s="304">
        <f t="shared" ca="1" si="318"/>
        <v>-5.5878743427811832</v>
      </c>
    </row>
    <row r="667" spans="1:34" x14ac:dyDescent="0.2">
      <c r="A667" s="347">
        <f t="shared" ca="1" si="296"/>
        <v>0.1</v>
      </c>
      <c r="B667" s="304">
        <f t="shared" ca="1" si="297"/>
        <v>30.300000000000118</v>
      </c>
      <c r="D667" s="306">
        <f t="shared" ca="1" si="298"/>
        <v>-0.86781736963971967</v>
      </c>
      <c r="E667" s="307">
        <f t="shared" ca="1" si="299"/>
        <v>-4.2350995910645617</v>
      </c>
      <c r="F667" s="304">
        <f t="shared" ca="1" si="300"/>
        <v>4.3230979092872301</v>
      </c>
      <c r="G667" s="306">
        <f t="shared" ca="1" si="301"/>
        <v>14.440182783919854</v>
      </c>
      <c r="H667" s="307">
        <f t="shared" ca="1" si="302"/>
        <v>-93.745426852390054</v>
      </c>
      <c r="I667" s="304">
        <f t="shared" ca="1" si="303"/>
        <v>94.851061852621513</v>
      </c>
      <c r="J667" s="306">
        <f t="shared" ca="1" si="304"/>
        <v>846.60065799551523</v>
      </c>
      <c r="K667" s="307">
        <f t="shared" ca="1" si="305"/>
        <v>1556.6163722873953</v>
      </c>
      <c r="L667" s="304">
        <f t="shared" ca="1" si="290"/>
        <v>1771.944469951474</v>
      </c>
      <c r="M667" s="306">
        <f t="shared" ca="1" si="306"/>
        <v>-1.4179614197837775</v>
      </c>
      <c r="N667" s="304">
        <f t="shared" ca="1" si="307"/>
        <v>-81.243204865988488</v>
      </c>
      <c r="P667" s="310">
        <f t="shared" ca="1" si="308"/>
        <v>23</v>
      </c>
      <c r="Q667" s="304">
        <f t="shared" ca="1" si="309"/>
        <v>0</v>
      </c>
      <c r="R667" s="306">
        <f t="shared" ca="1" si="310"/>
        <v>0</v>
      </c>
      <c r="S667" s="307">
        <f t="shared" ca="1" si="311"/>
        <v>5.0829999999999913</v>
      </c>
      <c r="T667" s="304">
        <f t="shared" ca="1" si="291"/>
        <v>49.864229999999914</v>
      </c>
      <c r="U667" s="311">
        <f t="shared" ca="1" si="292"/>
        <v>0</v>
      </c>
      <c r="V667" s="306">
        <f t="shared" ca="1" si="293"/>
        <v>1.048084010670296</v>
      </c>
      <c r="W667" s="304">
        <f t="shared" ca="1" si="294"/>
        <v>28.952357204770394</v>
      </c>
      <c r="Y667" s="314" t="str">
        <f t="shared" ca="1" si="312"/>
        <v/>
      </c>
      <c r="Z667" s="315" t="str">
        <f t="shared" ca="1" si="313"/>
        <v/>
      </c>
      <c r="AA667" s="316" t="str">
        <f t="shared" ca="1" si="314"/>
        <v/>
      </c>
      <c r="AC667" s="310" t="e">
        <f t="shared" ca="1" si="315"/>
        <v>#N/A</v>
      </c>
      <c r="AD667" s="323" t="e">
        <f t="shared" ca="1" si="316"/>
        <v>#N/A</v>
      </c>
      <c r="AE667" s="324" t="e">
        <f t="shared" ca="1" si="295"/>
        <v>#N/A</v>
      </c>
      <c r="AG667" s="306">
        <f t="shared" ca="1" si="317"/>
        <v>4.0512206987058548</v>
      </c>
      <c r="AH667" s="304">
        <f t="shared" ca="1" si="318"/>
        <v>-5.6420405490032532</v>
      </c>
    </row>
    <row r="668" spans="1:34" x14ac:dyDescent="0.2">
      <c r="A668" s="347">
        <f t="shared" ca="1" si="296"/>
        <v>0.1</v>
      </c>
      <c r="B668" s="304">
        <f t="shared" ca="1" si="297"/>
        <v>30.400000000000119</v>
      </c>
      <c r="D668" s="306">
        <f t="shared" ca="1" si="298"/>
        <v>-0.86715016692047053</v>
      </c>
      <c r="E668" s="307">
        <f t="shared" ca="1" si="299"/>
        <v>-4.1804755154758588</v>
      </c>
      <c r="F668" s="304">
        <f t="shared" ca="1" si="300"/>
        <v>4.2694642459544436</v>
      </c>
      <c r="G668" s="306">
        <f t="shared" ca="1" si="301"/>
        <v>14.353467767227807</v>
      </c>
      <c r="H668" s="307">
        <f t="shared" ca="1" si="302"/>
        <v>-94.163474403937641</v>
      </c>
      <c r="I668" s="304">
        <f t="shared" ca="1" si="303"/>
        <v>95.251151955059669</v>
      </c>
      <c r="J668" s="306">
        <f t="shared" ca="1" si="304"/>
        <v>848.04034052307259</v>
      </c>
      <c r="K668" s="307">
        <f t="shared" ca="1" si="305"/>
        <v>1547.2209272245789</v>
      </c>
      <c r="L668" s="304">
        <f t="shared" ca="1" si="290"/>
        <v>1764.388000638231</v>
      </c>
      <c r="M668" s="306">
        <f t="shared" ca="1" si="306"/>
        <v>-1.4195293597925966</v>
      </c>
      <c r="N668" s="304">
        <f t="shared" ca="1" si="307"/>
        <v>-81.333041211023527</v>
      </c>
      <c r="P668" s="310">
        <f t="shared" ca="1" si="308"/>
        <v>23</v>
      </c>
      <c r="Q668" s="304">
        <f t="shared" ca="1" si="309"/>
        <v>0</v>
      </c>
      <c r="R668" s="306">
        <f t="shared" ca="1" si="310"/>
        <v>0</v>
      </c>
      <c r="S668" s="307">
        <f t="shared" ca="1" si="311"/>
        <v>5.0829999999999913</v>
      </c>
      <c r="T668" s="304">
        <f t="shared" ca="1" si="291"/>
        <v>49.864229999999914</v>
      </c>
      <c r="U668" s="311">
        <f t="shared" ca="1" si="292"/>
        <v>0</v>
      </c>
      <c r="V668" s="306">
        <f t="shared" ca="1" si="293"/>
        <v>1.0490751656789885</v>
      </c>
      <c r="W668" s="304">
        <f t="shared" ca="1" si="294"/>
        <v>29.224730712855465</v>
      </c>
      <c r="Y668" s="314" t="str">
        <f t="shared" ca="1" si="312"/>
        <v/>
      </c>
      <c r="Z668" s="315" t="str">
        <f t="shared" ca="1" si="313"/>
        <v/>
      </c>
      <c r="AA668" s="316" t="str">
        <f t="shared" ca="1" si="314"/>
        <v/>
      </c>
      <c r="AC668" s="310" t="e">
        <f t="shared" ca="1" si="315"/>
        <v>#N/A</v>
      </c>
      <c r="AD668" s="323" t="e">
        <f t="shared" ca="1" si="316"/>
        <v>#N/A</v>
      </c>
      <c r="AE668" s="324" t="e">
        <f t="shared" ca="1" si="295"/>
        <v>#N/A</v>
      </c>
      <c r="AG668" s="306">
        <f t="shared" ca="1" si="317"/>
        <v>3.9997301803777985</v>
      </c>
      <c r="AH668" s="304">
        <f t="shared" ca="1" si="318"/>
        <v>-5.6959191825241868</v>
      </c>
    </row>
    <row r="669" spans="1:34" x14ac:dyDescent="0.2">
      <c r="A669" s="347">
        <f t="shared" ca="1" si="296"/>
        <v>0.1</v>
      </c>
      <c r="B669" s="304">
        <f t="shared" ca="1" si="297"/>
        <v>30.500000000000121</v>
      </c>
      <c r="D669" s="306">
        <f t="shared" ca="1" si="298"/>
        <v>-0.86639714018028369</v>
      </c>
      <c r="E669" s="307">
        <f t="shared" ca="1" si="299"/>
        <v>-4.1261495008695279</v>
      </c>
      <c r="F669" s="304">
        <f t="shared" ca="1" si="300"/>
        <v>4.2161301815810228</v>
      </c>
      <c r="G669" s="306">
        <f t="shared" ca="1" si="301"/>
        <v>14.266828053209778</v>
      </c>
      <c r="H669" s="307">
        <f t="shared" ca="1" si="302"/>
        <v>-94.576089354024589</v>
      </c>
      <c r="I669" s="304">
        <f t="shared" ca="1" si="303"/>
        <v>95.64611367013454</v>
      </c>
      <c r="J669" s="306">
        <f t="shared" ca="1" si="304"/>
        <v>849.47135531409447</v>
      </c>
      <c r="K669" s="307">
        <f t="shared" ca="1" si="305"/>
        <v>1537.7839490366807</v>
      </c>
      <c r="L669" s="304">
        <f t="shared" ca="1" si="290"/>
        <v>1756.8099092998118</v>
      </c>
      <c r="M669" s="306">
        <f t="shared" ca="1" si="306"/>
        <v>-1.4210749289894187</v>
      </c>
      <c r="N669" s="304">
        <f t="shared" ca="1" si="307"/>
        <v>-81.421595802946854</v>
      </c>
      <c r="P669" s="310">
        <f t="shared" ca="1" si="308"/>
        <v>23</v>
      </c>
      <c r="Q669" s="304">
        <f t="shared" ca="1" si="309"/>
        <v>0</v>
      </c>
      <c r="R669" s="306">
        <f t="shared" ca="1" si="310"/>
        <v>0</v>
      </c>
      <c r="S669" s="307">
        <f t="shared" ca="1" si="311"/>
        <v>5.0829999999999913</v>
      </c>
      <c r="T669" s="304">
        <f t="shared" ca="1" si="291"/>
        <v>49.864229999999914</v>
      </c>
      <c r="U669" s="311">
        <f t="shared" ca="1" si="292"/>
        <v>0</v>
      </c>
      <c r="V669" s="306">
        <f t="shared" ca="1" si="293"/>
        <v>1.0500715726346403</v>
      </c>
      <c r="W669" s="304">
        <f t="shared" ca="1" si="294"/>
        <v>29.495583804650497</v>
      </c>
      <c r="Y669" s="314" t="str">
        <f t="shared" ca="1" si="312"/>
        <v/>
      </c>
      <c r="Z669" s="315" t="str">
        <f t="shared" ca="1" si="313"/>
        <v/>
      </c>
      <c r="AA669" s="316" t="str">
        <f t="shared" ca="1" si="314"/>
        <v/>
      </c>
      <c r="AC669" s="310" t="e">
        <f t="shared" ca="1" si="315"/>
        <v>#N/A</v>
      </c>
      <c r="AD669" s="323" t="e">
        <f t="shared" ca="1" si="316"/>
        <v>#N/A</v>
      </c>
      <c r="AE669" s="324" t="e">
        <f t="shared" ca="1" si="295"/>
        <v>#N/A</v>
      </c>
      <c r="AG669" s="306">
        <f t="shared" ca="1" si="317"/>
        <v>3.9484747613781881</v>
      </c>
      <c r="AH669" s="304">
        <f t="shared" ca="1" si="318"/>
        <v>-5.7495043700286281</v>
      </c>
    </row>
    <row r="670" spans="1:34" x14ac:dyDescent="0.2">
      <c r="A670" s="347">
        <f t="shared" ca="1" si="296"/>
        <v>0.1</v>
      </c>
      <c r="B670" s="304">
        <f t="shared" ca="1" si="297"/>
        <v>30.600000000000122</v>
      </c>
      <c r="D670" s="306">
        <f t="shared" ca="1" si="298"/>
        <v>-0.86555961611321297</v>
      </c>
      <c r="E670" s="307">
        <f t="shared" ca="1" si="299"/>
        <v>-4.0721272724779807</v>
      </c>
      <c r="F670" s="304">
        <f t="shared" ca="1" si="300"/>
        <v>4.1631014847472807</v>
      </c>
      <c r="G670" s="306">
        <f t="shared" ca="1" si="301"/>
        <v>14.180272091598457</v>
      </c>
      <c r="H670" s="307">
        <f t="shared" ca="1" si="302"/>
        <v>-94.983302081272384</v>
      </c>
      <c r="I670" s="304">
        <f t="shared" ca="1" si="303"/>
        <v>96.035971338108553</v>
      </c>
      <c r="J670" s="306">
        <f t="shared" ca="1" si="304"/>
        <v>850.89371032133488</v>
      </c>
      <c r="K670" s="307">
        <f t="shared" ca="1" si="305"/>
        <v>1528.3059794649159</v>
      </c>
      <c r="L670" s="304">
        <f t="shared" ca="1" si="290"/>
        <v>1749.2110430513019</v>
      </c>
      <c r="M670" s="306">
        <f t="shared" ca="1" si="306"/>
        <v>-1.4225986145112237</v>
      </c>
      <c r="N670" s="304">
        <f t="shared" ca="1" si="307"/>
        <v>-81.508896552651464</v>
      </c>
      <c r="P670" s="310">
        <f t="shared" ca="1" si="308"/>
        <v>23</v>
      </c>
      <c r="Q670" s="304">
        <f t="shared" ca="1" si="309"/>
        <v>0</v>
      </c>
      <c r="R670" s="306">
        <f t="shared" ca="1" si="310"/>
        <v>0</v>
      </c>
      <c r="S670" s="307">
        <f t="shared" ca="1" si="311"/>
        <v>5.0829999999999913</v>
      </c>
      <c r="T670" s="304">
        <f t="shared" ca="1" si="291"/>
        <v>49.864229999999914</v>
      </c>
      <c r="U670" s="311">
        <f t="shared" ca="1" si="292"/>
        <v>0</v>
      </c>
      <c r="V670" s="306">
        <f t="shared" ca="1" si="293"/>
        <v>1.0510731869353471</v>
      </c>
      <c r="W670" s="304">
        <f t="shared" ca="1" si="294"/>
        <v>29.76488866502941</v>
      </c>
      <c r="Y670" s="314" t="str">
        <f t="shared" ca="1" si="312"/>
        <v/>
      </c>
      <c r="Z670" s="315" t="str">
        <f t="shared" ca="1" si="313"/>
        <v/>
      </c>
      <c r="AA670" s="316" t="str">
        <f t="shared" ca="1" si="314"/>
        <v/>
      </c>
      <c r="AC670" s="310" t="e">
        <f t="shared" ca="1" si="315"/>
        <v>#N/A</v>
      </c>
      <c r="AD670" s="323" t="e">
        <f t="shared" ca="1" si="316"/>
        <v>#N/A</v>
      </c>
      <c r="AE670" s="324" t="e">
        <f t="shared" ca="1" si="295"/>
        <v>#N/A</v>
      </c>
      <c r="AG670" s="306">
        <f t="shared" ca="1" si="317"/>
        <v>3.8974618859641961</v>
      </c>
      <c r="AH670" s="304">
        <f t="shared" ca="1" si="318"/>
        <v>-5.802790439632215</v>
      </c>
    </row>
    <row r="671" spans="1:34" x14ac:dyDescent="0.2">
      <c r="A671" s="347">
        <f t="shared" ca="1" si="296"/>
        <v>0.1</v>
      </c>
      <c r="B671" s="304">
        <f t="shared" ca="1" si="297"/>
        <v>30.700000000000124</v>
      </c>
      <c r="D671" s="306">
        <f t="shared" ca="1" si="298"/>
        <v>-0.86463892604906323</v>
      </c>
      <c r="E671" s="307">
        <f t="shared" ca="1" si="299"/>
        <v>-4.0184143538540873</v>
      </c>
      <c r="F671" s="304">
        <f t="shared" ca="1" si="300"/>
        <v>4.1103837280356004</v>
      </c>
      <c r="G671" s="306">
        <f t="shared" ca="1" si="301"/>
        <v>14.093808198993552</v>
      </c>
      <c r="H671" s="307">
        <f t="shared" ca="1" si="302"/>
        <v>-95.385143516657791</v>
      </c>
      <c r="I671" s="304">
        <f t="shared" ca="1" si="303"/>
        <v>96.420750013902207</v>
      </c>
      <c r="J671" s="306">
        <f t="shared" ca="1" si="304"/>
        <v>852.30741433586445</v>
      </c>
      <c r="K671" s="307">
        <f t="shared" ca="1" si="305"/>
        <v>1518.7875571850195</v>
      </c>
      <c r="L671" s="304">
        <f t="shared" ca="1" si="290"/>
        <v>1741.5922520475124</v>
      </c>
      <c r="M671" s="306">
        <f t="shared" ca="1" si="306"/>
        <v>-1.4241008890138924</v>
      </c>
      <c r="N671" s="304">
        <f t="shared" ca="1" si="307"/>
        <v>-81.5949705413245</v>
      </c>
      <c r="P671" s="310">
        <f t="shared" ca="1" si="308"/>
        <v>23</v>
      </c>
      <c r="Q671" s="304">
        <f t="shared" ca="1" si="309"/>
        <v>0</v>
      </c>
      <c r="R671" s="306">
        <f t="shared" ca="1" si="310"/>
        <v>0</v>
      </c>
      <c r="S671" s="307">
        <f t="shared" ca="1" si="311"/>
        <v>5.0829999999999913</v>
      </c>
      <c r="T671" s="304">
        <f t="shared" ca="1" si="291"/>
        <v>49.864229999999914</v>
      </c>
      <c r="U671" s="311">
        <f t="shared" ca="1" si="292"/>
        <v>0</v>
      </c>
      <c r="V671" s="306">
        <f t="shared" ca="1" si="293"/>
        <v>1.0520799641840943</v>
      </c>
      <c r="W671" s="304">
        <f t="shared" ca="1" si="294"/>
        <v>30.032618484691458</v>
      </c>
      <c r="Y671" s="314" t="str">
        <f t="shared" ca="1" si="312"/>
        <v/>
      </c>
      <c r="Z671" s="315" t="str">
        <f t="shared" ca="1" si="313"/>
        <v/>
      </c>
      <c r="AA671" s="316" t="str">
        <f t="shared" ca="1" si="314"/>
        <v/>
      </c>
      <c r="AC671" s="310" t="e">
        <f t="shared" ca="1" si="315"/>
        <v>#N/A</v>
      </c>
      <c r="AD671" s="323" t="e">
        <f t="shared" ca="1" si="316"/>
        <v>#N/A</v>
      </c>
      <c r="AE671" s="324" t="e">
        <f t="shared" ca="1" si="295"/>
        <v>#N/A</v>
      </c>
      <c r="AG671" s="306">
        <f t="shared" ca="1" si="317"/>
        <v>3.8466987325705126</v>
      </c>
      <c r="AH671" s="304">
        <f t="shared" ca="1" si="318"/>
        <v>-5.8557719191480349</v>
      </c>
    </row>
    <row r="672" spans="1:34" x14ac:dyDescent="0.2">
      <c r="A672" s="347">
        <f t="shared" ca="1" si="296"/>
        <v>0.1</v>
      </c>
      <c r="B672" s="304">
        <f t="shared" ca="1" si="297"/>
        <v>30.800000000000125</v>
      </c>
      <c r="D672" s="306">
        <f t="shared" ca="1" si="298"/>
        <v>-0.86363640517804041</v>
      </c>
      <c r="E672" s="307">
        <f t="shared" ca="1" si="299"/>
        <v>-3.965016068687496</v>
      </c>
      <c r="F672" s="304">
        <f t="shared" ca="1" si="300"/>
        <v>4.0579822899193259</v>
      </c>
      <c r="G672" s="306">
        <f t="shared" ca="1" si="301"/>
        <v>14.007444558475747</v>
      </c>
      <c r="H672" s="307">
        <f t="shared" ca="1" si="302"/>
        <v>-95.781645123526545</v>
      </c>
      <c r="I672" s="304">
        <f t="shared" ca="1" si="303"/>
        <v>96.800475441125528</v>
      </c>
      <c r="J672" s="306">
        <f t="shared" ca="1" si="304"/>
        <v>853.71247697373792</v>
      </c>
      <c r="K672" s="307">
        <f t="shared" ca="1" si="305"/>
        <v>1509.2292177530103</v>
      </c>
      <c r="L672" s="304">
        <f t="shared" ca="1" si="290"/>
        <v>1733.9543895558495</v>
      </c>
      <c r="M672" s="306">
        <f t="shared" ca="1" si="306"/>
        <v>-1.42558221120005</v>
      </c>
      <c r="N672" s="304">
        <f t="shared" ca="1" si="307"/>
        <v>-81.67984405069042</v>
      </c>
      <c r="P672" s="310">
        <f t="shared" ca="1" si="308"/>
        <v>23</v>
      </c>
      <c r="Q672" s="304">
        <f t="shared" ca="1" si="309"/>
        <v>0</v>
      </c>
      <c r="R672" s="306">
        <f t="shared" ca="1" si="310"/>
        <v>0</v>
      </c>
      <c r="S672" s="307">
        <f t="shared" ca="1" si="311"/>
        <v>5.0829999999999913</v>
      </c>
      <c r="T672" s="304">
        <f t="shared" ca="1" si="291"/>
        <v>49.864229999999914</v>
      </c>
      <c r="U672" s="311">
        <f t="shared" ca="1" si="292"/>
        <v>0</v>
      </c>
      <c r="V672" s="306">
        <f t="shared" ca="1" si="293"/>
        <v>1.0530918601935308</v>
      </c>
      <c r="W672" s="304">
        <f t="shared" ca="1" si="294"/>
        <v>30.298747450518889</v>
      </c>
      <c r="Y672" s="314" t="str">
        <f t="shared" ca="1" si="312"/>
        <v/>
      </c>
      <c r="Z672" s="315" t="str">
        <f t="shared" ca="1" si="313"/>
        <v/>
      </c>
      <c r="AA672" s="316" t="str">
        <f t="shared" ca="1" si="314"/>
        <v/>
      </c>
      <c r="AC672" s="310" t="e">
        <f t="shared" ca="1" si="315"/>
        <v>#N/A</v>
      </c>
      <c r="AD672" s="323" t="e">
        <f t="shared" ca="1" si="316"/>
        <v>#N/A</v>
      </c>
      <c r="AE672" s="324" t="e">
        <f t="shared" ca="1" si="295"/>
        <v>#N/A</v>
      </c>
      <c r="AG672" s="306">
        <f t="shared" ca="1" si="317"/>
        <v>3.7961922185482679</v>
      </c>
      <c r="AH672" s="304">
        <f t="shared" ca="1" si="318"/>
        <v>-5.9084435342694297</v>
      </c>
    </row>
    <row r="673" spans="1:34" x14ac:dyDescent="0.2">
      <c r="A673" s="347">
        <f t="shared" ca="1" si="296"/>
        <v>0.1</v>
      </c>
      <c r="B673" s="304">
        <f t="shared" ca="1" si="297"/>
        <v>30.900000000000126</v>
      </c>
      <c r="D673" s="306">
        <f t="shared" ca="1" si="298"/>
        <v>-0.86255339179511958</v>
      </c>
      <c r="E673" s="307">
        <f t="shared" ca="1" si="299"/>
        <v>-3.9119375427030443</v>
      </c>
      <c r="F673" s="304">
        <f t="shared" ca="1" si="300"/>
        <v>4.0059023567364687</v>
      </c>
      <c r="G673" s="306">
        <f t="shared" ca="1" si="301"/>
        <v>13.921189219296235</v>
      </c>
      <c r="H673" s="307">
        <f t="shared" ca="1" si="302"/>
        <v>-96.172838877796849</v>
      </c>
      <c r="I673" s="304">
        <f t="shared" ca="1" si="303"/>
        <v>97.175174026569792</v>
      </c>
      <c r="J673" s="306">
        <f t="shared" ca="1" si="304"/>
        <v>855.1089086626265</v>
      </c>
      <c r="K673" s="307">
        <f t="shared" ca="1" si="305"/>
        <v>1499.6314935529442</v>
      </c>
      <c r="L673" s="304">
        <f t="shared" ca="1" si="290"/>
        <v>1726.2983120335903</v>
      </c>
      <c r="M673" s="306">
        <f t="shared" ca="1" si="306"/>
        <v>-1.4270430263243528</v>
      </c>
      <c r="N673" s="304">
        <f t="shared" ca="1" si="307"/>
        <v>-81.763542591961851</v>
      </c>
      <c r="P673" s="310">
        <f t="shared" ca="1" si="308"/>
        <v>23</v>
      </c>
      <c r="Q673" s="304">
        <f t="shared" ca="1" si="309"/>
        <v>0</v>
      </c>
      <c r="R673" s="306">
        <f t="shared" ca="1" si="310"/>
        <v>0</v>
      </c>
      <c r="S673" s="307">
        <f t="shared" ca="1" si="311"/>
        <v>5.0829999999999913</v>
      </c>
      <c r="T673" s="304">
        <f t="shared" ca="1" si="291"/>
        <v>49.864229999999914</v>
      </c>
      <c r="U673" s="311">
        <f t="shared" ca="1" si="292"/>
        <v>0</v>
      </c>
      <c r="V673" s="306">
        <f t="shared" ca="1" si="293"/>
        <v>1.0541088309905935</v>
      </c>
      <c r="W673" s="304">
        <f t="shared" ca="1" si="294"/>
        <v>30.563250735548465</v>
      </c>
      <c r="Y673" s="314" t="str">
        <f t="shared" ca="1" si="312"/>
        <v/>
      </c>
      <c r="Z673" s="315" t="str">
        <f t="shared" ca="1" si="313"/>
        <v/>
      </c>
      <c r="AA673" s="316" t="str">
        <f t="shared" ca="1" si="314"/>
        <v/>
      </c>
      <c r="AC673" s="310" t="e">
        <f t="shared" ca="1" si="315"/>
        <v>#N/A</v>
      </c>
      <c r="AD673" s="323" t="e">
        <f t="shared" ca="1" si="316"/>
        <v>#N/A</v>
      </c>
      <c r="AE673" s="324" t="e">
        <f t="shared" ca="1" si="295"/>
        <v>#N/A</v>
      </c>
      <c r="AG673" s="306">
        <f t="shared" ca="1" si="317"/>
        <v>3.7459490048355066</v>
      </c>
      <c r="AH673" s="304">
        <f t="shared" ca="1" si="318"/>
        <v>-5.9608002066730164</v>
      </c>
    </row>
    <row r="674" spans="1:34" x14ac:dyDescent="0.2">
      <c r="A674" s="347">
        <f t="shared" ca="1" si="296"/>
        <v>0.1</v>
      </c>
      <c r="B674" s="304">
        <f t="shared" ca="1" si="297"/>
        <v>31.000000000000128</v>
      </c>
      <c r="D674" s="306">
        <f t="shared" ca="1" si="298"/>
        <v>-0.86139122656407263</v>
      </c>
      <c r="E674" s="307">
        <f t="shared" ca="1" si="299"/>
        <v>-3.8591837056373031</v>
      </c>
      <c r="F674" s="304">
        <f t="shared" ca="1" si="300"/>
        <v>3.9541489247444921</v>
      </c>
      <c r="G674" s="306">
        <f t="shared" ca="1" si="301"/>
        <v>13.835050096639828</v>
      </c>
      <c r="H674" s="307">
        <f t="shared" ca="1" si="302"/>
        <v>-96.558757248360578</v>
      </c>
      <c r="I674" s="304">
        <f t="shared" ca="1" si="303"/>
        <v>97.544872815152928</v>
      </c>
      <c r="J674" s="306">
        <f t="shared" ca="1" si="304"/>
        <v>856.4967206284233</v>
      </c>
      <c r="K674" s="307">
        <f t="shared" ca="1" si="305"/>
        <v>1489.9949137466363</v>
      </c>
      <c r="L674" s="304">
        <f t="shared" ca="1" si="290"/>
        <v>1718.6248792095641</v>
      </c>
      <c r="M674" s="306">
        <f t="shared" ca="1" si="306"/>
        <v>-1.4284837666773245</v>
      </c>
      <c r="N674" s="304">
        <f t="shared" ca="1" si="307"/>
        <v>-81.846090933561314</v>
      </c>
      <c r="P674" s="310">
        <f t="shared" ca="1" si="308"/>
        <v>23</v>
      </c>
      <c r="Q674" s="304">
        <f t="shared" ca="1" si="309"/>
        <v>0</v>
      </c>
      <c r="R674" s="306">
        <f t="shared" ca="1" si="310"/>
        <v>0</v>
      </c>
      <c r="S674" s="307">
        <f t="shared" ca="1" si="311"/>
        <v>5.0829999999999913</v>
      </c>
      <c r="T674" s="304">
        <f t="shared" ca="1" si="291"/>
        <v>49.864229999999914</v>
      </c>
      <c r="U674" s="311">
        <f t="shared" ca="1" si="292"/>
        <v>0</v>
      </c>
      <c r="V674" s="306">
        <f t="shared" ca="1" si="293"/>
        <v>1.0551308328209921</v>
      </c>
      <c r="W674" s="304">
        <f t="shared" ca="1" si="294"/>
        <v>30.826104488575833</v>
      </c>
      <c r="Y674" s="314" t="str">
        <f t="shared" ca="1" si="312"/>
        <v/>
      </c>
      <c r="Z674" s="315" t="str">
        <f t="shared" ca="1" si="313"/>
        <v/>
      </c>
      <c r="AA674" s="316" t="str">
        <f t="shared" ca="1" si="314"/>
        <v/>
      </c>
      <c r="AC674" s="310">
        <f t="shared" ca="1" si="315"/>
        <v>31.000000000000128</v>
      </c>
      <c r="AD674" s="323">
        <f t="shared" ca="1" si="316"/>
        <v>856.4967206284233</v>
      </c>
      <c r="AE674" s="324" t="e">
        <f t="shared" ca="1" si="295"/>
        <v>#N/A</v>
      </c>
      <c r="AG674" s="306">
        <f t="shared" ca="1" si="317"/>
        <v>3.6959755005638959</v>
      </c>
      <c r="AH674" s="304">
        <f t="shared" ca="1" si="318"/>
        <v>-6.0128370520457439</v>
      </c>
    </row>
    <row r="675" spans="1:34" x14ac:dyDescent="0.2">
      <c r="A675" s="347">
        <f t="shared" ca="1" si="296"/>
        <v>0.1</v>
      </c>
      <c r="B675" s="304">
        <f t="shared" ca="1" si="297"/>
        <v>31.100000000000129</v>
      </c>
      <c r="D675" s="306">
        <f t="shared" ca="1" si="298"/>
        <v>-0.86015125180102303</v>
      </c>
      <c r="E675" s="307">
        <f t="shared" ca="1" si="299"/>
        <v>-3.8067592932894101</v>
      </c>
      <c r="F675" s="304">
        <f t="shared" ca="1" si="300"/>
        <v>3.9027268022525168</v>
      </c>
      <c r="G675" s="306">
        <f t="shared" ca="1" si="301"/>
        <v>13.749034971459725</v>
      </c>
      <c r="H675" s="307">
        <f t="shared" ca="1" si="302"/>
        <v>-96.939433177689523</v>
      </c>
      <c r="I675" s="304">
        <f t="shared" ca="1" si="303"/>
        <v>97.90959946531369</v>
      </c>
      <c r="J675" s="306">
        <f t="shared" ca="1" si="304"/>
        <v>857.87592488182827</v>
      </c>
      <c r="K675" s="307">
        <f t="shared" ca="1" si="305"/>
        <v>1480.3200042253338</v>
      </c>
      <c r="L675" s="304">
        <f t="shared" ca="1" si="290"/>
        <v>1710.9349541702468</v>
      </c>
      <c r="M675" s="306">
        <f t="shared" ca="1" si="306"/>
        <v>-1.4299048520487783</v>
      </c>
      <c r="N675" s="304">
        <f t="shared" ca="1" si="307"/>
        <v>-81.927513127673393</v>
      </c>
      <c r="P675" s="310">
        <f t="shared" ca="1" si="308"/>
        <v>23</v>
      </c>
      <c r="Q675" s="304">
        <f t="shared" ca="1" si="309"/>
        <v>0</v>
      </c>
      <c r="R675" s="306">
        <f t="shared" ca="1" si="310"/>
        <v>0</v>
      </c>
      <c r="S675" s="307">
        <f t="shared" ca="1" si="311"/>
        <v>5.0829999999999913</v>
      </c>
      <c r="T675" s="304">
        <f t="shared" ca="1" si="291"/>
        <v>49.864229999999914</v>
      </c>
      <c r="U675" s="311">
        <f t="shared" ca="1" si="292"/>
        <v>0</v>
      </c>
      <c r="V675" s="306">
        <f t="shared" ca="1" si="293"/>
        <v>1.0561578221535501</v>
      </c>
      <c r="W675" s="304">
        <f t="shared" ca="1" si="294"/>
        <v>31.087285823412106</v>
      </c>
      <c r="Y675" s="314" t="str">
        <f t="shared" ca="1" si="312"/>
        <v/>
      </c>
      <c r="Z675" s="315" t="str">
        <f t="shared" ca="1" si="313"/>
        <v/>
      </c>
      <c r="AA675" s="316" t="str">
        <f t="shared" ca="1" si="314"/>
        <v/>
      </c>
      <c r="AC675" s="310" t="e">
        <f t="shared" ca="1" si="315"/>
        <v>#N/A</v>
      </c>
      <c r="AD675" s="323" t="e">
        <f t="shared" ca="1" si="316"/>
        <v>#N/A</v>
      </c>
      <c r="AE675" s="324" t="e">
        <f t="shared" ca="1" si="295"/>
        <v>#N/A</v>
      </c>
      <c r="AG675" s="306">
        <f t="shared" ca="1" si="317"/>
        <v>3.6462778676058356</v>
      </c>
      <c r="AH675" s="304">
        <f t="shared" ca="1" si="318"/>
        <v>-6.0645493780397182</v>
      </c>
    </row>
    <row r="676" spans="1:34" x14ac:dyDescent="0.2">
      <c r="A676" s="347">
        <f t="shared" ca="1" si="296"/>
        <v>0.1</v>
      </c>
      <c r="B676" s="304">
        <f t="shared" ca="1" si="297"/>
        <v>31.200000000000131</v>
      </c>
      <c r="D676" s="306">
        <f t="shared" ca="1" si="298"/>
        <v>-0.85883481077748458</v>
      </c>
      <c r="E676" s="307">
        <f t="shared" ca="1" si="299"/>
        <v>-3.754668849642286</v>
      </c>
      <c r="F676" s="304">
        <f t="shared" ca="1" si="300"/>
        <v>3.851640611827293</v>
      </c>
      <c r="G676" s="306">
        <f t="shared" ca="1" si="301"/>
        <v>13.663151490381976</v>
      </c>
      <c r="H676" s="307">
        <f t="shared" ca="1" si="302"/>
        <v>-97.314900062653749</v>
      </c>
      <c r="I676" s="304">
        <f t="shared" ca="1" si="303"/>
        <v>98.269382224848727</v>
      </c>
      <c r="J676" s="306">
        <f t="shared" ca="1" si="304"/>
        <v>859.24653420492041</v>
      </c>
      <c r="K676" s="307">
        <f t="shared" ca="1" si="305"/>
        <v>1470.6072875633167</v>
      </c>
      <c r="L676" s="304">
        <f t="shared" ca="1" si="290"/>
        <v>1703.2294034502527</v>
      </c>
      <c r="M676" s="306">
        <f t="shared" ca="1" si="306"/>
        <v>-1.4313066901718132</v>
      </c>
      <c r="N676" s="304">
        <f t="shared" ca="1" si="307"/>
        <v>-82.007832535683846</v>
      </c>
      <c r="P676" s="310">
        <f t="shared" ca="1" si="308"/>
        <v>23</v>
      </c>
      <c r="Q676" s="304">
        <f t="shared" ca="1" si="309"/>
        <v>0</v>
      </c>
      <c r="R676" s="306">
        <f t="shared" ca="1" si="310"/>
        <v>0</v>
      </c>
      <c r="S676" s="307">
        <f t="shared" ca="1" si="311"/>
        <v>5.0829999999999913</v>
      </c>
      <c r="T676" s="304">
        <f t="shared" ca="1" si="291"/>
        <v>49.864229999999914</v>
      </c>
      <c r="U676" s="311">
        <f t="shared" ca="1" si="292"/>
        <v>0</v>
      </c>
      <c r="V676" s="306">
        <f t="shared" ca="1" si="293"/>
        <v>1.0571897556844081</v>
      </c>
      <c r="W676" s="304">
        <f t="shared" ca="1" si="294"/>
        <v>31.346772807811011</v>
      </c>
      <c r="Y676" s="314" t="str">
        <f t="shared" ca="1" si="312"/>
        <v/>
      </c>
      <c r="Z676" s="315" t="str">
        <f t="shared" ca="1" si="313"/>
        <v/>
      </c>
      <c r="AA676" s="316" t="str">
        <f t="shared" ca="1" si="314"/>
        <v/>
      </c>
      <c r="AC676" s="310" t="e">
        <f t="shared" ca="1" si="315"/>
        <v>#N/A</v>
      </c>
      <c r="AD676" s="323" t="e">
        <f t="shared" ca="1" si="316"/>
        <v>#N/A</v>
      </c>
      <c r="AE676" s="324" t="e">
        <f t="shared" ca="1" si="295"/>
        <v>#N/A</v>
      </c>
      <c r="AG676" s="306">
        <f t="shared" ca="1" si="317"/>
        <v>3.5968620250655405</v>
      </c>
      <c r="AH676" s="304">
        <f t="shared" ca="1" si="318"/>
        <v>-6.1159326821585989</v>
      </c>
    </row>
    <row r="677" spans="1:34" x14ac:dyDescent="0.2">
      <c r="A677" s="347">
        <f t="shared" ca="1" si="296"/>
        <v>0.1</v>
      </c>
      <c r="B677" s="304">
        <f t="shared" ca="1" si="297"/>
        <v>31.300000000000132</v>
      </c>
      <c r="D677" s="306">
        <f t="shared" ca="1" si="298"/>
        <v>-0.85744324704273367</v>
      </c>
      <c r="E677" s="307">
        <f t="shared" ca="1" si="299"/>
        <v>-3.7029167290504645</v>
      </c>
      <c r="F677" s="304">
        <f t="shared" ca="1" si="300"/>
        <v>3.8008947925693732</v>
      </c>
      <c r="G677" s="306">
        <f t="shared" ca="1" si="301"/>
        <v>13.577407165677702</v>
      </c>
      <c r="H677" s="307">
        <f t="shared" ca="1" si="302"/>
        <v>-97.685191735558789</v>
      </c>
      <c r="I677" s="304">
        <f t="shared" ca="1" si="303"/>
        <v>98.62424990718803</v>
      </c>
      <c r="J677" s="306">
        <f t="shared" ca="1" si="304"/>
        <v>860.60856213772342</v>
      </c>
      <c r="K677" s="307">
        <f t="shared" ca="1" si="305"/>
        <v>1460.8572829734062</v>
      </c>
      <c r="L677" s="304">
        <f t="shared" ca="1" si="290"/>
        <v>1695.5090971272323</v>
      </c>
      <c r="M677" s="306">
        <f t="shared" ca="1" si="306"/>
        <v>-1.432689677148316</v>
      </c>
      <c r="N677" s="304">
        <f t="shared" ca="1" si="307"/>
        <v>-82.087071852559006</v>
      </c>
      <c r="P677" s="310">
        <f t="shared" ca="1" si="308"/>
        <v>23</v>
      </c>
      <c r="Q677" s="304">
        <f t="shared" ca="1" si="309"/>
        <v>0</v>
      </c>
      <c r="R677" s="306">
        <f t="shared" ca="1" si="310"/>
        <v>0</v>
      </c>
      <c r="S677" s="307">
        <f t="shared" ca="1" si="311"/>
        <v>5.0829999999999913</v>
      </c>
      <c r="T677" s="304">
        <f t="shared" ca="1" si="291"/>
        <v>49.864229999999914</v>
      </c>
      <c r="U677" s="311">
        <f t="shared" ca="1" si="292"/>
        <v>0</v>
      </c>
      <c r="V677" s="306">
        <f t="shared" ca="1" si="293"/>
        <v>1.0582265903410843</v>
      </c>
      <c r="W677" s="304">
        <f t="shared" ca="1" si="294"/>
        <v>31.604544452085332</v>
      </c>
      <c r="Y677" s="314" t="str">
        <f t="shared" ca="1" si="312"/>
        <v/>
      </c>
      <c r="Z677" s="315" t="str">
        <f t="shared" ca="1" si="313"/>
        <v/>
      </c>
      <c r="AA677" s="316" t="str">
        <f t="shared" ca="1" si="314"/>
        <v/>
      </c>
      <c r="AC677" s="310" t="e">
        <f t="shared" ca="1" si="315"/>
        <v>#N/A</v>
      </c>
      <c r="AD677" s="323" t="e">
        <f t="shared" ca="1" si="316"/>
        <v>#N/A</v>
      </c>
      <c r="AE677" s="324" t="e">
        <f t="shared" ca="1" si="295"/>
        <v>#N/A</v>
      </c>
      <c r="AG677" s="306">
        <f t="shared" ca="1" si="317"/>
        <v>3.5477336537175059</v>
      </c>
      <c r="AH677" s="304">
        <f t="shared" ca="1" si="318"/>
        <v>-6.1669826495791984</v>
      </c>
    </row>
    <row r="678" spans="1:34" x14ac:dyDescent="0.2">
      <c r="A678" s="347">
        <f t="shared" ca="1" si="296"/>
        <v>0.1</v>
      </c>
      <c r="B678" s="304">
        <f t="shared" ca="1" si="297"/>
        <v>31.400000000000134</v>
      </c>
      <c r="D678" s="306">
        <f t="shared" ca="1" si="298"/>
        <v>-0.8559779037654146</v>
      </c>
      <c r="E678" s="307">
        <f t="shared" ca="1" si="299"/>
        <v>-3.6515070984908</v>
      </c>
      <c r="F678" s="304">
        <f t="shared" ca="1" si="300"/>
        <v>3.7504936024559932</v>
      </c>
      <c r="G678" s="306">
        <f t="shared" ca="1" si="301"/>
        <v>13.491809375301161</v>
      </c>
      <c r="H678" s="307">
        <f t="shared" ca="1" si="302"/>
        <v>-98.050342445407864</v>
      </c>
      <c r="I678" s="304">
        <f t="shared" ca="1" si="303"/>
        <v>98.974231868104013</v>
      </c>
      <c r="J678" s="306">
        <f t="shared" ca="1" si="304"/>
        <v>861.96202296477236</v>
      </c>
      <c r="K678" s="307">
        <f t="shared" ca="1" si="305"/>
        <v>1451.0705062643578</v>
      </c>
      <c r="L678" s="304">
        <f t="shared" ca="1" si="290"/>
        <v>1687.7749089211577</v>
      </c>
      <c r="M678" s="306">
        <f t="shared" ca="1" si="306"/>
        <v>-1.4340541978568477</v>
      </c>
      <c r="N678" s="304">
        <f t="shared" ca="1" si="307"/>
        <v>-82.165253130216087</v>
      </c>
      <c r="P678" s="310">
        <f t="shared" ca="1" si="308"/>
        <v>23</v>
      </c>
      <c r="Q678" s="304">
        <f t="shared" ca="1" si="309"/>
        <v>0</v>
      </c>
      <c r="R678" s="306">
        <f t="shared" ca="1" si="310"/>
        <v>0</v>
      </c>
      <c r="S678" s="307">
        <f t="shared" ca="1" si="311"/>
        <v>5.0829999999999913</v>
      </c>
      <c r="T678" s="304">
        <f t="shared" ca="1" si="291"/>
        <v>49.864229999999914</v>
      </c>
      <c r="U678" s="311">
        <f t="shared" ca="1" si="292"/>
        <v>0</v>
      </c>
      <c r="V678" s="306">
        <f t="shared" ca="1" si="293"/>
        <v>1.0592682832863995</v>
      </c>
      <c r="W678" s="304">
        <f t="shared" ca="1" si="294"/>
        <v>31.860580697430823</v>
      </c>
      <c r="Y678" s="314" t="str">
        <f t="shared" ca="1" si="312"/>
        <v/>
      </c>
      <c r="Z678" s="315" t="str">
        <f t="shared" ca="1" si="313"/>
        <v/>
      </c>
      <c r="AA678" s="316" t="str">
        <f t="shared" ca="1" si="314"/>
        <v/>
      </c>
      <c r="AC678" s="310" t="e">
        <f t="shared" ca="1" si="315"/>
        <v>#N/A</v>
      </c>
      <c r="AD678" s="323" t="e">
        <f t="shared" ca="1" si="316"/>
        <v>#N/A</v>
      </c>
      <c r="AE678" s="324" t="e">
        <f t="shared" ca="1" si="295"/>
        <v>#N/A</v>
      </c>
      <c r="AG678" s="306">
        <f t="shared" ca="1" si="317"/>
        <v>3.4988982003951472</v>
      </c>
      <c r="AH678" s="304">
        <f t="shared" ca="1" si="318"/>
        <v>-6.2176951509119389</v>
      </c>
    </row>
    <row r="679" spans="1:34" x14ac:dyDescent="0.2">
      <c r="A679" s="347">
        <f t="shared" ca="1" si="296"/>
        <v>0.1</v>
      </c>
      <c r="B679" s="304">
        <f t="shared" ca="1" si="297"/>
        <v>31.500000000000135</v>
      </c>
      <c r="D679" s="306">
        <f t="shared" ca="1" si="298"/>
        <v>-0.85444012309425743</v>
      </c>
      <c r="E679" s="307">
        <f t="shared" ca="1" si="299"/>
        <v>-3.6004439398723456</v>
      </c>
      <c r="F679" s="304">
        <f t="shared" ca="1" si="300"/>
        <v>3.7004411207472048</v>
      </c>
      <c r="G679" s="306">
        <f t="shared" ca="1" si="301"/>
        <v>13.406365362991735</v>
      </c>
      <c r="H679" s="307">
        <f t="shared" ca="1" si="302"/>
        <v>-98.410386839395102</v>
      </c>
      <c r="I679" s="304">
        <f t="shared" ca="1" si="303"/>
        <v>99.31935798284951</v>
      </c>
      <c r="J679" s="306">
        <f t="shared" ca="1" si="304"/>
        <v>863.30693170168695</v>
      </c>
      <c r="K679" s="307">
        <f t="shared" ca="1" si="305"/>
        <v>1441.2474698001176</v>
      </c>
      <c r="L679" s="304">
        <f t="shared" ca="1" si="290"/>
        <v>1680.0277162979849</v>
      </c>
      <c r="M679" s="306">
        <f t="shared" ca="1" si="306"/>
        <v>-1.435400626343754</v>
      </c>
      <c r="N679" s="304">
        <f t="shared" ca="1" si="307"/>
        <v>-82.242397799931993</v>
      </c>
      <c r="P679" s="310">
        <f t="shared" ca="1" si="308"/>
        <v>23</v>
      </c>
      <c r="Q679" s="304">
        <f t="shared" ca="1" si="309"/>
        <v>0</v>
      </c>
      <c r="R679" s="306">
        <f t="shared" ca="1" si="310"/>
        <v>0</v>
      </c>
      <c r="S679" s="307">
        <f t="shared" ca="1" si="311"/>
        <v>5.0829999999999913</v>
      </c>
      <c r="T679" s="304">
        <f t="shared" ca="1" si="291"/>
        <v>49.864229999999914</v>
      </c>
      <c r="U679" s="311">
        <f t="shared" ca="1" si="292"/>
        <v>0</v>
      </c>
      <c r="V679" s="306">
        <f t="shared" ca="1" si="293"/>
        <v>1.0603147919222629</v>
      </c>
      <c r="W679" s="304">
        <f t="shared" ca="1" si="294"/>
        <v>32.114862403975387</v>
      </c>
      <c r="Y679" s="314" t="str">
        <f t="shared" ca="1" si="312"/>
        <v/>
      </c>
      <c r="Z679" s="315" t="str">
        <f t="shared" ca="1" si="313"/>
        <v/>
      </c>
      <c r="AA679" s="316" t="str">
        <f t="shared" ca="1" si="314"/>
        <v/>
      </c>
      <c r="AC679" s="310" t="e">
        <f t="shared" ca="1" si="315"/>
        <v>#N/A</v>
      </c>
      <c r="AD679" s="323" t="e">
        <f t="shared" ca="1" si="316"/>
        <v>#N/A</v>
      </c>
      <c r="AE679" s="324" t="e">
        <f t="shared" ca="1" si="295"/>
        <v>#N/A</v>
      </c>
      <c r="AG679" s="306">
        <f t="shared" ca="1" si="317"/>
        <v>3.4503608823321716</v>
      </c>
      <c r="AH679" s="304">
        <f t="shared" ca="1" si="318"/>
        <v>-6.2680662399037725</v>
      </c>
    </row>
    <row r="680" spans="1:34" x14ac:dyDescent="0.2">
      <c r="A680" s="347">
        <f t="shared" ca="1" si="296"/>
        <v>0.1</v>
      </c>
      <c r="B680" s="304">
        <f t="shared" ca="1" si="297"/>
        <v>31.600000000000136</v>
      </c>
      <c r="D680" s="306">
        <f t="shared" ca="1" si="298"/>
        <v>-0.85283124553775003</v>
      </c>
      <c r="E680" s="307">
        <f t="shared" ca="1" si="299"/>
        <v>-3.5497310524018042</v>
      </c>
      <c r="F680" s="304">
        <f t="shared" ca="1" si="300"/>
        <v>3.6507412504518983</v>
      </c>
      <c r="G680" s="306">
        <f t="shared" ca="1" si="301"/>
        <v>13.32108223843796</v>
      </c>
      <c r="H680" s="307">
        <f t="shared" ca="1" si="302"/>
        <v>-98.765359944635279</v>
      </c>
      <c r="I680" s="304">
        <f t="shared" ca="1" si="303"/>
        <v>99.659658623720929</v>
      </c>
      <c r="J680" s="306">
        <f t="shared" ca="1" si="304"/>
        <v>864.6433040817584</v>
      </c>
      <c r="K680" s="307">
        <f t="shared" ca="1" si="305"/>
        <v>1431.388682460916</v>
      </c>
      <c r="L680" s="304">
        <f t="shared" ca="1" si="290"/>
        <v>1672.2684005776755</v>
      </c>
      <c r="M680" s="306">
        <f t="shared" ca="1" si="306"/>
        <v>-1.4367293261982841</v>
      </c>
      <c r="N680" s="304">
        <f t="shared" ca="1" si="307"/>
        <v>-82.318526693836219</v>
      </c>
      <c r="P680" s="310">
        <f t="shared" ca="1" si="308"/>
        <v>23</v>
      </c>
      <c r="Q680" s="304">
        <f t="shared" ca="1" si="309"/>
        <v>0</v>
      </c>
      <c r="R680" s="306">
        <f t="shared" ca="1" si="310"/>
        <v>0</v>
      </c>
      <c r="S680" s="307">
        <f t="shared" ca="1" si="311"/>
        <v>5.0829999999999913</v>
      </c>
      <c r="T680" s="304">
        <f t="shared" ca="1" si="291"/>
        <v>49.864229999999914</v>
      </c>
      <c r="U680" s="311">
        <f t="shared" ca="1" si="292"/>
        <v>0</v>
      </c>
      <c r="V680" s="306">
        <f t="shared" ca="1" si="293"/>
        <v>1.061366073893325</v>
      </c>
      <c r="W680" s="304">
        <f t="shared" ca="1" si="294"/>
        <v>32.367371338571459</v>
      </c>
      <c r="Y680" s="314" t="str">
        <f t="shared" ca="1" si="312"/>
        <v/>
      </c>
      <c r="Z680" s="315" t="str">
        <f t="shared" ca="1" si="313"/>
        <v/>
      </c>
      <c r="AA680" s="316" t="str">
        <f t="shared" ca="1" si="314"/>
        <v/>
      </c>
      <c r="AC680" s="310" t="e">
        <f t="shared" ca="1" si="315"/>
        <v>#N/A</v>
      </c>
      <c r="AD680" s="323" t="e">
        <f t="shared" ca="1" si="316"/>
        <v>#N/A</v>
      </c>
      <c r="AE680" s="324" t="e">
        <f t="shared" ca="1" si="295"/>
        <v>#N/A</v>
      </c>
      <c r="AG680" s="306">
        <f t="shared" ca="1" si="317"/>
        <v>3.4021266914589638</v>
      </c>
      <c r="AH680" s="304">
        <f t="shared" ca="1" si="318"/>
        <v>-6.3180921510870434</v>
      </c>
    </row>
    <row r="681" spans="1:34" x14ac:dyDescent="0.2">
      <c r="A681" s="347">
        <f t="shared" ca="1" si="296"/>
        <v>0.1</v>
      </c>
      <c r="B681" s="304">
        <f t="shared" ca="1" si="297"/>
        <v>31.700000000000138</v>
      </c>
      <c r="D681" s="306">
        <f t="shared" ca="1" si="298"/>
        <v>-0.85115260936264436</v>
      </c>
      <c r="E681" s="307">
        <f t="shared" ca="1" si="299"/>
        <v>-3.4993720550009524</v>
      </c>
      <c r="F681" s="304">
        <f t="shared" ca="1" si="300"/>
        <v>3.6013977208503962</v>
      </c>
      <c r="G681" s="306">
        <f t="shared" ca="1" si="301"/>
        <v>13.235966977501695</v>
      </c>
      <c r="H681" s="307">
        <f t="shared" ca="1" si="302"/>
        <v>-99.115297150135376</v>
      </c>
      <c r="I681" s="304">
        <f t="shared" ca="1" si="303"/>
        <v>99.995164638042112</v>
      </c>
      <c r="J681" s="306">
        <f t="shared" ca="1" si="304"/>
        <v>865.97115654255538</v>
      </c>
      <c r="K681" s="307">
        <f t="shared" ca="1" si="305"/>
        <v>1421.4946496061775</v>
      </c>
      <c r="L681" s="304">
        <f t="shared" ca="1" si="290"/>
        <v>1664.4978470465621</v>
      </c>
      <c r="M681" s="306">
        <f t="shared" ca="1" si="306"/>
        <v>-1.4380406509124721</v>
      </c>
      <c r="N681" s="304">
        <f t="shared" ca="1" si="307"/>
        <v>-82.393660065530383</v>
      </c>
      <c r="P681" s="310">
        <f t="shared" ca="1" si="308"/>
        <v>23</v>
      </c>
      <c r="Q681" s="304">
        <f t="shared" ca="1" si="309"/>
        <v>0</v>
      </c>
      <c r="R681" s="306">
        <f t="shared" ca="1" si="310"/>
        <v>0</v>
      </c>
      <c r="S681" s="307">
        <f t="shared" ca="1" si="311"/>
        <v>5.0829999999999913</v>
      </c>
      <c r="T681" s="304">
        <f t="shared" ca="1" si="291"/>
        <v>49.864229999999914</v>
      </c>
      <c r="U681" s="311">
        <f t="shared" ca="1" si="292"/>
        <v>0</v>
      </c>
      <c r="V681" s="306">
        <f t="shared" ca="1" si="293"/>
        <v>1.0624220870904932</v>
      </c>
      <c r="W681" s="304">
        <f t="shared" ca="1" si="294"/>
        <v>32.618090162348558</v>
      </c>
      <c r="Y681" s="314" t="str">
        <f t="shared" ca="1" si="312"/>
        <v/>
      </c>
      <c r="Z681" s="315" t="str">
        <f t="shared" ca="1" si="313"/>
        <v/>
      </c>
      <c r="AA681" s="316" t="str">
        <f t="shared" ca="1" si="314"/>
        <v/>
      </c>
      <c r="AC681" s="310" t="e">
        <f t="shared" ca="1" si="315"/>
        <v>#N/A</v>
      </c>
      <c r="AD681" s="323" t="e">
        <f t="shared" ca="1" si="316"/>
        <v>#N/A</v>
      </c>
      <c r="AE681" s="324" t="e">
        <f t="shared" ca="1" si="295"/>
        <v>#N/A</v>
      </c>
      <c r="AG681" s="306">
        <f t="shared" ca="1" si="317"/>
        <v>3.3542003986558049</v>
      </c>
      <c r="AH681" s="304">
        <f t="shared" ca="1" si="318"/>
        <v>-6.3677692973778308</v>
      </c>
    </row>
    <row r="682" spans="1:34" x14ac:dyDescent="0.2">
      <c r="A682" s="347">
        <f t="shared" ca="1" si="296"/>
        <v>0.1</v>
      </c>
      <c r="B682" s="304">
        <f t="shared" ca="1" si="297"/>
        <v>31.800000000000139</v>
      </c>
      <c r="D682" s="306">
        <f t="shared" ca="1" si="298"/>
        <v>-0.84940555001111295</v>
      </c>
      <c r="E682" s="307">
        <f t="shared" ca="1" si="299"/>
        <v>-3.4493703887725813</v>
      </c>
      <c r="F682" s="304">
        <f t="shared" ca="1" si="300"/>
        <v>3.5524140900704113</v>
      </c>
      <c r="G682" s="306">
        <f t="shared" ca="1" si="301"/>
        <v>13.151026422500584</v>
      </c>
      <c r="H682" s="307">
        <f t="shared" ca="1" si="302"/>
        <v>-99.460234189012638</v>
      </c>
      <c r="I682" s="304">
        <f t="shared" ca="1" si="303"/>
        <v>100.32590732656519</v>
      </c>
      <c r="J682" s="306">
        <f t="shared" ca="1" si="304"/>
        <v>867.29050621255544</v>
      </c>
      <c r="K682" s="307">
        <f t="shared" ca="1" si="305"/>
        <v>1411.5658730392202</v>
      </c>
      <c r="L682" s="304">
        <f t="shared" ca="1" si="290"/>
        <v>1656.7169450740239</v>
      </c>
      <c r="M682" s="306">
        <f t="shared" ca="1" si="306"/>
        <v>-1.4393349442264849</v>
      </c>
      <c r="N682" s="304">
        <f t="shared" ca="1" si="307"/>
        <v>-82.467817609875326</v>
      </c>
      <c r="P682" s="310">
        <f t="shared" ca="1" si="308"/>
        <v>23</v>
      </c>
      <c r="Q682" s="304">
        <f t="shared" ca="1" si="309"/>
        <v>0</v>
      </c>
      <c r="R682" s="306">
        <f t="shared" ca="1" si="310"/>
        <v>0</v>
      </c>
      <c r="S682" s="307">
        <f t="shared" ca="1" si="311"/>
        <v>5.0829999999999913</v>
      </c>
      <c r="T682" s="304">
        <f t="shared" ca="1" si="291"/>
        <v>49.864229999999914</v>
      </c>
      <c r="U682" s="311">
        <f t="shared" ca="1" si="292"/>
        <v>0</v>
      </c>
      <c r="V682" s="306">
        <f t="shared" ca="1" si="293"/>
        <v>1.0634827896543186</v>
      </c>
      <c r="W682" s="304">
        <f t="shared" ca="1" si="294"/>
        <v>32.867002418043427</v>
      </c>
      <c r="Y682" s="314" t="str">
        <f t="shared" ca="1" si="312"/>
        <v/>
      </c>
      <c r="Z682" s="315" t="str">
        <f t="shared" ca="1" si="313"/>
        <v/>
      </c>
      <c r="AA682" s="316" t="str">
        <f t="shared" ca="1" si="314"/>
        <v/>
      </c>
      <c r="AC682" s="310" t="e">
        <f t="shared" ca="1" si="315"/>
        <v>#N/A</v>
      </c>
      <c r="AD682" s="323" t="e">
        <f t="shared" ca="1" si="316"/>
        <v>#N/A</v>
      </c>
      <c r="AE682" s="324" t="e">
        <f t="shared" ca="1" si="295"/>
        <v>#N/A</v>
      </c>
      <c r="AG682" s="306">
        <f t="shared" ca="1" si="317"/>
        <v>3.3065865579647147</v>
      </c>
      <c r="AH682" s="304">
        <f t="shared" ca="1" si="318"/>
        <v>-6.417094267627113</v>
      </c>
    </row>
    <row r="683" spans="1:34" x14ac:dyDescent="0.2">
      <c r="A683" s="347">
        <f t="shared" ca="1" si="296"/>
        <v>0.1</v>
      </c>
      <c r="B683" s="304">
        <f t="shared" ca="1" si="297"/>
        <v>31.900000000000141</v>
      </c>
      <c r="D683" s="306">
        <f t="shared" ca="1" si="298"/>
        <v>-0.84759139953642215</v>
      </c>
      <c r="E683" s="307">
        <f t="shared" ca="1" si="299"/>
        <v>-3.3997293195114695</v>
      </c>
      <c r="F683" s="304">
        <f t="shared" ca="1" si="300"/>
        <v>3.5037937477131886</v>
      </c>
      <c r="G683" s="306">
        <f t="shared" ca="1" si="301"/>
        <v>13.066267282546942</v>
      </c>
      <c r="H683" s="307">
        <f t="shared" ca="1" si="302"/>
        <v>-99.80020712096379</v>
      </c>
      <c r="I683" s="304">
        <f t="shared" ca="1" si="303"/>
        <v>100.65191842228457</v>
      </c>
      <c r="J683" s="306">
        <f t="shared" ca="1" si="304"/>
        <v>868.60137089780778</v>
      </c>
      <c r="K683" s="307">
        <f t="shared" ca="1" si="305"/>
        <v>1401.6028509737214</v>
      </c>
      <c r="L683" s="304">
        <f t="shared" ca="1" si="290"/>
        <v>1648.9265882334528</v>
      </c>
      <c r="M683" s="306">
        <f t="shared" ca="1" si="306"/>
        <v>-1.4406125404601122</v>
      </c>
      <c r="N683" s="304">
        <f t="shared" ca="1" si="307"/>
        <v>-82.541018481983983</v>
      </c>
      <c r="P683" s="310">
        <f t="shared" ca="1" si="308"/>
        <v>23</v>
      </c>
      <c r="Q683" s="304">
        <f t="shared" ca="1" si="309"/>
        <v>0</v>
      </c>
      <c r="R683" s="306">
        <f t="shared" ca="1" si="310"/>
        <v>0</v>
      </c>
      <c r="S683" s="307">
        <f t="shared" ca="1" si="311"/>
        <v>5.0829999999999913</v>
      </c>
      <c r="T683" s="304">
        <f t="shared" ca="1" si="291"/>
        <v>49.864229999999914</v>
      </c>
      <c r="U683" s="311">
        <f t="shared" ca="1" si="292"/>
        <v>0</v>
      </c>
      <c r="V683" s="306">
        <f t="shared" ca="1" si="293"/>
        <v>1.0645481399782455</v>
      </c>
      <c r="W683" s="304">
        <f t="shared" ca="1" si="294"/>
        <v>33.114092517123979</v>
      </c>
      <c r="Y683" s="314" t="str">
        <f t="shared" ca="1" si="312"/>
        <v/>
      </c>
      <c r="Z683" s="315" t="str">
        <f t="shared" ca="1" si="313"/>
        <v/>
      </c>
      <c r="AA683" s="316" t="str">
        <f t="shared" ca="1" si="314"/>
        <v/>
      </c>
      <c r="AC683" s="310" t="e">
        <f t="shared" ca="1" si="315"/>
        <v>#N/A</v>
      </c>
      <c r="AD683" s="323" t="e">
        <f t="shared" ca="1" si="316"/>
        <v>#N/A</v>
      </c>
      <c r="AE683" s="324" t="e">
        <f t="shared" ca="1" si="295"/>
        <v>#N/A</v>
      </c>
      <c r="AG683" s="306">
        <f t="shared" ca="1" si="317"/>
        <v>3.2592895107612128</v>
      </c>
      <c r="AH683" s="304">
        <f t="shared" ca="1" si="318"/>
        <v>-6.4660638241281694</v>
      </c>
    </row>
    <row r="684" spans="1:34" x14ac:dyDescent="0.2">
      <c r="A684" s="347">
        <f t="shared" ca="1" si="296"/>
        <v>0.1</v>
      </c>
      <c r="B684" s="304">
        <f t="shared" ca="1" si="297"/>
        <v>32.000000000000142</v>
      </c>
      <c r="D684" s="306">
        <f t="shared" ca="1" si="298"/>
        <v>-0.84571148605691593</v>
      </c>
      <c r="E684" s="307">
        <f t="shared" ca="1" si="299"/>
        <v>-3.350451940257094</v>
      </c>
      <c r="F684" s="304">
        <f t="shared" ca="1" si="300"/>
        <v>3.4555399175268002</v>
      </c>
      <c r="G684" s="306">
        <f t="shared" ca="1" si="301"/>
        <v>12.98169613394125</v>
      </c>
      <c r="H684" s="307">
        <f t="shared" ca="1" si="302"/>
        <v>-100.1352523149895</v>
      </c>
      <c r="I684" s="304">
        <f t="shared" ca="1" si="303"/>
        <v>100.97323006966052</v>
      </c>
      <c r="J684" s="306">
        <f t="shared" ca="1" si="304"/>
        <v>869.90376906863219</v>
      </c>
      <c r="K684" s="307">
        <f t="shared" ca="1" si="305"/>
        <v>1391.6060780019238</v>
      </c>
      <c r="L684" s="304">
        <f t="shared" ca="1" si="290"/>
        <v>1641.1276744274678</v>
      </c>
      <c r="M684" s="306">
        <f t="shared" ca="1" si="306"/>
        <v>-1.4418737648310347</v>
      </c>
      <c r="N684" s="304">
        <f t="shared" ca="1" si="307"/>
        <v>-82.613281315456874</v>
      </c>
      <c r="P684" s="310">
        <f t="shared" ca="1" si="308"/>
        <v>23</v>
      </c>
      <c r="Q684" s="304">
        <f t="shared" ca="1" si="309"/>
        <v>0</v>
      </c>
      <c r="R684" s="306">
        <f t="shared" ca="1" si="310"/>
        <v>0</v>
      </c>
      <c r="S684" s="307">
        <f t="shared" ca="1" si="311"/>
        <v>5.0829999999999913</v>
      </c>
      <c r="T684" s="304">
        <f t="shared" ca="1" si="291"/>
        <v>49.864229999999914</v>
      </c>
      <c r="U684" s="311">
        <f t="shared" ca="1" si="292"/>
        <v>0</v>
      </c>
      <c r="V684" s="306">
        <f t="shared" ca="1" si="293"/>
        <v>1.0656180967117372</v>
      </c>
      <c r="W684" s="304">
        <f t="shared" ca="1" si="294"/>
        <v>33.35934572672393</v>
      </c>
      <c r="Y684" s="314" t="str">
        <f t="shared" ca="1" si="312"/>
        <v/>
      </c>
      <c r="Z684" s="315" t="str">
        <f t="shared" ca="1" si="313"/>
        <v/>
      </c>
      <c r="AA684" s="316" t="str">
        <f t="shared" ca="1" si="314"/>
        <v/>
      </c>
      <c r="AC684" s="310">
        <f t="shared" ca="1" si="315"/>
        <v>32.000000000000142</v>
      </c>
      <c r="AD684" s="323">
        <f t="shared" ca="1" si="316"/>
        <v>869.90376906863219</v>
      </c>
      <c r="AE684" s="324" t="e">
        <f t="shared" ca="1" si="295"/>
        <v>#N/A</v>
      </c>
      <c r="AG684" s="306">
        <f t="shared" ca="1" si="317"/>
        <v>3.2123133898873419</v>
      </c>
      <c r="AH684" s="304">
        <f t="shared" ca="1" si="318"/>
        <v>-6.5146749000834223</v>
      </c>
    </row>
    <row r="685" spans="1:34" x14ac:dyDescent="0.2">
      <c r="A685" s="347">
        <f t="shared" ca="1" si="296"/>
        <v>0.1</v>
      </c>
      <c r="B685" s="304">
        <f t="shared" ca="1" si="297"/>
        <v>32.100000000000144</v>
      </c>
      <c r="D685" s="306">
        <f t="shared" ca="1" si="298"/>
        <v>-0.84376713322815722</v>
      </c>
      <c r="E685" s="307">
        <f t="shared" ca="1" si="299"/>
        <v>-3.3015411738846927</v>
      </c>
      <c r="F685" s="304">
        <f t="shared" ca="1" si="300"/>
        <v>3.4076556601235368</v>
      </c>
      <c r="G685" s="306">
        <f t="shared" ca="1" si="301"/>
        <v>12.897319420618434</v>
      </c>
      <c r="H685" s="307">
        <f t="shared" ca="1" si="302"/>
        <v>-100.46540643237797</v>
      </c>
      <c r="I685" s="304">
        <f t="shared" ca="1" si="303"/>
        <v>101.2898748042486</v>
      </c>
      <c r="J685" s="306">
        <f t="shared" ca="1" si="304"/>
        <v>871.1977198463602</v>
      </c>
      <c r="K685" s="307">
        <f t="shared" ca="1" si="305"/>
        <v>1381.5760450645555</v>
      </c>
      <c r="L685" s="304">
        <f t="shared" ca="1" si="290"/>
        <v>1633.3211060173428</v>
      </c>
      <c r="M685" s="306">
        <f t="shared" ca="1" si="306"/>
        <v>-1.4431189337604748</v>
      </c>
      <c r="N685" s="304">
        <f t="shared" ca="1" si="307"/>
        <v>-82.684624239894617</v>
      </c>
      <c r="P685" s="310">
        <f t="shared" ca="1" si="308"/>
        <v>23</v>
      </c>
      <c r="Q685" s="304">
        <f t="shared" ca="1" si="309"/>
        <v>0</v>
      </c>
      <c r="R685" s="306">
        <f t="shared" ca="1" si="310"/>
        <v>0</v>
      </c>
      <c r="S685" s="307">
        <f t="shared" ca="1" si="311"/>
        <v>5.0829999999999913</v>
      </c>
      <c r="T685" s="304">
        <f t="shared" ca="1" si="291"/>
        <v>49.864229999999914</v>
      </c>
      <c r="U685" s="311">
        <f t="shared" ca="1" si="292"/>
        <v>0</v>
      </c>
      <c r="V685" s="306">
        <f t="shared" ca="1" si="293"/>
        <v>1.0666926187632706</v>
      </c>
      <c r="W685" s="304">
        <f t="shared" ca="1" si="294"/>
        <v>33.602748156403699</v>
      </c>
      <c r="Y685" s="314" t="str">
        <f t="shared" ca="1" si="312"/>
        <v/>
      </c>
      <c r="Z685" s="315" t="str">
        <f t="shared" ca="1" si="313"/>
        <v/>
      </c>
      <c r="AA685" s="316" t="str">
        <f t="shared" ca="1" si="314"/>
        <v/>
      </c>
      <c r="AC685" s="310" t="e">
        <f t="shared" ca="1" si="315"/>
        <v>#N/A</v>
      </c>
      <c r="AD685" s="323" t="e">
        <f t="shared" ca="1" si="316"/>
        <v>#N/A</v>
      </c>
      <c r="AE685" s="324" t="e">
        <f t="shared" ca="1" si="295"/>
        <v>#N/A</v>
      </c>
      <c r="AG685" s="306">
        <f t="shared" ca="1" si="317"/>
        <v>3.1656621237467979</v>
      </c>
      <c r="AH685" s="304">
        <f t="shared" ca="1" si="318"/>
        <v>-6.5629245970340326</v>
      </c>
    </row>
    <row r="686" spans="1:34" x14ac:dyDescent="0.2">
      <c r="A686" s="347">
        <f t="shared" ca="1" si="296"/>
        <v>0.1</v>
      </c>
      <c r="B686" s="304">
        <f t="shared" ca="1" si="297"/>
        <v>32.200000000000145</v>
      </c>
      <c r="D686" s="306">
        <f t="shared" ca="1" si="298"/>
        <v>-0.84175965973301048</v>
      </c>
      <c r="E686" s="307">
        <f t="shared" ca="1" si="299"/>
        <v>-3.2529997757315368</v>
      </c>
      <c r="F686" s="304">
        <f t="shared" ca="1" si="300"/>
        <v>3.3601438757385469</v>
      </c>
      <c r="G686" s="306">
        <f t="shared" ca="1" si="301"/>
        <v>12.813143454645132</v>
      </c>
      <c r="H686" s="307">
        <f t="shared" ca="1" si="302"/>
        <v>-100.79070640995113</v>
      </c>
      <c r="I686" s="304">
        <f t="shared" ca="1" si="303"/>
        <v>101.60188553273152</v>
      </c>
      <c r="J686" s="306">
        <f t="shared" ca="1" si="304"/>
        <v>872.48324299012336</v>
      </c>
      <c r="K686" s="307">
        <f t="shared" ca="1" si="305"/>
        <v>1371.513239422439</v>
      </c>
      <c r="L686" s="304">
        <f t="shared" ca="1" si="290"/>
        <v>1625.5077899566015</v>
      </c>
      <c r="M686" s="306">
        <f t="shared" ca="1" si="306"/>
        <v>-1.4443483551668028</v>
      </c>
      <c r="N686" s="304">
        <f t="shared" ca="1" si="307"/>
        <v>-82.755064897720246</v>
      </c>
      <c r="P686" s="310">
        <f t="shared" ca="1" si="308"/>
        <v>23</v>
      </c>
      <c r="Q686" s="304">
        <f t="shared" ca="1" si="309"/>
        <v>0</v>
      </c>
      <c r="R686" s="306">
        <f t="shared" ca="1" si="310"/>
        <v>0</v>
      </c>
      <c r="S686" s="307">
        <f t="shared" ca="1" si="311"/>
        <v>5.0829999999999913</v>
      </c>
      <c r="T686" s="304">
        <f t="shared" ca="1" si="291"/>
        <v>49.864229999999914</v>
      </c>
      <c r="U686" s="311">
        <f t="shared" ca="1" si="292"/>
        <v>0</v>
      </c>
      <c r="V686" s="306">
        <f t="shared" ca="1" si="293"/>
        <v>1.0677716653032014</v>
      </c>
      <c r="W686" s="304">
        <f t="shared" ca="1" si="294"/>
        <v>33.844286744753376</v>
      </c>
      <c r="Y686" s="314" t="str">
        <f t="shared" ca="1" si="312"/>
        <v/>
      </c>
      <c r="Z686" s="315" t="str">
        <f t="shared" ca="1" si="313"/>
        <v/>
      </c>
      <c r="AA686" s="316" t="str">
        <f t="shared" ca="1" si="314"/>
        <v/>
      </c>
      <c r="AC686" s="310" t="e">
        <f t="shared" ca="1" si="315"/>
        <v>#N/A</v>
      </c>
      <c r="AD686" s="323" t="e">
        <f t="shared" ca="1" si="316"/>
        <v>#N/A</v>
      </c>
      <c r="AE686" s="324" t="e">
        <f t="shared" ca="1" si="295"/>
        <v>#N/A</v>
      </c>
      <c r="AG686" s="306">
        <f t="shared" ca="1" si="317"/>
        <v>3.1193394403631212</v>
      </c>
      <c r="AH686" s="304">
        <f t="shared" ca="1" si="318"/>
        <v>-6.6108101822553129</v>
      </c>
    </row>
    <row r="687" spans="1:34" x14ac:dyDescent="0.2">
      <c r="A687" s="347">
        <f t="shared" ca="1" si="296"/>
        <v>0.1</v>
      </c>
      <c r="B687" s="304">
        <f t="shared" ca="1" si="297"/>
        <v>32.300000000000146</v>
      </c>
      <c r="D687" s="306">
        <f t="shared" ca="1" si="298"/>
        <v>-0.83969037878948893</v>
      </c>
      <c r="E687" s="307">
        <f t="shared" ca="1" si="299"/>
        <v>-3.2048303362552231</v>
      </c>
      <c r="F687" s="304">
        <f t="shared" ca="1" si="300"/>
        <v>3.3130073070268651</v>
      </c>
      <c r="G687" s="306">
        <f t="shared" ca="1" si="301"/>
        <v>12.729174416766183</v>
      </c>
      <c r="H687" s="307">
        <f t="shared" ca="1" si="302"/>
        <v>-101.11118944357665</v>
      </c>
      <c r="I687" s="304">
        <f t="shared" ca="1" si="303"/>
        <v>101.90929551335</v>
      </c>
      <c r="J687" s="306">
        <f t="shared" ca="1" si="304"/>
        <v>873.76035888369393</v>
      </c>
      <c r="K687" s="307">
        <f t="shared" ca="1" si="305"/>
        <v>1361.4181446297625</v>
      </c>
      <c r="L687" s="304">
        <f t="shared" ca="1" si="290"/>
        <v>1617.6886379287291</v>
      </c>
      <c r="M687" s="306">
        <f t="shared" ca="1" si="306"/>
        <v>-1.4455623287476431</v>
      </c>
      <c r="N687" s="304">
        <f t="shared" ca="1" si="307"/>
        <v>-82.824620460342786</v>
      </c>
      <c r="P687" s="310">
        <f t="shared" ca="1" si="308"/>
        <v>23</v>
      </c>
      <c r="Q687" s="304">
        <f t="shared" ca="1" si="309"/>
        <v>0</v>
      </c>
      <c r="R687" s="306">
        <f t="shared" ca="1" si="310"/>
        <v>0</v>
      </c>
      <c r="S687" s="307">
        <f t="shared" ca="1" si="311"/>
        <v>5.0829999999999913</v>
      </c>
      <c r="T687" s="304">
        <f t="shared" ca="1" si="291"/>
        <v>49.864229999999914</v>
      </c>
      <c r="U687" s="311">
        <f t="shared" ca="1" si="292"/>
        <v>0</v>
      </c>
      <c r="V687" s="306">
        <f t="shared" ca="1" si="293"/>
        <v>1.0688551957665109</v>
      </c>
      <c r="W687" s="304">
        <f t="shared" ca="1" si="294"/>
        <v>34.083949245853169</v>
      </c>
      <c r="Y687" s="314" t="str">
        <f t="shared" ca="1" si="312"/>
        <v/>
      </c>
      <c r="Z687" s="315" t="str">
        <f t="shared" ca="1" si="313"/>
        <v/>
      </c>
      <c r="AA687" s="316" t="str">
        <f t="shared" ca="1" si="314"/>
        <v/>
      </c>
      <c r="AC687" s="310" t="e">
        <f t="shared" ca="1" si="315"/>
        <v>#N/A</v>
      </c>
      <c r="AD687" s="323" t="e">
        <f t="shared" ca="1" si="316"/>
        <v>#N/A</v>
      </c>
      <c r="AE687" s="324" t="e">
        <f t="shared" ca="1" si="295"/>
        <v>#N/A</v>
      </c>
      <c r="AG687" s="306">
        <f t="shared" ca="1" si="317"/>
        <v>3.0733488714015511</v>
      </c>
      <c r="AH687" s="304">
        <f t="shared" ca="1" si="318"/>
        <v>-6.6583290861210767</v>
      </c>
    </row>
    <row r="688" spans="1:34" x14ac:dyDescent="0.2">
      <c r="A688" s="347">
        <f t="shared" ca="1" si="296"/>
        <v>0.1</v>
      </c>
      <c r="B688" s="304">
        <f t="shared" ca="1" si="297"/>
        <v>32.400000000000148</v>
      </c>
      <c r="D688" s="306">
        <f t="shared" ca="1" si="298"/>
        <v>-0.83756059767614477</v>
      </c>
      <c r="E688" s="307">
        <f t="shared" ca="1" si="299"/>
        <v>-3.1570352837208979</v>
      </c>
      <c r="F688" s="304">
        <f t="shared" ca="1" si="300"/>
        <v>3.2662485418960867</v>
      </c>
      <c r="G688" s="306">
        <f t="shared" ca="1" si="301"/>
        <v>12.645418356998569</v>
      </c>
      <c r="H688" s="307">
        <f t="shared" ca="1" si="302"/>
        <v>-101.42689297194873</v>
      </c>
      <c r="I688" s="304">
        <f t="shared" ca="1" si="303"/>
        <v>102.21213833672917</v>
      </c>
      <c r="J688" s="306">
        <f t="shared" ca="1" si="304"/>
        <v>875.02908852238215</v>
      </c>
      <c r="K688" s="307">
        <f t="shared" ca="1" si="305"/>
        <v>1351.2912405089862</v>
      </c>
      <c r="L688" s="304">
        <f t="shared" ca="1" si="290"/>
        <v>1609.8645664889409</v>
      </c>
      <c r="M688" s="306">
        <f t="shared" ca="1" si="306"/>
        <v>-1.4467611462509955</v>
      </c>
      <c r="N688" s="304">
        <f t="shared" ca="1" si="307"/>
        <v>-82.893307643691287</v>
      </c>
      <c r="P688" s="310">
        <f t="shared" ca="1" si="308"/>
        <v>23</v>
      </c>
      <c r="Q688" s="304">
        <f t="shared" ca="1" si="309"/>
        <v>0</v>
      </c>
      <c r="R688" s="306">
        <f t="shared" ca="1" si="310"/>
        <v>0</v>
      </c>
      <c r="S688" s="307">
        <f t="shared" ca="1" si="311"/>
        <v>5.0829999999999913</v>
      </c>
      <c r="T688" s="304">
        <f t="shared" ca="1" si="291"/>
        <v>49.864229999999914</v>
      </c>
      <c r="U688" s="311">
        <f t="shared" ca="1" si="292"/>
        <v>0</v>
      </c>
      <c r="V688" s="306">
        <f t="shared" ca="1" si="293"/>
        <v>1.0699431698554223</v>
      </c>
      <c r="W688" s="304">
        <f t="shared" ca="1" si="294"/>
        <v>34.321724215606046</v>
      </c>
      <c r="Y688" s="314" t="str">
        <f t="shared" ca="1" si="312"/>
        <v/>
      </c>
      <c r="Z688" s="315" t="str">
        <f t="shared" ca="1" si="313"/>
        <v/>
      </c>
      <c r="AA688" s="316" t="str">
        <f t="shared" ca="1" si="314"/>
        <v/>
      </c>
      <c r="AC688" s="310" t="e">
        <f t="shared" ca="1" si="315"/>
        <v>#N/A</v>
      </c>
      <c r="AD688" s="323" t="e">
        <f t="shared" ca="1" si="316"/>
        <v>#N/A</v>
      </c>
      <c r="AE688" s="324" t="e">
        <f t="shared" ca="1" si="295"/>
        <v>#N/A</v>
      </c>
      <c r="AG688" s="306">
        <f t="shared" ca="1" si="317"/>
        <v>3.0276937561550419</v>
      </c>
      <c r="AH688" s="304">
        <f t="shared" ca="1" si="318"/>
        <v>-6.7054788994399424</v>
      </c>
    </row>
    <row r="689" spans="1:34" x14ac:dyDescent="0.2">
      <c r="A689" s="347">
        <f t="shared" ca="1" si="296"/>
        <v>0.1</v>
      </c>
      <c r="B689" s="304">
        <f t="shared" ca="1" si="297"/>
        <v>32.500000000000149</v>
      </c>
      <c r="D689" s="306">
        <f t="shared" ca="1" si="298"/>
        <v>-0.83537161727480502</v>
      </c>
      <c r="E689" s="307">
        <f t="shared" ca="1" si="299"/>
        <v>-3.1096168869144387</v>
      </c>
      <c r="F689" s="304">
        <f t="shared" ca="1" si="300"/>
        <v>3.2198700163720537</v>
      </c>
      <c r="G689" s="306">
        <f t="shared" ca="1" si="301"/>
        <v>12.561881195271088</v>
      </c>
      <c r="H689" s="307">
        <f t="shared" ca="1" si="302"/>
        <v>-101.73785466064018</v>
      </c>
      <c r="I689" s="304">
        <f t="shared" ca="1" si="303"/>
        <v>102.51044790709702</v>
      </c>
      <c r="J689" s="306">
        <f t="shared" ca="1" si="304"/>
        <v>876.2894534999956</v>
      </c>
      <c r="K689" s="307">
        <f t="shared" ca="1" si="305"/>
        <v>1341.1330031273567</v>
      </c>
      <c r="L689" s="304">
        <f t="shared" ca="1" si="290"/>
        <v>1602.0364972099492</v>
      </c>
      <c r="M689" s="306">
        <f t="shared" ca="1" si="306"/>
        <v>-1.4479450917358656</v>
      </c>
      <c r="N689" s="304">
        <f t="shared" ca="1" si="307"/>
        <v>-82.961142723147915</v>
      </c>
      <c r="P689" s="310">
        <f t="shared" ca="1" si="308"/>
        <v>23</v>
      </c>
      <c r="Q689" s="304">
        <f t="shared" ca="1" si="309"/>
        <v>0</v>
      </c>
      <c r="R689" s="306">
        <f t="shared" ca="1" si="310"/>
        <v>0</v>
      </c>
      <c r="S689" s="307">
        <f t="shared" ca="1" si="311"/>
        <v>5.0829999999999913</v>
      </c>
      <c r="T689" s="304">
        <f t="shared" ca="1" si="291"/>
        <v>49.864229999999914</v>
      </c>
      <c r="U689" s="311">
        <f t="shared" ca="1" si="292"/>
        <v>0</v>
      </c>
      <c r="V689" s="306">
        <f t="shared" ca="1" si="293"/>
        <v>1.0710355475418984</v>
      </c>
      <c r="W689" s="304">
        <f t="shared" ca="1" si="294"/>
        <v>34.557600997957238</v>
      </c>
      <c r="Y689" s="314" t="str">
        <f t="shared" ca="1" si="312"/>
        <v/>
      </c>
      <c r="Z689" s="315" t="str">
        <f t="shared" ca="1" si="313"/>
        <v/>
      </c>
      <c r="AA689" s="316" t="str">
        <f t="shared" ca="1" si="314"/>
        <v/>
      </c>
      <c r="AC689" s="310" t="e">
        <f t="shared" ca="1" si="315"/>
        <v>#N/A</v>
      </c>
      <c r="AD689" s="323" t="e">
        <f t="shared" ca="1" si="316"/>
        <v>#N/A</v>
      </c>
      <c r="AE689" s="324" t="e">
        <f t="shared" ca="1" si="295"/>
        <v>#N/A</v>
      </c>
      <c r="AG689" s="306">
        <f t="shared" ca="1" si="317"/>
        <v>2.9823772454948472</v>
      </c>
      <c r="AH689" s="304">
        <f t="shared" ca="1" si="318"/>
        <v>-6.7522573707664968</v>
      </c>
    </row>
    <row r="690" spans="1:34" x14ac:dyDescent="0.2">
      <c r="A690" s="347">
        <f t="shared" ca="1" si="296"/>
        <v>0.1</v>
      </c>
      <c r="B690" s="304">
        <f t="shared" ca="1" si="297"/>
        <v>32.600000000000151</v>
      </c>
      <c r="D690" s="306">
        <f t="shared" ca="1" si="298"/>
        <v>-0.83312473163040179</v>
      </c>
      <c r="E690" s="307">
        <f t="shared" ca="1" si="299"/>
        <v>-3.0625772578786492</v>
      </c>
      <c r="F690" s="304">
        <f t="shared" ca="1" si="300"/>
        <v>3.1738740174949815</v>
      </c>
      <c r="G690" s="306">
        <f t="shared" ca="1" si="301"/>
        <v>12.478568722108047</v>
      </c>
      <c r="H690" s="307">
        <f t="shared" ca="1" si="302"/>
        <v>-102.04411238642804</v>
      </c>
      <c r="I690" s="304">
        <f t="shared" ca="1" si="303"/>
        <v>102.80425842389181</v>
      </c>
      <c r="J690" s="306">
        <f t="shared" ca="1" si="304"/>
        <v>877.54147599586452</v>
      </c>
      <c r="K690" s="307">
        <f t="shared" ca="1" si="305"/>
        <v>1330.9439047750034</v>
      </c>
      <c r="L690" s="304">
        <f t="shared" ca="1" si="290"/>
        <v>1594.2053568316517</v>
      </c>
      <c r="M690" s="306">
        <f t="shared" ca="1" si="306"/>
        <v>-1.4491144418228645</v>
      </c>
      <c r="N690" s="304">
        <f t="shared" ca="1" si="307"/>
        <v>-83.028141547906202</v>
      </c>
      <c r="P690" s="310">
        <f t="shared" ca="1" si="308"/>
        <v>23</v>
      </c>
      <c r="Q690" s="304">
        <f t="shared" ca="1" si="309"/>
        <v>0</v>
      </c>
      <c r="R690" s="306">
        <f t="shared" ca="1" si="310"/>
        <v>0</v>
      </c>
      <c r="S690" s="307">
        <f t="shared" ca="1" si="311"/>
        <v>5.0829999999999913</v>
      </c>
      <c r="T690" s="304">
        <f t="shared" ca="1" si="291"/>
        <v>49.864229999999914</v>
      </c>
      <c r="U690" s="311">
        <f t="shared" ca="1" si="292"/>
        <v>0</v>
      </c>
      <c r="V690" s="306">
        <f t="shared" ca="1" si="293"/>
        <v>1.0721322890700204</v>
      </c>
      <c r="W690" s="304">
        <f t="shared" ca="1" si="294"/>
        <v>34.791569711014823</v>
      </c>
      <c r="Y690" s="314" t="str">
        <f t="shared" ca="1" si="312"/>
        <v/>
      </c>
      <c r="Z690" s="315" t="str">
        <f t="shared" ca="1" si="313"/>
        <v/>
      </c>
      <c r="AA690" s="316" t="str">
        <f t="shared" ca="1" si="314"/>
        <v/>
      </c>
      <c r="AC690" s="310" t="e">
        <f t="shared" ca="1" si="315"/>
        <v>#N/A</v>
      </c>
      <c r="AD690" s="323" t="e">
        <f t="shared" ca="1" si="316"/>
        <v>#N/A</v>
      </c>
      <c r="AE690" s="324" t="e">
        <f t="shared" ca="1" si="295"/>
        <v>#N/A</v>
      </c>
      <c r="AG690" s="306">
        <f t="shared" ca="1" si="317"/>
        <v>2.9374023057859437</v>
      </c>
      <c r="AH690" s="304">
        <f t="shared" ca="1" si="318"/>
        <v>-6.7986624036902024</v>
      </c>
    </row>
    <row r="691" spans="1:34" x14ac:dyDescent="0.2">
      <c r="A691" s="347">
        <f t="shared" ca="1" si="296"/>
        <v>0.1</v>
      </c>
      <c r="B691" s="304">
        <f t="shared" ca="1" si="297"/>
        <v>32.700000000000152</v>
      </c>
      <c r="D691" s="306">
        <f t="shared" ca="1" si="298"/>
        <v>-0.83082122752771381</v>
      </c>
      <c r="E691" s="307">
        <f t="shared" ca="1" si="299"/>
        <v>-3.0159183546696164</v>
      </c>
      <c r="F691" s="304">
        <f t="shared" ca="1" si="300"/>
        <v>3.1282626862435552</v>
      </c>
      <c r="G691" s="306">
        <f t="shared" ca="1" si="301"/>
        <v>12.395486599355277</v>
      </c>
      <c r="H691" s="307">
        <f t="shared" ca="1" si="302"/>
        <v>-102.34570422189501</v>
      </c>
      <c r="I691" s="304">
        <f t="shared" ca="1" si="303"/>
        <v>103.09360436375485</v>
      </c>
      <c r="J691" s="306">
        <f t="shared" ca="1" si="304"/>
        <v>878.78517876193769</v>
      </c>
      <c r="K691" s="307">
        <f t="shared" ca="1" si="305"/>
        <v>1320.7244139445872</v>
      </c>
      <c r="L691" s="304">
        <f t="shared" ca="1" si="290"/>
        <v>1586.3720774146664</v>
      </c>
      <c r="M691" s="306">
        <f t="shared" ca="1" si="306"/>
        <v>-1.4502694659352251</v>
      </c>
      <c r="N691" s="304">
        <f t="shared" ca="1" si="307"/>
        <v>-83.094319554780313</v>
      </c>
      <c r="P691" s="310">
        <f t="shared" ca="1" si="308"/>
        <v>23</v>
      </c>
      <c r="Q691" s="304">
        <f t="shared" ca="1" si="309"/>
        <v>0</v>
      </c>
      <c r="R691" s="306">
        <f t="shared" ca="1" si="310"/>
        <v>0</v>
      </c>
      <c r="S691" s="307">
        <f t="shared" ca="1" si="311"/>
        <v>5.0829999999999913</v>
      </c>
      <c r="T691" s="304">
        <f t="shared" ca="1" si="291"/>
        <v>49.864229999999914</v>
      </c>
      <c r="U691" s="311">
        <f t="shared" ca="1" si="292"/>
        <v>0</v>
      </c>
      <c r="V691" s="306">
        <f t="shared" ca="1" si="293"/>
        <v>1.0732333549582436</v>
      </c>
      <c r="W691" s="304">
        <f t="shared" ca="1" si="294"/>
        <v>35.02362123308508</v>
      </c>
      <c r="Y691" s="314" t="str">
        <f t="shared" ca="1" si="312"/>
        <v/>
      </c>
      <c r="Z691" s="315" t="str">
        <f t="shared" ca="1" si="313"/>
        <v/>
      </c>
      <c r="AA691" s="316" t="str">
        <f t="shared" ca="1" si="314"/>
        <v/>
      </c>
      <c r="AC691" s="310" t="e">
        <f t="shared" ca="1" si="315"/>
        <v>#N/A</v>
      </c>
      <c r="AD691" s="323" t="e">
        <f t="shared" ca="1" si="316"/>
        <v>#N/A</v>
      </c>
      <c r="AE691" s="324" t="e">
        <f t="shared" ca="1" si="295"/>
        <v>#N/A</v>
      </c>
      <c r="AG691" s="306">
        <f t="shared" ca="1" si="317"/>
        <v>2.8927717227674012</v>
      </c>
      <c r="AH691" s="304">
        <f t="shared" ca="1" si="318"/>
        <v>-6.8446920541048364</v>
      </c>
    </row>
    <row r="692" spans="1:34" x14ac:dyDescent="0.2">
      <c r="A692" s="347">
        <f t="shared" ca="1" si="296"/>
        <v>0.1</v>
      </c>
      <c r="B692" s="304">
        <f t="shared" ca="1" si="297"/>
        <v>32.800000000000153</v>
      </c>
      <c r="D692" s="306">
        <f t="shared" ca="1" si="298"/>
        <v>-0.82846238408474582</v>
      </c>
      <c r="E692" s="307">
        <f t="shared" ca="1" si="299"/>
        <v>-2.9696419841304547</v>
      </c>
      <c r="F692" s="304">
        <f t="shared" ca="1" si="300"/>
        <v>3.0830380204846071</v>
      </c>
      <c r="G692" s="306">
        <f t="shared" ca="1" si="301"/>
        <v>12.312640360946801</v>
      </c>
      <c r="H692" s="307">
        <f t="shared" ca="1" si="302"/>
        <v>-102.64266842030806</v>
      </c>
      <c r="I692" s="304">
        <f t="shared" ca="1" si="303"/>
        <v>103.37852046290526</v>
      </c>
      <c r="J692" s="306">
        <f t="shared" ca="1" si="304"/>
        <v>880.02058510995278</v>
      </c>
      <c r="K692" s="307">
        <f t="shared" ca="1" si="305"/>
        <v>1310.4749953124772</v>
      </c>
      <c r="L692" s="304">
        <f t="shared" ca="1" si="290"/>
        <v>1578.5375964976256</v>
      </c>
      <c r="M692" s="306">
        <f t="shared" ca="1" si="306"/>
        <v>-1.4514104265306524</v>
      </c>
      <c r="N692" s="304">
        <f t="shared" ca="1" si="307"/>
        <v>-83.15969178148903</v>
      </c>
      <c r="P692" s="310">
        <f t="shared" ca="1" si="308"/>
        <v>23</v>
      </c>
      <c r="Q692" s="304">
        <f t="shared" ca="1" si="309"/>
        <v>0</v>
      </c>
      <c r="R692" s="306">
        <f t="shared" ca="1" si="310"/>
        <v>0</v>
      </c>
      <c r="S692" s="307">
        <f t="shared" ca="1" si="311"/>
        <v>5.0829999999999913</v>
      </c>
      <c r="T692" s="304">
        <f t="shared" ca="1" si="291"/>
        <v>49.864229999999914</v>
      </c>
      <c r="U692" s="311">
        <f t="shared" ca="1" si="292"/>
        <v>0</v>
      </c>
      <c r="V692" s="306">
        <f t="shared" ca="1" si="293"/>
        <v>1.0743387060015417</v>
      </c>
      <c r="W692" s="304">
        <f t="shared" ca="1" si="294"/>
        <v>35.25374718863614</v>
      </c>
      <c r="Y692" s="314" t="str">
        <f t="shared" ca="1" si="312"/>
        <v/>
      </c>
      <c r="Z692" s="315" t="str">
        <f t="shared" ca="1" si="313"/>
        <v/>
      </c>
      <c r="AA692" s="316" t="str">
        <f t="shared" ca="1" si="314"/>
        <v/>
      </c>
      <c r="AC692" s="310" t="e">
        <f t="shared" ca="1" si="315"/>
        <v>#N/A</v>
      </c>
      <c r="AD692" s="323" t="e">
        <f t="shared" ca="1" si="316"/>
        <v>#N/A</v>
      </c>
      <c r="AE692" s="324" t="e">
        <f t="shared" ca="1" si="295"/>
        <v>#N/A</v>
      </c>
      <c r="AG692" s="306">
        <f t="shared" ca="1" si="317"/>
        <v>2.8484881053978199</v>
      </c>
      <c r="AH692" s="304">
        <f t="shared" ca="1" si="318"/>
        <v>-6.8903445274611723</v>
      </c>
    </row>
    <row r="693" spans="1:34" x14ac:dyDescent="0.2">
      <c r="A693" s="347">
        <f t="shared" ca="1" si="296"/>
        <v>0.1</v>
      </c>
      <c r="B693" s="304">
        <f t="shared" ca="1" si="297"/>
        <v>32.900000000000155</v>
      </c>
      <c r="D693" s="306">
        <f t="shared" ca="1" si="298"/>
        <v>-0.82604947236253223</v>
      </c>
      <c r="E693" s="307">
        <f t="shared" ca="1" si="299"/>
        <v>-2.9237498046797565</v>
      </c>
      <c r="F693" s="304">
        <f t="shared" ca="1" si="300"/>
        <v>3.0382018779461202</v>
      </c>
      <c r="G693" s="306">
        <f t="shared" ca="1" si="301"/>
        <v>12.230035413710548</v>
      </c>
      <c r="H693" s="307">
        <f t="shared" ca="1" si="302"/>
        <v>-102.93504340077602</v>
      </c>
      <c r="I693" s="304">
        <f t="shared" ca="1" si="303"/>
        <v>103.65904169989349</v>
      </c>
      <c r="J693" s="306">
        <f t="shared" ca="1" si="304"/>
        <v>881.24771889868566</v>
      </c>
      <c r="K693" s="307">
        <f t="shared" ca="1" si="305"/>
        <v>1300.196109721423</v>
      </c>
      <c r="L693" s="304">
        <f t="shared" ca="1" si="290"/>
        <v>1570.7028572581319</v>
      </c>
      <c r="M693" s="306">
        <f t="shared" ca="1" si="306"/>
        <v>-1.4525375793244102</v>
      </c>
      <c r="N693" s="304">
        <f t="shared" ca="1" si="307"/>
        <v>-83.224272879437734</v>
      </c>
      <c r="P693" s="310">
        <f t="shared" ca="1" si="308"/>
        <v>23</v>
      </c>
      <c r="Q693" s="304">
        <f t="shared" ca="1" si="309"/>
        <v>0</v>
      </c>
      <c r="R693" s="306">
        <f t="shared" ca="1" si="310"/>
        <v>0</v>
      </c>
      <c r="S693" s="307">
        <f t="shared" ca="1" si="311"/>
        <v>5.0829999999999913</v>
      </c>
      <c r="T693" s="304">
        <f t="shared" ca="1" si="291"/>
        <v>49.864229999999914</v>
      </c>
      <c r="U693" s="311">
        <f t="shared" ca="1" si="292"/>
        <v>0</v>
      </c>
      <c r="V693" s="306">
        <f t="shared" ca="1" si="293"/>
        <v>1.0754483032734319</v>
      </c>
      <c r="W693" s="304">
        <f t="shared" ca="1" si="294"/>
        <v>35.481939934202835</v>
      </c>
      <c r="Y693" s="314" t="str">
        <f t="shared" ca="1" si="312"/>
        <v/>
      </c>
      <c r="Z693" s="315" t="str">
        <f t="shared" ca="1" si="313"/>
        <v/>
      </c>
      <c r="AA693" s="316" t="str">
        <f t="shared" ca="1" si="314"/>
        <v/>
      </c>
      <c r="AC693" s="310" t="e">
        <f t="shared" ca="1" si="315"/>
        <v>#N/A</v>
      </c>
      <c r="AD693" s="323" t="e">
        <f t="shared" ca="1" si="316"/>
        <v>#N/A</v>
      </c>
      <c r="AE693" s="324" t="e">
        <f t="shared" ca="1" si="295"/>
        <v>#N/A</v>
      </c>
      <c r="AG693" s="306">
        <f t="shared" ca="1" si="317"/>
        <v>2.8045538896657849</v>
      </c>
      <c r="AH693" s="304">
        <f t="shared" ca="1" si="318"/>
        <v>-6.9356181760055478</v>
      </c>
    </row>
    <row r="694" spans="1:34" x14ac:dyDescent="0.2">
      <c r="A694" s="347">
        <f t="shared" ca="1" si="296"/>
        <v>0.1</v>
      </c>
      <c r="B694" s="304">
        <f t="shared" ca="1" si="297"/>
        <v>33.000000000000156</v>
      </c>
      <c r="D694" s="306">
        <f t="shared" ca="1" si="298"/>
        <v>-0.82358375499110248</v>
      </c>
      <c r="E694" s="307">
        <f t="shared" ca="1" si="299"/>
        <v>-2.8782433291121112</v>
      </c>
      <c r="F694" s="304">
        <f t="shared" ca="1" si="300"/>
        <v>2.993755979211334</v>
      </c>
      <c r="G694" s="306">
        <f t="shared" ca="1" si="301"/>
        <v>12.147677038211437</v>
      </c>
      <c r="H694" s="307">
        <f t="shared" ca="1" si="302"/>
        <v>-103.22286773368724</v>
      </c>
      <c r="I694" s="304">
        <f t="shared" ca="1" si="303"/>
        <v>103.93520327873026</v>
      </c>
      <c r="J694" s="306">
        <f t="shared" ca="1" si="304"/>
        <v>882.46660452128174</v>
      </c>
      <c r="K694" s="307">
        <f t="shared" ca="1" si="305"/>
        <v>1289.8882141646998</v>
      </c>
      <c r="L694" s="304">
        <f t="shared" ca="1" si="290"/>
        <v>1562.8688086772731</v>
      </c>
      <c r="M694" s="306">
        <f t="shared" ca="1" si="306"/>
        <v>-1.4536511735040214</v>
      </c>
      <c r="N694" s="304">
        <f t="shared" ca="1" si="307"/>
        <v>-83.288077126019786</v>
      </c>
      <c r="P694" s="310">
        <f t="shared" ca="1" si="308"/>
        <v>23</v>
      </c>
      <c r="Q694" s="304">
        <f t="shared" ca="1" si="309"/>
        <v>0</v>
      </c>
      <c r="R694" s="306">
        <f t="shared" ca="1" si="310"/>
        <v>0</v>
      </c>
      <c r="S694" s="307">
        <f t="shared" ca="1" si="311"/>
        <v>5.0829999999999913</v>
      </c>
      <c r="T694" s="304">
        <f t="shared" ca="1" si="291"/>
        <v>49.864229999999914</v>
      </c>
      <c r="U694" s="311">
        <f t="shared" ca="1" si="292"/>
        <v>0</v>
      </c>
      <c r="V694" s="306">
        <f t="shared" ca="1" si="293"/>
        <v>1.0765621081278887</v>
      </c>
      <c r="W694" s="304">
        <f t="shared" ca="1" si="294"/>
        <v>35.708192544245613</v>
      </c>
      <c r="Y694" s="314" t="str">
        <f t="shared" ca="1" si="312"/>
        <v/>
      </c>
      <c r="Z694" s="315" t="str">
        <f t="shared" ca="1" si="313"/>
        <v/>
      </c>
      <c r="AA694" s="316" t="str">
        <f t="shared" ca="1" si="314"/>
        <v/>
      </c>
      <c r="AC694" s="310">
        <f t="shared" ca="1" si="315"/>
        <v>33.000000000000156</v>
      </c>
      <c r="AD694" s="323">
        <f t="shared" ca="1" si="316"/>
        <v>882.46660452128174</v>
      </c>
      <c r="AE694" s="324" t="e">
        <f t="shared" ca="1" si="295"/>
        <v>#N/A</v>
      </c>
      <c r="AG694" s="306">
        <f t="shared" ca="1" si="317"/>
        <v>2.7609713423652602</v>
      </c>
      <c r="AH694" s="304">
        <f t="shared" ca="1" si="318"/>
        <v>-6.9805114960068648</v>
      </c>
    </row>
    <row r="695" spans="1:34" x14ac:dyDescent="0.2">
      <c r="A695" s="347">
        <f t="shared" ca="1" si="296"/>
        <v>0.1</v>
      </c>
      <c r="B695" s="304">
        <f t="shared" ca="1" si="297"/>
        <v>33.100000000000158</v>
      </c>
      <c r="D695" s="306">
        <f t="shared" ca="1" si="298"/>
        <v>-0.82106648581137276</v>
      </c>
      <c r="E695" s="307">
        <f t="shared" ca="1" si="299"/>
        <v>-2.8331239274081526</v>
      </c>
      <c r="F695" s="304">
        <f t="shared" ca="1" si="300"/>
        <v>2.9497019107318678</v>
      </c>
      <c r="G695" s="306">
        <f t="shared" ca="1" si="301"/>
        <v>12.065570389630301</v>
      </c>
      <c r="H695" s="307">
        <f t="shared" ca="1" si="302"/>
        <v>-103.50618012642805</v>
      </c>
      <c r="I695" s="304">
        <f t="shared" ca="1" si="303"/>
        <v>104.20704061238709</v>
      </c>
      <c r="J695" s="306">
        <f t="shared" ca="1" si="304"/>
        <v>883.67726689267386</v>
      </c>
      <c r="K695" s="307">
        <f t="shared" ca="1" si="305"/>
        <v>1279.5517617716939</v>
      </c>
      <c r="L695" s="304">
        <f t="shared" ca="1" si="290"/>
        <v>1555.0364057075806</v>
      </c>
      <c r="M695" s="306">
        <f t="shared" ca="1" si="306"/>
        <v>-1.4547514519359455</v>
      </c>
      <c r="N695" s="304">
        <f t="shared" ca="1" si="307"/>
        <v>-83.351118436458307</v>
      </c>
      <c r="P695" s="310">
        <f t="shared" ca="1" si="308"/>
        <v>23</v>
      </c>
      <c r="Q695" s="304">
        <f t="shared" ca="1" si="309"/>
        <v>0</v>
      </c>
      <c r="R695" s="306">
        <f t="shared" ca="1" si="310"/>
        <v>0</v>
      </c>
      <c r="S695" s="307">
        <f t="shared" ca="1" si="311"/>
        <v>5.0829999999999913</v>
      </c>
      <c r="T695" s="304">
        <f t="shared" ca="1" si="291"/>
        <v>49.864229999999914</v>
      </c>
      <c r="U695" s="311">
        <f t="shared" ca="1" si="292"/>
        <v>0</v>
      </c>
      <c r="V695" s="306">
        <f t="shared" ca="1" si="293"/>
        <v>1.0776800822011467</v>
      </c>
      <c r="W695" s="304">
        <f t="shared" ca="1" si="294"/>
        <v>35.932498796975466</v>
      </c>
      <c r="Y695" s="314" t="str">
        <f t="shared" ca="1" si="312"/>
        <v/>
      </c>
      <c r="Z695" s="315" t="str">
        <f t="shared" ca="1" si="313"/>
        <v/>
      </c>
      <c r="AA695" s="316" t="str">
        <f t="shared" ca="1" si="314"/>
        <v/>
      </c>
      <c r="AC695" s="310" t="e">
        <f t="shared" ca="1" si="315"/>
        <v>#N/A</v>
      </c>
      <c r="AD695" s="323" t="e">
        <f t="shared" ca="1" si="316"/>
        <v>#N/A</v>
      </c>
      <c r="AE695" s="324" t="e">
        <f t="shared" ca="1" si="295"/>
        <v>#N/A</v>
      </c>
      <c r="AG695" s="306">
        <f t="shared" ca="1" si="317"/>
        <v>2.7177425648357412</v>
      </c>
      <c r="AH695" s="304">
        <f t="shared" ca="1" si="318"/>
        <v>-7.0250231249745569</v>
      </c>
    </row>
    <row r="696" spans="1:34" x14ac:dyDescent="0.2">
      <c r="A696" s="347">
        <f t="shared" ca="1" si="296"/>
        <v>0.1</v>
      </c>
      <c r="B696" s="304">
        <f t="shared" ca="1" si="297"/>
        <v>33.200000000000159</v>
      </c>
      <c r="D696" s="306">
        <f t="shared" ca="1" si="298"/>
        <v>-0.81849890953270288</v>
      </c>
      <c r="E696" s="307">
        <f t="shared" ca="1" si="299"/>
        <v>-2.7883928295517011</v>
      </c>
      <c r="F696" s="304">
        <f t="shared" ca="1" si="300"/>
        <v>2.9060411278578915</v>
      </c>
      <c r="G696" s="306">
        <f t="shared" ca="1" si="301"/>
        <v>11.98372049867703</v>
      </c>
      <c r="H696" s="307">
        <f t="shared" ca="1" si="302"/>
        <v>-103.78501940938322</v>
      </c>
      <c r="I696" s="304">
        <f t="shared" ca="1" si="303"/>
        <v>104.47458930666569</v>
      </c>
      <c r="J696" s="306">
        <f t="shared" ca="1" si="304"/>
        <v>884.87973143708928</v>
      </c>
      <c r="K696" s="307">
        <f t="shared" ca="1" si="305"/>
        <v>1269.1872017949033</v>
      </c>
      <c r="L696" s="304">
        <f t="shared" ca="1" si="290"/>
        <v>1547.2066094443082</v>
      </c>
      <c r="M696" s="306">
        <f t="shared" ca="1" si="306"/>
        <v>-1.455838651364578</v>
      </c>
      <c r="N696" s="304">
        <f t="shared" ca="1" si="307"/>
        <v>-83.413410375207988</v>
      </c>
      <c r="P696" s="310">
        <f t="shared" ca="1" si="308"/>
        <v>23</v>
      </c>
      <c r="Q696" s="304">
        <f t="shared" ca="1" si="309"/>
        <v>0</v>
      </c>
      <c r="R696" s="306">
        <f t="shared" ca="1" si="310"/>
        <v>0</v>
      </c>
      <c r="S696" s="307">
        <f t="shared" ca="1" si="311"/>
        <v>5.0829999999999913</v>
      </c>
      <c r="T696" s="304">
        <f t="shared" ca="1" si="291"/>
        <v>49.864229999999914</v>
      </c>
      <c r="U696" s="311">
        <f t="shared" ca="1" si="292"/>
        <v>0</v>
      </c>
      <c r="V696" s="306">
        <f t="shared" ca="1" si="293"/>
        <v>1.0788021874133911</v>
      </c>
      <c r="W696" s="304">
        <f t="shared" ca="1" si="294"/>
        <v>36.15485316015711</v>
      </c>
      <c r="Y696" s="314" t="str">
        <f t="shared" ca="1" si="312"/>
        <v/>
      </c>
      <c r="Z696" s="315" t="str">
        <f t="shared" ca="1" si="313"/>
        <v/>
      </c>
      <c r="AA696" s="316" t="str">
        <f t="shared" ca="1" si="314"/>
        <v/>
      </c>
      <c r="AC696" s="310" t="e">
        <f t="shared" ca="1" si="315"/>
        <v>#N/A</v>
      </c>
      <c r="AD696" s="323" t="e">
        <f t="shared" ca="1" si="316"/>
        <v>#N/A</v>
      </c>
      <c r="AE696" s="324" t="e">
        <f t="shared" ca="1" si="295"/>
        <v>#N/A</v>
      </c>
      <c r="AG696" s="306">
        <f t="shared" ca="1" si="317"/>
        <v>2.674869496667025</v>
      </c>
      <c r="AH696" s="304">
        <f t="shared" ca="1" si="318"/>
        <v>-7.0691518388698658</v>
      </c>
    </row>
    <row r="697" spans="1:34" x14ac:dyDescent="0.2">
      <c r="A697" s="347">
        <f t="shared" ca="1" si="296"/>
        <v>0.1</v>
      </c>
      <c r="B697" s="304">
        <f t="shared" ca="1" si="297"/>
        <v>33.300000000000161</v>
      </c>
      <c r="D697" s="306">
        <f t="shared" ca="1" si="298"/>
        <v>-0.81588226140584641</v>
      </c>
      <c r="E697" s="307">
        <f t="shared" ca="1" si="299"/>
        <v>-2.7440511283515638</v>
      </c>
      <c r="F697" s="304">
        <f t="shared" ca="1" si="300"/>
        <v>2.8627749578833837</v>
      </c>
      <c r="G697" s="306">
        <f t="shared" ca="1" si="301"/>
        <v>11.902132272536445</v>
      </c>
      <c r="H697" s="307">
        <f t="shared" ca="1" si="302"/>
        <v>-104.05942452221838</v>
      </c>
      <c r="I697" s="304">
        <f t="shared" ca="1" si="303"/>
        <v>104.73788514443194</v>
      </c>
      <c r="J697" s="306">
        <f t="shared" ca="1" si="304"/>
        <v>886.07402407564996</v>
      </c>
      <c r="K697" s="307">
        <f t="shared" ca="1" si="305"/>
        <v>1258.7949795983232</v>
      </c>
      <c r="L697" s="304">
        <f t="shared" ca="1" si="290"/>
        <v>1539.3803872998894</v>
      </c>
      <c r="M697" s="306">
        <f t="shared" ca="1" si="306"/>
        <v>-1.4569130026038957</v>
      </c>
      <c r="N697" s="304">
        <f t="shared" ca="1" si="307"/>
        <v>-83.474966166935545</v>
      </c>
      <c r="P697" s="310">
        <f t="shared" ca="1" si="308"/>
        <v>23</v>
      </c>
      <c r="Q697" s="304">
        <f t="shared" ca="1" si="309"/>
        <v>0</v>
      </c>
      <c r="R697" s="306">
        <f t="shared" ca="1" si="310"/>
        <v>0</v>
      </c>
      <c r="S697" s="307">
        <f t="shared" ca="1" si="311"/>
        <v>5.0829999999999913</v>
      </c>
      <c r="T697" s="304">
        <f t="shared" ca="1" si="291"/>
        <v>49.864229999999914</v>
      </c>
      <c r="U697" s="311">
        <f t="shared" ca="1" si="292"/>
        <v>0</v>
      </c>
      <c r="V697" s="306">
        <f t="shared" ca="1" si="293"/>
        <v>1.0799283859703435</v>
      </c>
      <c r="W697" s="304">
        <f t="shared" ca="1" si="294"/>
        <v>36.375250776901595</v>
      </c>
      <c r="Y697" s="314" t="str">
        <f t="shared" ca="1" si="312"/>
        <v/>
      </c>
      <c r="Z697" s="315" t="str">
        <f t="shared" ca="1" si="313"/>
        <v/>
      </c>
      <c r="AA697" s="316" t="str">
        <f t="shared" ca="1" si="314"/>
        <v/>
      </c>
      <c r="AC697" s="310" t="e">
        <f t="shared" ca="1" si="315"/>
        <v>#N/A</v>
      </c>
      <c r="AD697" s="323" t="e">
        <f t="shared" ca="1" si="316"/>
        <v>#N/A</v>
      </c>
      <c r="AE697" s="324" t="e">
        <f t="shared" ca="1" si="295"/>
        <v>#N/A</v>
      </c>
      <c r="AG697" s="306">
        <f t="shared" ca="1" si="317"/>
        <v>2.6323539193682599</v>
      </c>
      <c r="AH697" s="304">
        <f t="shared" ca="1" si="318"/>
        <v>-7.1128965493128415</v>
      </c>
    </row>
    <row r="698" spans="1:34" x14ac:dyDescent="0.2">
      <c r="A698" s="347">
        <f t="shared" ca="1" si="296"/>
        <v>0.1</v>
      </c>
      <c r="B698" s="304">
        <f t="shared" ca="1" si="297"/>
        <v>33.400000000000162</v>
      </c>
      <c r="D698" s="306">
        <f t="shared" ca="1" si="298"/>
        <v>-0.81321776691106262</v>
      </c>
      <c r="E698" s="307">
        <f t="shared" ca="1" si="299"/>
        <v>-2.7000997822657471</v>
      </c>
      <c r="F698" s="304">
        <f t="shared" ca="1" si="300"/>
        <v>2.8199046031047486</v>
      </c>
      <c r="G698" s="306">
        <f t="shared" ca="1" si="301"/>
        <v>11.820810495845338</v>
      </c>
      <c r="H698" s="307">
        <f t="shared" ca="1" si="302"/>
        <v>-104.32943450044495</v>
      </c>
      <c r="I698" s="304">
        <f t="shared" ca="1" si="303"/>
        <v>104.99696407021167</v>
      </c>
      <c r="J698" s="306">
        <f t="shared" ca="1" si="304"/>
        <v>887.26017121406903</v>
      </c>
      <c r="K698" s="307">
        <f t="shared" ca="1" si="305"/>
        <v>1248.3755366471901</v>
      </c>
      <c r="L698" s="304">
        <f t="shared" ca="1" si="290"/>
        <v>1531.5587131814368</v>
      </c>
      <c r="M698" s="306">
        <f t="shared" ca="1" si="306"/>
        <v>-1.4579747307220627</v>
      </c>
      <c r="N698" s="304">
        <f t="shared" ca="1" si="307"/>
        <v>-83.535798707096873</v>
      </c>
      <c r="P698" s="310">
        <f t="shared" ca="1" si="308"/>
        <v>23</v>
      </c>
      <c r="Q698" s="304">
        <f t="shared" ca="1" si="309"/>
        <v>0</v>
      </c>
      <c r="R698" s="306">
        <f t="shared" ca="1" si="310"/>
        <v>0</v>
      </c>
      <c r="S698" s="307">
        <f t="shared" ca="1" si="311"/>
        <v>5.0829999999999913</v>
      </c>
      <c r="T698" s="304">
        <f t="shared" ca="1" si="291"/>
        <v>49.864229999999914</v>
      </c>
      <c r="U698" s="311">
        <f t="shared" ca="1" si="292"/>
        <v>0</v>
      </c>
      <c r="V698" s="306">
        <f t="shared" ca="1" si="293"/>
        <v>1.0810586403647391</v>
      </c>
      <c r="W698" s="304">
        <f t="shared" ca="1" si="294"/>
        <v>36.593687451459616</v>
      </c>
      <c r="Y698" s="314" t="str">
        <f t="shared" ca="1" si="312"/>
        <v/>
      </c>
      <c r="Z698" s="315" t="str">
        <f t="shared" ca="1" si="313"/>
        <v/>
      </c>
      <c r="AA698" s="316" t="str">
        <f t="shared" ca="1" si="314"/>
        <v/>
      </c>
      <c r="AC698" s="310" t="e">
        <f t="shared" ca="1" si="315"/>
        <v>#N/A</v>
      </c>
      <c r="AD698" s="323" t="e">
        <f t="shared" ca="1" si="316"/>
        <v>#N/A</v>
      </c>
      <c r="AE698" s="324" t="e">
        <f t="shared" ca="1" si="295"/>
        <v>#N/A</v>
      </c>
      <c r="AG698" s="306">
        <f t="shared" ca="1" si="317"/>
        <v>2.5901974600010433</v>
      </c>
      <c r="AH698" s="304">
        <f t="shared" ca="1" si="318"/>
        <v>-7.1562563007872626</v>
      </c>
    </row>
    <row r="699" spans="1:34" x14ac:dyDescent="0.2">
      <c r="A699" s="347">
        <f t="shared" ca="1" si="296"/>
        <v>0.1</v>
      </c>
      <c r="B699" s="304">
        <f t="shared" ca="1" si="297"/>
        <v>33.500000000000163</v>
      </c>
      <c r="D699" s="306">
        <f t="shared" ca="1" si="298"/>
        <v>-0.81050664146108886</v>
      </c>
      <c r="E699" s="307">
        <f t="shared" ca="1" si="299"/>
        <v>-2.6565396182257999</v>
      </c>
      <c r="F699" s="304">
        <f t="shared" ca="1" si="300"/>
        <v>2.7774311438910257</v>
      </c>
      <c r="G699" s="306">
        <f t="shared" ca="1" si="301"/>
        <v>11.73975983169923</v>
      </c>
      <c r="H699" s="307">
        <f t="shared" ca="1" si="302"/>
        <v>-104.59508846226753</v>
      </c>
      <c r="I699" s="304">
        <f t="shared" ca="1" si="303"/>
        <v>105.25186217514418</v>
      </c>
      <c r="J699" s="306">
        <f t="shared" ca="1" si="304"/>
        <v>888.43819973044629</v>
      </c>
      <c r="K699" s="307">
        <f t="shared" ca="1" si="305"/>
        <v>1237.9293104990545</v>
      </c>
      <c r="L699" s="304">
        <f t="shared" ca="1" si="290"/>
        <v>1523.7425676711077</v>
      </c>
      <c r="M699" s="306">
        <f t="shared" ca="1" si="306"/>
        <v>-1.459024055219295</v>
      </c>
      <c r="N699" s="304">
        <f t="shared" ca="1" si="307"/>
        <v>-83.59592057212798</v>
      </c>
      <c r="P699" s="310">
        <f t="shared" ca="1" si="308"/>
        <v>23</v>
      </c>
      <c r="Q699" s="304">
        <f t="shared" ca="1" si="309"/>
        <v>0</v>
      </c>
      <c r="R699" s="306">
        <f t="shared" ca="1" si="310"/>
        <v>0</v>
      </c>
      <c r="S699" s="307">
        <f t="shared" ca="1" si="311"/>
        <v>5.0829999999999913</v>
      </c>
      <c r="T699" s="304">
        <f t="shared" ca="1" si="291"/>
        <v>49.864229999999914</v>
      </c>
      <c r="U699" s="311">
        <f t="shared" ca="1" si="292"/>
        <v>0</v>
      </c>
      <c r="V699" s="306">
        <f t="shared" ca="1" si="293"/>
        <v>1.082192913377702</v>
      </c>
      <c r="W699" s="304">
        <f t="shared" ca="1" si="294"/>
        <v>36.810159635026253</v>
      </c>
      <c r="Y699" s="314" t="str">
        <f t="shared" ca="1" si="312"/>
        <v/>
      </c>
      <c r="Z699" s="315" t="str">
        <f t="shared" ca="1" si="313"/>
        <v/>
      </c>
      <c r="AA699" s="316" t="str">
        <f t="shared" ca="1" si="314"/>
        <v/>
      </c>
      <c r="AC699" s="310" t="e">
        <f t="shared" ca="1" si="315"/>
        <v>#N/A</v>
      </c>
      <c r="AD699" s="323" t="e">
        <f t="shared" ca="1" si="316"/>
        <v>#N/A</v>
      </c>
      <c r="AE699" s="324" t="e">
        <f t="shared" ca="1" si="295"/>
        <v>#N/A</v>
      </c>
      <c r="AG699" s="306">
        <f t="shared" ca="1" si="317"/>
        <v>2.5484015947762311</v>
      </c>
      <c r="AH699" s="304">
        <f t="shared" ca="1" si="318"/>
        <v>-7.1992302678456968</v>
      </c>
    </row>
    <row r="700" spans="1:34" x14ac:dyDescent="0.2">
      <c r="A700" s="347">
        <f t="shared" ca="1" si="296"/>
        <v>0.1</v>
      </c>
      <c r="B700" s="304">
        <f t="shared" ca="1" si="297"/>
        <v>33.600000000000165</v>
      </c>
      <c r="D700" s="306">
        <f t="shared" ca="1" si="298"/>
        <v>-0.8077500901187139</v>
      </c>
      <c r="E700" s="307">
        <f t="shared" ca="1" si="299"/>
        <v>-2.6133713344591678</v>
      </c>
      <c r="F700" s="304">
        <f t="shared" ca="1" si="300"/>
        <v>2.73535554176412</v>
      </c>
      <c r="G700" s="306">
        <f t="shared" ca="1" si="301"/>
        <v>11.658984822687358</v>
      </c>
      <c r="H700" s="307">
        <f t="shared" ca="1" si="302"/>
        <v>-104.85642559571345</v>
      </c>
      <c r="I700" s="304">
        <f t="shared" ca="1" si="303"/>
        <v>105.50261568229028</v>
      </c>
      <c r="J700" s="306">
        <f t="shared" ca="1" si="304"/>
        <v>889.60813696316563</v>
      </c>
      <c r="K700" s="307">
        <f t="shared" ca="1" si="305"/>
        <v>1227.4567347961554</v>
      </c>
      <c r="L700" s="304">
        <f t="shared" ca="1" si="290"/>
        <v>1515.9329382091787</v>
      </c>
      <c r="M700" s="306">
        <f t="shared" ca="1" si="306"/>
        <v>-1.4600611901992602</v>
      </c>
      <c r="N700" s="304">
        <f t="shared" ca="1" si="307"/>
        <v>-83.655344029265365</v>
      </c>
      <c r="P700" s="310">
        <f t="shared" ca="1" si="308"/>
        <v>23</v>
      </c>
      <c r="Q700" s="304">
        <f t="shared" ca="1" si="309"/>
        <v>0</v>
      </c>
      <c r="R700" s="306">
        <f t="shared" ca="1" si="310"/>
        <v>0</v>
      </c>
      <c r="S700" s="307">
        <f t="shared" ca="1" si="311"/>
        <v>5.0829999999999913</v>
      </c>
      <c r="T700" s="304">
        <f t="shared" ca="1" si="291"/>
        <v>49.864229999999914</v>
      </c>
      <c r="U700" s="311">
        <f t="shared" ca="1" si="292"/>
        <v>0</v>
      </c>
      <c r="V700" s="306">
        <f t="shared" ca="1" si="293"/>
        <v>1.0833311680800155</v>
      </c>
      <c r="W700" s="304">
        <f t="shared" ca="1" si="294"/>
        <v>37.02466441156735</v>
      </c>
      <c r="Y700" s="314" t="str">
        <f t="shared" ca="1" si="312"/>
        <v/>
      </c>
      <c r="Z700" s="315" t="str">
        <f t="shared" ca="1" si="313"/>
        <v/>
      </c>
      <c r="AA700" s="316" t="str">
        <f t="shared" ca="1" si="314"/>
        <v/>
      </c>
      <c r="AC700" s="310" t="e">
        <f t="shared" ca="1" si="315"/>
        <v>#N/A</v>
      </c>
      <c r="AD700" s="323" t="e">
        <f t="shared" ca="1" si="316"/>
        <v>#N/A</v>
      </c>
      <c r="AE700" s="324" t="e">
        <f t="shared" ca="1" si="295"/>
        <v>#N/A</v>
      </c>
      <c r="AG700" s="306">
        <f t="shared" ca="1" si="317"/>
        <v>2.5069676526140965</v>
      </c>
      <c r="AH700" s="304">
        <f t="shared" ca="1" si="318"/>
        <v>-7.2418177523168046</v>
      </c>
    </row>
    <row r="701" spans="1:34" x14ac:dyDescent="0.2">
      <c r="A701" s="347">
        <f t="shared" ca="1" si="296"/>
        <v>0.1</v>
      </c>
      <c r="B701" s="304">
        <f t="shared" ca="1" si="297"/>
        <v>33.700000000000166</v>
      </c>
      <c r="D701" s="306">
        <f t="shared" ca="1" si="298"/>
        <v>-0.80494930732869829</v>
      </c>
      <c r="E701" s="307">
        <f t="shared" ca="1" si="299"/>
        <v>-2.5705955033074845</v>
      </c>
      <c r="F701" s="304">
        <f t="shared" ca="1" si="300"/>
        <v>2.6936786424875576</v>
      </c>
      <c r="G701" s="306">
        <f t="shared" ca="1" si="301"/>
        <v>11.578489891954488</v>
      </c>
      <c r="H701" s="307">
        <f t="shared" ca="1" si="302"/>
        <v>-105.1134851460442</v>
      </c>
      <c r="I701" s="304">
        <f t="shared" ca="1" si="303"/>
        <v>105.74926093229089</v>
      </c>
      <c r="J701" s="306">
        <f t="shared" ca="1" si="304"/>
        <v>890.77001069889775</v>
      </c>
      <c r="K701" s="307">
        <f t="shared" ca="1" si="305"/>
        <v>1216.9582392590676</v>
      </c>
      <c r="L701" s="304">
        <f t="shared" ca="1" si="290"/>
        <v>1508.1308192796289</v>
      </c>
      <c r="M701" s="306">
        <f t="shared" ca="1" si="306"/>
        <v>-1.4610863445342903</v>
      </c>
      <c r="N701" s="304">
        <f t="shared" ca="1" si="307"/>
        <v>-83.714081046012126</v>
      </c>
      <c r="P701" s="310">
        <f t="shared" ca="1" si="308"/>
        <v>23</v>
      </c>
      <c r="Q701" s="304">
        <f t="shared" ca="1" si="309"/>
        <v>0</v>
      </c>
      <c r="R701" s="306">
        <f t="shared" ca="1" si="310"/>
        <v>0</v>
      </c>
      <c r="S701" s="307">
        <f t="shared" ca="1" si="311"/>
        <v>5.0829999999999913</v>
      </c>
      <c r="T701" s="304">
        <f t="shared" ca="1" si="291"/>
        <v>49.864229999999914</v>
      </c>
      <c r="U701" s="311">
        <f t="shared" ca="1" si="292"/>
        <v>0</v>
      </c>
      <c r="V701" s="306">
        <f t="shared" ca="1" si="293"/>
        <v>1.0844733678332943</v>
      </c>
      <c r="W701" s="304">
        <f t="shared" ca="1" si="294"/>
        <v>37.237199483677649</v>
      </c>
      <c r="Y701" s="314" t="str">
        <f t="shared" ca="1" si="312"/>
        <v/>
      </c>
      <c r="Z701" s="315" t="str">
        <f t="shared" ca="1" si="313"/>
        <v/>
      </c>
      <c r="AA701" s="316" t="str">
        <f t="shared" ca="1" si="314"/>
        <v/>
      </c>
      <c r="AC701" s="310" t="e">
        <f t="shared" ca="1" si="315"/>
        <v>#N/A</v>
      </c>
      <c r="AD701" s="323" t="e">
        <f t="shared" ca="1" si="316"/>
        <v>#N/A</v>
      </c>
      <c r="AE701" s="324" t="e">
        <f t="shared" ca="1" si="295"/>
        <v>#N/A</v>
      </c>
      <c r="AG701" s="306">
        <f t="shared" ca="1" si="317"/>
        <v>2.4658968186674937</v>
      </c>
      <c r="AH701" s="304">
        <f t="shared" ca="1" si="318"/>
        <v>-7.2840181805169024</v>
      </c>
    </row>
    <row r="702" spans="1:34" x14ac:dyDescent="0.2">
      <c r="A702" s="347">
        <f t="shared" ca="1" si="296"/>
        <v>0.1</v>
      </c>
      <c r="B702" s="304">
        <f t="shared" ca="1" si="297"/>
        <v>33.800000000000168</v>
      </c>
      <c r="D702" s="306">
        <f t="shared" ca="1" si="298"/>
        <v>-0.80210547666372656</v>
      </c>
      <c r="E702" s="307">
        <f t="shared" ca="1" si="299"/>
        <v>-2.5282125740387773</v>
      </c>
      <c r="F702" s="304">
        <f t="shared" ca="1" si="300"/>
        <v>2.652401179162331</v>
      </c>
      <c r="G702" s="306">
        <f t="shared" ca="1" si="301"/>
        <v>11.498279344288116</v>
      </c>
      <c r="H702" s="307">
        <f t="shared" ca="1" si="302"/>
        <v>-105.36630640344808</v>
      </c>
      <c r="I702" s="304">
        <f t="shared" ca="1" si="303"/>
        <v>105.99183436937294</v>
      </c>
      <c r="J702" s="306">
        <f t="shared" ca="1" si="304"/>
        <v>891.92384916070989</v>
      </c>
      <c r="K702" s="307">
        <f t="shared" ca="1" si="305"/>
        <v>1206.434249681593</v>
      </c>
      <c r="L702" s="304">
        <f t="shared" ca="1" si="290"/>
        <v>1500.3372125980363</v>
      </c>
      <c r="M702" s="306">
        <f t="shared" ca="1" si="306"/>
        <v>-1.4620997220246563</v>
      </c>
      <c r="N702" s="304">
        <f t="shared" ca="1" si="307"/>
        <v>-83.772143299263661</v>
      </c>
      <c r="P702" s="310">
        <f t="shared" ca="1" si="308"/>
        <v>23</v>
      </c>
      <c r="Q702" s="304">
        <f t="shared" ca="1" si="309"/>
        <v>0</v>
      </c>
      <c r="R702" s="306">
        <f t="shared" ca="1" si="310"/>
        <v>0</v>
      </c>
      <c r="S702" s="307">
        <f t="shared" ca="1" si="311"/>
        <v>5.0829999999999913</v>
      </c>
      <c r="T702" s="304">
        <f t="shared" ca="1" si="291"/>
        <v>49.864229999999914</v>
      </c>
      <c r="U702" s="311">
        <f t="shared" ca="1" si="292"/>
        <v>0</v>
      </c>
      <c r="V702" s="306">
        <f t="shared" ca="1" si="293"/>
        <v>1.0856194762910563</v>
      </c>
      <c r="W702" s="304">
        <f t="shared" ca="1" si="294"/>
        <v>37.447763158480136</v>
      </c>
      <c r="Y702" s="314" t="str">
        <f t="shared" ca="1" si="312"/>
        <v/>
      </c>
      <c r="Z702" s="315" t="str">
        <f t="shared" ca="1" si="313"/>
        <v/>
      </c>
      <c r="AA702" s="316" t="str">
        <f t="shared" ca="1" si="314"/>
        <v/>
      </c>
      <c r="AC702" s="310" t="e">
        <f t="shared" ca="1" si="315"/>
        <v>#N/A</v>
      </c>
      <c r="AD702" s="323" t="e">
        <f t="shared" ca="1" si="316"/>
        <v>#N/A</v>
      </c>
      <c r="AE702" s="324" t="e">
        <f t="shared" ca="1" si="295"/>
        <v>#N/A</v>
      </c>
      <c r="AG702" s="306">
        <f t="shared" ca="1" si="317"/>
        <v>2.4251901378076042</v>
      </c>
      <c r="AH702" s="304">
        <f t="shared" ca="1" si="318"/>
        <v>-7.3258311004677772</v>
      </c>
    </row>
    <row r="703" spans="1:34" x14ac:dyDescent="0.2">
      <c r="A703" s="347">
        <f t="shared" ca="1" si="296"/>
        <v>0.1</v>
      </c>
      <c r="B703" s="304">
        <f t="shared" ca="1" si="297"/>
        <v>33.900000000000169</v>
      </c>
      <c r="D703" s="306">
        <f t="shared" ca="1" si="298"/>
        <v>-0.79921977058415872</v>
      </c>
      <c r="E703" s="307">
        <f t="shared" ca="1" si="299"/>
        <v>-2.4862228756516895</v>
      </c>
      <c r="F703" s="304">
        <f t="shared" ca="1" si="300"/>
        <v>2.6115237753285632</v>
      </c>
      <c r="G703" s="306">
        <f t="shared" ca="1" si="301"/>
        <v>11.418357367229701</v>
      </c>
      <c r="H703" s="307">
        <f t="shared" ca="1" si="302"/>
        <v>-105.61492869101325</v>
      </c>
      <c r="I703" s="304">
        <f t="shared" ca="1" si="303"/>
        <v>106.23037252769841</v>
      </c>
      <c r="J703" s="306">
        <f t="shared" ca="1" si="304"/>
        <v>893.0696809962858</v>
      </c>
      <c r="K703" s="307">
        <f t="shared" ca="1" si="305"/>
        <v>1195.88518792687</v>
      </c>
      <c r="L703" s="304">
        <f t="shared" ca="1" si="290"/>
        <v>1492.5531273015688</v>
      </c>
      <c r="M703" s="306">
        <f t="shared" ca="1" si="306"/>
        <v>-1.4631015215521548</v>
      </c>
      <c r="N703" s="304">
        <f t="shared" ca="1" si="307"/>
        <v>-83.829542184107524</v>
      </c>
      <c r="P703" s="310">
        <f t="shared" ca="1" si="308"/>
        <v>23</v>
      </c>
      <c r="Q703" s="304">
        <f t="shared" ca="1" si="309"/>
        <v>0</v>
      </c>
      <c r="R703" s="306">
        <f t="shared" ca="1" si="310"/>
        <v>0</v>
      </c>
      <c r="S703" s="307">
        <f t="shared" ca="1" si="311"/>
        <v>5.0829999999999913</v>
      </c>
      <c r="T703" s="304">
        <f t="shared" ca="1" si="291"/>
        <v>49.864229999999914</v>
      </c>
      <c r="U703" s="311">
        <f t="shared" ca="1" si="292"/>
        <v>0</v>
      </c>
      <c r="V703" s="306">
        <f t="shared" ca="1" si="293"/>
        <v>1.0867694573996984</v>
      </c>
      <c r="W703" s="304">
        <f t="shared" ca="1" si="294"/>
        <v>37.656354333575827</v>
      </c>
      <c r="Y703" s="314" t="str">
        <f t="shared" ca="1" si="312"/>
        <v/>
      </c>
      <c r="Z703" s="315" t="str">
        <f t="shared" ca="1" si="313"/>
        <v/>
      </c>
      <c r="AA703" s="316" t="str">
        <f t="shared" ca="1" si="314"/>
        <v/>
      </c>
      <c r="AC703" s="310" t="e">
        <f t="shared" ca="1" si="315"/>
        <v>#N/A</v>
      </c>
      <c r="AD703" s="323" t="e">
        <f t="shared" ca="1" si="316"/>
        <v>#N/A</v>
      </c>
      <c r="AE703" s="324" t="e">
        <f t="shared" ca="1" si="295"/>
        <v>#N/A</v>
      </c>
      <c r="AG703" s="306">
        <f t="shared" ca="1" si="317"/>
        <v>2.3848485180719168</v>
      </c>
      <c r="AH703" s="304">
        <f t="shared" ca="1" si="318"/>
        <v>-7.367256179122605</v>
      </c>
    </row>
    <row r="704" spans="1:34" x14ac:dyDescent="0.2">
      <c r="A704" s="347">
        <f t="shared" ca="1" si="296"/>
        <v>0.1</v>
      </c>
      <c r="B704" s="304">
        <f t="shared" ca="1" si="297"/>
        <v>34.000000000000171</v>
      </c>
      <c r="D704" s="306">
        <f t="shared" ca="1" si="298"/>
        <v>-0.79629335021125647</v>
      </c>
      <c r="E704" s="307">
        <f t="shared" ca="1" si="299"/>
        <v>-2.4446266196698874</v>
      </c>
      <c r="F704" s="304">
        <f t="shared" ca="1" si="300"/>
        <v>2.5710469480717939</v>
      </c>
      <c r="G704" s="306">
        <f t="shared" ca="1" si="301"/>
        <v>11.338728032208575</v>
      </c>
      <c r="H704" s="307">
        <f t="shared" ca="1" si="302"/>
        <v>-105.85939135298024</v>
      </c>
      <c r="I704" s="304">
        <f t="shared" ca="1" si="303"/>
        <v>106.46491201805325</v>
      </c>
      <c r="J704" s="306">
        <f t="shared" ca="1" si="304"/>
        <v>894.20753526625776</v>
      </c>
      <c r="K704" s="307">
        <f t="shared" ca="1" si="305"/>
        <v>1185.3114719246703</v>
      </c>
      <c r="L704" s="304">
        <f t="shared" ca="1" si="290"/>
        <v>1484.7795801408315</v>
      </c>
      <c r="M704" s="306">
        <f t="shared" ca="1" si="306"/>
        <v>-1.4640919372282375</v>
      </c>
      <c r="N704" s="304">
        <f t="shared" ca="1" si="307"/>
        <v>-83.886288822310661</v>
      </c>
      <c r="P704" s="310">
        <f t="shared" ca="1" si="308"/>
        <v>23</v>
      </c>
      <c r="Q704" s="304">
        <f t="shared" ca="1" si="309"/>
        <v>0</v>
      </c>
      <c r="R704" s="306">
        <f t="shared" ca="1" si="310"/>
        <v>0</v>
      </c>
      <c r="S704" s="307">
        <f t="shared" ca="1" si="311"/>
        <v>5.0829999999999913</v>
      </c>
      <c r="T704" s="304">
        <f t="shared" ca="1" si="291"/>
        <v>49.864229999999914</v>
      </c>
      <c r="U704" s="311">
        <f t="shared" ca="1" si="292"/>
        <v>0</v>
      </c>
      <c r="V704" s="306">
        <f t="shared" ca="1" si="293"/>
        <v>1.0879232753993768</v>
      </c>
      <c r="W704" s="304">
        <f t="shared" ca="1" si="294"/>
        <v>37.862972483053014</v>
      </c>
      <c r="Y704" s="314" t="str">
        <f t="shared" ca="1" si="312"/>
        <v/>
      </c>
      <c r="Z704" s="315" t="str">
        <f t="shared" ca="1" si="313"/>
        <v/>
      </c>
      <c r="AA704" s="316" t="str">
        <f t="shared" ca="1" si="314"/>
        <v/>
      </c>
      <c r="AC704" s="310">
        <f t="shared" ca="1" si="315"/>
        <v>34.000000000000171</v>
      </c>
      <c r="AD704" s="323">
        <f t="shared" ca="1" si="316"/>
        <v>894.20753526625776</v>
      </c>
      <c r="AE704" s="324" t="e">
        <f t="shared" ca="1" si="295"/>
        <v>#N/A</v>
      </c>
      <c r="AG704" s="306">
        <f t="shared" ca="1" si="317"/>
        <v>2.3448727340740314</v>
      </c>
      <c r="AH704" s="304">
        <f t="shared" ca="1" si="318"/>
        <v>-7.4082931996017889</v>
      </c>
    </row>
    <row r="705" spans="1:34" x14ac:dyDescent="0.2">
      <c r="A705" s="347">
        <f t="shared" ca="1" si="296"/>
        <v>0.1</v>
      </c>
      <c r="B705" s="304">
        <f t="shared" ca="1" si="297"/>
        <v>34.100000000000172</v>
      </c>
      <c r="D705" s="306">
        <f t="shared" ca="1" si="298"/>
        <v>-0.79332736511363233</v>
      </c>
      <c r="E705" s="307">
        <f t="shared" ca="1" si="299"/>
        <v>-2.4034239029247999</v>
      </c>
      <c r="F705" s="304">
        <f t="shared" ca="1" si="300"/>
        <v>2.530971111132724</v>
      </c>
      <c r="G705" s="306">
        <f t="shared" ca="1" si="301"/>
        <v>11.259395295697212</v>
      </c>
      <c r="H705" s="307">
        <f t="shared" ca="1" si="302"/>
        <v>-106.09973374327272</v>
      </c>
      <c r="I705" s="304">
        <f t="shared" ca="1" si="303"/>
        <v>106.69548951487187</v>
      </c>
      <c r="J705" s="306">
        <f t="shared" ca="1" si="304"/>
        <v>895.33744143265301</v>
      </c>
      <c r="K705" s="307">
        <f t="shared" ca="1" si="305"/>
        <v>1174.7135156698575</v>
      </c>
      <c r="L705" s="304">
        <f t="shared" ca="1" si="290"/>
        <v>1477.0175956733237</v>
      </c>
      <c r="M705" s="306">
        <f t="shared" ca="1" si="306"/>
        <v>-1.4650711585369065</v>
      </c>
      <c r="N705" s="304">
        <f t="shared" ca="1" si="307"/>
        <v>-83.942394070506666</v>
      </c>
      <c r="P705" s="310">
        <f t="shared" ca="1" si="308"/>
        <v>23</v>
      </c>
      <c r="Q705" s="304">
        <f t="shared" ca="1" si="309"/>
        <v>0</v>
      </c>
      <c r="R705" s="306">
        <f t="shared" ca="1" si="310"/>
        <v>0</v>
      </c>
      <c r="S705" s="307">
        <f t="shared" ca="1" si="311"/>
        <v>5.0829999999999913</v>
      </c>
      <c r="T705" s="304">
        <f t="shared" ca="1" si="291"/>
        <v>49.864229999999914</v>
      </c>
      <c r="U705" s="311">
        <f t="shared" ca="1" si="292"/>
        <v>0</v>
      </c>
      <c r="V705" s="306">
        <f t="shared" ca="1" si="293"/>
        <v>1.0890808948247959</v>
      </c>
      <c r="W705" s="304">
        <f t="shared" ca="1" si="294"/>
        <v>38.067617643564077</v>
      </c>
      <c r="Y705" s="314" t="str">
        <f t="shared" ca="1" si="312"/>
        <v/>
      </c>
      <c r="Z705" s="315" t="str">
        <f t="shared" ca="1" si="313"/>
        <v/>
      </c>
      <c r="AA705" s="316" t="str">
        <f t="shared" ca="1" si="314"/>
        <v/>
      </c>
      <c r="AC705" s="310" t="e">
        <f t="shared" ca="1" si="315"/>
        <v>#N/A</v>
      </c>
      <c r="AD705" s="323" t="e">
        <f t="shared" ca="1" si="316"/>
        <v>#N/A</v>
      </c>
      <c r="AE705" s="324" t="e">
        <f t="shared" ca="1" si="295"/>
        <v>#N/A</v>
      </c>
      <c r="AG705" s="306">
        <f t="shared" ca="1" si="317"/>
        <v>2.3052634303748247</v>
      </c>
      <c r="AH705" s="304">
        <f t="shared" ca="1" si="318"/>
        <v>-7.4489420584405037</v>
      </c>
    </row>
    <row r="706" spans="1:34" x14ac:dyDescent="0.2">
      <c r="A706" s="347">
        <f t="shared" ca="1" si="296"/>
        <v>0.1</v>
      </c>
      <c r="B706" s="304">
        <f t="shared" ca="1" si="297"/>
        <v>34.200000000000173</v>
      </c>
      <c r="D706" s="306">
        <f t="shared" ca="1" si="298"/>
        <v>-0.79032295310662537</v>
      </c>
      <c r="E706" s="307">
        <f t="shared" ca="1" si="299"/>
        <v>-2.3626147103251203</v>
      </c>
      <c r="F706" s="304">
        <f t="shared" ca="1" si="300"/>
        <v>2.491296578019532</v>
      </c>
      <c r="G706" s="306">
        <f t="shared" ca="1" si="301"/>
        <v>11.180363000386549</v>
      </c>
      <c r="H706" s="307">
        <f t="shared" ca="1" si="302"/>
        <v>-106.33599521430523</v>
      </c>
      <c r="I706" s="304">
        <f t="shared" ca="1" si="303"/>
        <v>106.92214174359377</v>
      </c>
      <c r="J706" s="306">
        <f t="shared" ca="1" si="304"/>
        <v>896.45942934745722</v>
      </c>
      <c r="K706" s="307">
        <f t="shared" ca="1" si="305"/>
        <v>1164.0917292219785</v>
      </c>
      <c r="L706" s="304">
        <f t="shared" ca="1" si="290"/>
        <v>1469.2682064582302</v>
      </c>
      <c r="M706" s="306">
        <f t="shared" ca="1" si="306"/>
        <v>-1.4660393704725867</v>
      </c>
      <c r="N706" s="304">
        <f t="shared" ca="1" si="307"/>
        <v>-83.997868528095339</v>
      </c>
      <c r="P706" s="310">
        <f t="shared" ca="1" si="308"/>
        <v>23</v>
      </c>
      <c r="Q706" s="304">
        <f t="shared" ca="1" si="309"/>
        <v>0</v>
      </c>
      <c r="R706" s="306">
        <f t="shared" ca="1" si="310"/>
        <v>0</v>
      </c>
      <c r="S706" s="307">
        <f t="shared" ca="1" si="311"/>
        <v>5.0829999999999913</v>
      </c>
      <c r="T706" s="304">
        <f t="shared" ca="1" si="291"/>
        <v>49.864229999999914</v>
      </c>
      <c r="U706" s="311">
        <f t="shared" ca="1" si="292"/>
        <v>0</v>
      </c>
      <c r="V706" s="306">
        <f t="shared" ca="1" si="293"/>
        <v>1.0902422805059024</v>
      </c>
      <c r="W706" s="304">
        <f t="shared" ca="1" si="294"/>
        <v>38.270290400478324</v>
      </c>
      <c r="Y706" s="314" t="str">
        <f t="shared" ca="1" si="312"/>
        <v/>
      </c>
      <c r="Z706" s="315" t="str">
        <f t="shared" ca="1" si="313"/>
        <v/>
      </c>
      <c r="AA706" s="316" t="str">
        <f t="shared" ca="1" si="314"/>
        <v/>
      </c>
      <c r="AC706" s="310" t="e">
        <f t="shared" ca="1" si="315"/>
        <v>#N/A</v>
      </c>
      <c r="AD706" s="323" t="e">
        <f t="shared" ca="1" si="316"/>
        <v>#N/A</v>
      </c>
      <c r="AE706" s="324" t="e">
        <f t="shared" ca="1" si="295"/>
        <v>#N/A</v>
      </c>
      <c r="AG706" s="306">
        <f t="shared" ca="1" si="317"/>
        <v>2.266021124814694</v>
      </c>
      <c r="AH706" s="304">
        <f t="shared" ca="1" si="318"/>
        <v>-7.4892027628495264</v>
      </c>
    </row>
    <row r="707" spans="1:34" x14ac:dyDescent="0.2">
      <c r="A707" s="347">
        <f t="shared" ca="1" si="296"/>
        <v>0.1</v>
      </c>
      <c r="B707" s="304">
        <f t="shared" ca="1" si="297"/>
        <v>34.300000000000175</v>
      </c>
      <c r="D707" s="306">
        <f t="shared" ca="1" si="298"/>
        <v>-0.78728124006432887</v>
      </c>
      <c r="E707" s="307">
        <f t="shared" ca="1" si="299"/>
        <v>-2.3221989176113249</v>
      </c>
      <c r="F707" s="304">
        <f t="shared" ca="1" si="300"/>
        <v>2.4520235651217619</v>
      </c>
      <c r="G707" s="306">
        <f t="shared" ca="1" si="301"/>
        <v>11.101634876380116</v>
      </c>
      <c r="H707" s="307">
        <f t="shared" ca="1" si="302"/>
        <v>-106.56821510606636</v>
      </c>
      <c r="I707" s="304">
        <f t="shared" ca="1" si="303"/>
        <v>107.14490546834828</v>
      </c>
      <c r="J707" s="306">
        <f t="shared" ca="1" si="304"/>
        <v>897.57352924129555</v>
      </c>
      <c r="K707" s="307">
        <f t="shared" ca="1" si="305"/>
        <v>1153.44651870596</v>
      </c>
      <c r="L707" s="304">
        <f t="shared" ca="1" si="290"/>
        <v>1461.5324532522613</v>
      </c>
      <c r="M707" s="306">
        <f t="shared" ca="1" si="306"/>
        <v>-1.4669967536731814</v>
      </c>
      <c r="N707" s="304">
        <f t="shared" ca="1" si="307"/>
        <v>-84.052722544866143</v>
      </c>
      <c r="P707" s="310">
        <f t="shared" ca="1" si="308"/>
        <v>23</v>
      </c>
      <c r="Q707" s="304">
        <f t="shared" ca="1" si="309"/>
        <v>0</v>
      </c>
      <c r="R707" s="306">
        <f t="shared" ca="1" si="310"/>
        <v>0</v>
      </c>
      <c r="S707" s="307">
        <f t="shared" ca="1" si="311"/>
        <v>5.0829999999999913</v>
      </c>
      <c r="T707" s="304">
        <f t="shared" ca="1" si="291"/>
        <v>49.864229999999914</v>
      </c>
      <c r="U707" s="311">
        <f t="shared" ca="1" si="292"/>
        <v>0</v>
      </c>
      <c r="V707" s="306">
        <f t="shared" ca="1" si="293"/>
        <v>1.0914073975684941</v>
      </c>
      <c r="W707" s="304">
        <f t="shared" ca="1" si="294"/>
        <v>38.470991874118482</v>
      </c>
      <c r="Y707" s="314" t="str">
        <f t="shared" ca="1" si="312"/>
        <v/>
      </c>
      <c r="Z707" s="315" t="str">
        <f t="shared" ca="1" si="313"/>
        <v/>
      </c>
      <c r="AA707" s="316" t="str">
        <f t="shared" ca="1" si="314"/>
        <v/>
      </c>
      <c r="AC707" s="310" t="e">
        <f t="shared" ca="1" si="315"/>
        <v>#N/A</v>
      </c>
      <c r="AD707" s="323" t="e">
        <f t="shared" ca="1" si="316"/>
        <v>#N/A</v>
      </c>
      <c r="AE707" s="324" t="e">
        <f t="shared" ca="1" si="295"/>
        <v>#N/A</v>
      </c>
      <c r="AG707" s="306">
        <f t="shared" ca="1" si="317"/>
        <v>2.2271462118063727</v>
      </c>
      <c r="AH707" s="304">
        <f t="shared" ca="1" si="318"/>
        <v>-7.5290754279910264</v>
      </c>
    </row>
    <row r="708" spans="1:34" x14ac:dyDescent="0.2">
      <c r="A708" s="347">
        <f t="shared" ca="1" si="296"/>
        <v>0.1</v>
      </c>
      <c r="B708" s="304">
        <f t="shared" ca="1" si="297"/>
        <v>34.400000000000176</v>
      </c>
      <c r="D708" s="306">
        <f t="shared" ca="1" si="298"/>
        <v>-0.78420333974396228</v>
      </c>
      <c r="E708" s="307">
        <f t="shared" ca="1" si="299"/>
        <v>-2.28217629409371</v>
      </c>
      <c r="F708" s="304">
        <f t="shared" ca="1" si="300"/>
        <v>2.4131521948250354</v>
      </c>
      <c r="G708" s="306">
        <f t="shared" ca="1" si="301"/>
        <v>11.02321454240572</v>
      </c>
      <c r="H708" s="307">
        <f t="shared" ca="1" si="302"/>
        <v>-106.79643273547573</v>
      </c>
      <c r="I708" s="304">
        <f t="shared" ca="1" si="303"/>
        <v>107.3638174799634</v>
      </c>
      <c r="J708" s="306">
        <f t="shared" ca="1" si="304"/>
        <v>898.67977171223481</v>
      </c>
      <c r="K708" s="307">
        <f t="shared" ca="1" si="305"/>
        <v>1142.778286313883</v>
      </c>
      <c r="L708" s="304">
        <f t="shared" ref="L708:L771" ca="1" si="319">SQRT(pos_x^2+pos_z^2)</f>
        <v>1453.8113852062274</v>
      </c>
      <c r="M708" s="306">
        <f t="shared" ca="1" si="306"/>
        <v>-1.4679434845484987</v>
      </c>
      <c r="N708" s="304">
        <f t="shared" ca="1" si="307"/>
        <v>-84.106966228356541</v>
      </c>
      <c r="P708" s="310">
        <f t="shared" ca="1" si="308"/>
        <v>23</v>
      </c>
      <c r="Q708" s="304">
        <f t="shared" ca="1" si="309"/>
        <v>0</v>
      </c>
      <c r="R708" s="306">
        <f t="shared" ca="1" si="310"/>
        <v>0</v>
      </c>
      <c r="S708" s="307">
        <f t="shared" ca="1" si="311"/>
        <v>5.0829999999999913</v>
      </c>
      <c r="T708" s="304">
        <f t="shared" ref="T708:T771" ca="1" si="320">m*g</f>
        <v>49.864229999999914</v>
      </c>
      <c r="U708" s="311">
        <f t="shared" ref="U708:U771" ca="1" si="321">IF(pos_xz&lt;L_rampe,Poids*COS(Beta),0)</f>
        <v>0</v>
      </c>
      <c r="V708" s="306">
        <f t="shared" ref="V708:V771" ca="1" si="322">Rho_moyen*(20000-Alt_rampe-pos_z)/(20000+Alt_rampe+pos_z)</f>
        <v>1.0925762114347395</v>
      </c>
      <c r="W708" s="304">
        <f t="shared" ref="W708:W771" ca="1" si="323">1/2*Rho*Sref*Cx*vit_xz^2</f>
        <v>38.669723706088092</v>
      </c>
      <c r="Y708" s="314" t="str">
        <f t="shared" ca="1" si="312"/>
        <v/>
      </c>
      <c r="Z708" s="315" t="str">
        <f t="shared" ca="1" si="313"/>
        <v/>
      </c>
      <c r="AA708" s="316" t="str">
        <f t="shared" ca="1" si="314"/>
        <v/>
      </c>
      <c r="AC708" s="310" t="e">
        <f t="shared" ca="1" si="315"/>
        <v>#N/A</v>
      </c>
      <c r="AD708" s="323" t="e">
        <f t="shared" ca="1" si="316"/>
        <v>#N/A</v>
      </c>
      <c r="AE708" s="324" t="e">
        <f t="shared" ref="AE708:AE771" ca="1" si="324">IF(t&lt;T_para, pos_z, NA())</f>
        <v>#N/A</v>
      </c>
      <c r="AG708" s="306">
        <f t="shared" ca="1" si="317"/>
        <v>2.1886389655879874</v>
      </c>
      <c r="AH708" s="304">
        <f t="shared" ca="1" si="318"/>
        <v>-7.5685602742708138</v>
      </c>
    </row>
    <row r="709" spans="1:34" x14ac:dyDescent="0.2">
      <c r="A709" s="347">
        <f t="shared" ref="A709:A772" ca="1" si="325">IF(B708+0.01&lt;=T_ini+ROUNDUP(Temps_fin_propu,0), 0.01, IF(K708&gt;0, 0.1, 0.0001))</f>
        <v>0.1</v>
      </c>
      <c r="B709" s="304">
        <f t="shared" ref="B709:B772" ca="1" si="326">B708+pas</f>
        <v>34.500000000000178</v>
      </c>
      <c r="D709" s="306">
        <f t="shared" ref="D709:D772" ca="1" si="327">IF(AND(L708&lt;L_rampe,Poussee&lt;Poids*SIN(M708)),0,(-W708+Poussee)/m*COS(M708)-U708/m*SIN(M708))</f>
        <v>-0.78109035362233714</v>
      </c>
      <c r="E709" s="307">
        <f t="shared" ref="E709:E772" ca="1" si="328">IF(AND(L708&lt;L_rampe,Poussee&lt;Poids*SIN(M708)),0,(-W708+Poussee)/m*SIN(M708)+U708/m*COS(M708)-Poids/m)</f>
        <v>-2.2425465053724922</v>
      </c>
      <c r="F709" s="304">
        <f t="shared" ref="F709:F772" ca="1" si="329">SQRT(acc_x^2+acc_z^2)</f>
        <v>2.3746824986259205</v>
      </c>
      <c r="G709" s="306">
        <f t="shared" ref="G709:G772" ca="1" si="330">G708+acc_x*pas</f>
        <v>10.945105507043486</v>
      </c>
      <c r="H709" s="307">
        <f t="shared" ref="H709:H772" ca="1" si="331">H708+acc_z*pas</f>
        <v>-107.02068738601298</v>
      </c>
      <c r="I709" s="304">
        <f t="shared" ref="I709:I772" ca="1" si="332">SQRT(vit_x^2+vit_z^2)</f>
        <v>107.57891458429495</v>
      </c>
      <c r="J709" s="306">
        <f t="shared" ref="J709:J772" ca="1" si="333">J708+0.5*(vit_x+G708)*pas*(K708&gt;=0)</f>
        <v>899.77818771470731</v>
      </c>
      <c r="K709" s="307">
        <f t="shared" ref="K709:K772" ca="1" si="334">K708+0.5*(vit_z+H708)*pas</f>
        <v>1132.0874303078085</v>
      </c>
      <c r="L709" s="304">
        <f t="shared" ca="1" si="319"/>
        <v>1446.1060600620206</v>
      </c>
      <c r="M709" s="306">
        <f t="shared" ref="M709:M772" ca="1" si="335">IF(AND(L708&gt;L_rampe,G709&gt;0),ATAN2(G709,H709),$M$4)</f>
        <v>-1.4688797354042396</v>
      </c>
      <c r="N709" s="304">
        <f t="shared" ref="N709:N772" ca="1" si="336">DEGREES(Beta)</f>
        <v>-84.160609450956017</v>
      </c>
      <c r="P709" s="310">
        <f t="shared" ref="P709:P772" ca="1" si="337">MATCH(t-pas/2-T_ini,CdP_t)</f>
        <v>23</v>
      </c>
      <c r="Q709" s="304">
        <f t="shared" ref="Q709:Q772" ca="1" si="338">(INDEX(CdP,2,i_P+1)-INDEX(CdP,2,i_P+0))/(INDEX(CdP,1,i_P+1)-INDEX(CdP,1,i_P+0))*(t-pas/2-T_ini-INDEX(CdP,1,i_P+0))+INDEX(CdP,2,i_P+0)</f>
        <v>0</v>
      </c>
      <c r="R709" s="306">
        <f t="shared" ref="R709:R772" ca="1" si="339">Poussee/(g*ISP)</f>
        <v>0</v>
      </c>
      <c r="S709" s="307">
        <f t="shared" ref="S709:S772" ca="1" si="340">S708-Débit*pas</f>
        <v>5.0829999999999913</v>
      </c>
      <c r="T709" s="304">
        <f t="shared" ca="1" si="320"/>
        <v>49.864229999999914</v>
      </c>
      <c r="U709" s="311">
        <f t="shared" ca="1" si="321"/>
        <v>0</v>
      </c>
      <c r="V709" s="306">
        <f t="shared" ca="1" si="322"/>
        <v>1.0937486878236085</v>
      </c>
      <c r="W709" s="304">
        <f t="shared" ca="1" si="323"/>
        <v>38.866488045697125</v>
      </c>
      <c r="Y709" s="314" t="str">
        <f t="shared" ref="Y709:Y772" ca="1" si="341">IF(AND(pos_z&lt;=0,K708&gt;0),"Impact balistique","") &amp; IF(AND(H710&lt;0,vit_z&gt;=0),"Apogée","") &amp; IF(AND(Poussee=0,Q708&gt;0),"Fin de propulsion","") &amp; IF(AND(L710&gt;L_rampe,pos_xz&lt;=L_rampe),"Sortie de rampe","")</f>
        <v/>
      </c>
      <c r="Z709" s="315" t="str">
        <f t="shared" ref="Z709:Z772" ca="1" si="342">IF(ABS(t-T_para)&lt;pas/2,"Para","")</f>
        <v/>
      </c>
      <c r="AA709" s="316" t="str">
        <f t="shared" ref="AA709:AA772" ca="1" si="343">IF(ABS(t-T_satellite)&lt;pas/2,"Satellite","")</f>
        <v/>
      </c>
      <c r="AC709" s="310" t="e">
        <f t="shared" ref="AC709:AC772" ca="1" si="344">IF(ABS(t-ROUND(t,0))&lt;0.001,t,NA())</f>
        <v>#N/A</v>
      </c>
      <c r="AD709" s="323" t="e">
        <f t="shared" ref="AD709:AD772" ca="1" si="345">IF(ABS(t-ROUND(t,0))&lt;0.001,pos_x,NA())</f>
        <v>#N/A</v>
      </c>
      <c r="AE709" s="324" t="e">
        <f t="shared" ca="1" si="324"/>
        <v>#N/A</v>
      </c>
      <c r="AG709" s="306">
        <f t="shared" ref="AG709:AG772" ca="1" si="346">IF(AND(L708&lt;L_rampe,Poussee&lt;Poids*SIN(M708)),0,(-W708+Poussee)/m-Poids*SIN(M708)/m)</f>
        <v>2.1504995434359957</v>
      </c>
      <c r="AH709" s="304">
        <f t="shared" ref="AH709:AH772" ca="1" si="347">IF(AND(L708&lt;L_rampe,Poussee&lt;Poids*SIN(M708)), g*SIN(M708), (-W708+Poussee)/m)</f>
        <v>-7.6076576246484668</v>
      </c>
    </row>
    <row r="710" spans="1:34" x14ac:dyDescent="0.2">
      <c r="A710" s="347">
        <f t="shared" ca="1" si="325"/>
        <v>0.1</v>
      </c>
      <c r="B710" s="304">
        <f t="shared" ca="1" si="326"/>
        <v>34.600000000000179</v>
      </c>
      <c r="D710" s="306">
        <f t="shared" ca="1" si="327"/>
        <v>-0.77794337074409337</v>
      </c>
      <c r="E710" s="307">
        <f t="shared" ca="1" si="328"/>
        <v>-2.2033091160384775</v>
      </c>
      <c r="F710" s="304">
        <f t="shared" ca="1" si="329"/>
        <v>2.3366144202462968</v>
      </c>
      <c r="G710" s="306">
        <f t="shared" ca="1" si="330"/>
        <v>10.867311169969076</v>
      </c>
      <c r="H710" s="307">
        <f t="shared" ca="1" si="331"/>
        <v>-107.24101829761683</v>
      </c>
      <c r="I710" s="304">
        <f t="shared" ca="1" si="332"/>
        <v>107.79023359087188</v>
      </c>
      <c r="J710" s="306">
        <f t="shared" ca="1" si="333"/>
        <v>900.86880854855792</v>
      </c>
      <c r="K710" s="307">
        <f t="shared" ca="1" si="334"/>
        <v>1121.374345023627</v>
      </c>
      <c r="L710" s="304">
        <f t="shared" ca="1" si="319"/>
        <v>1438.4175443496463</v>
      </c>
      <c r="M710" s="306">
        <f t="shared" ca="1" si="335"/>
        <v>-1.4698056745617196</v>
      </c>
      <c r="N710" s="304">
        <f t="shared" ca="1" si="336"/>
        <v>-84.213661856765512</v>
      </c>
      <c r="P710" s="310">
        <f t="shared" ca="1" si="337"/>
        <v>23</v>
      </c>
      <c r="Q710" s="304">
        <f t="shared" ca="1" si="338"/>
        <v>0</v>
      </c>
      <c r="R710" s="306">
        <f t="shared" ca="1" si="339"/>
        <v>0</v>
      </c>
      <c r="S710" s="307">
        <f t="shared" ca="1" si="340"/>
        <v>5.0829999999999913</v>
      </c>
      <c r="T710" s="304">
        <f t="shared" ca="1" si="320"/>
        <v>49.864229999999914</v>
      </c>
      <c r="U710" s="311">
        <f t="shared" ca="1" si="321"/>
        <v>0</v>
      </c>
      <c r="V710" s="306">
        <f t="shared" ca="1" si="322"/>
        <v>1.094924792751226</v>
      </c>
      <c r="W710" s="304">
        <f t="shared" ca="1" si="323"/>
        <v>39.061287536492394</v>
      </c>
      <c r="Y710" s="314" t="str">
        <f t="shared" ca="1" si="341"/>
        <v/>
      </c>
      <c r="Z710" s="315" t="str">
        <f t="shared" ca="1" si="342"/>
        <v/>
      </c>
      <c r="AA710" s="316" t="str">
        <f t="shared" ca="1" si="343"/>
        <v/>
      </c>
      <c r="AC710" s="310" t="e">
        <f t="shared" ca="1" si="344"/>
        <v>#N/A</v>
      </c>
      <c r="AD710" s="323" t="e">
        <f t="shared" ca="1" si="345"/>
        <v>#N/A</v>
      </c>
      <c r="AE710" s="324" t="e">
        <f t="shared" ca="1" si="324"/>
        <v>#N/A</v>
      </c>
      <c r="AG710" s="306">
        <f t="shared" ca="1" si="346"/>
        <v>2.1127279888375812</v>
      </c>
      <c r="AH710" s="304">
        <f t="shared" ca="1" si="347"/>
        <v>-7.6463679019667898</v>
      </c>
    </row>
    <row r="711" spans="1:34" x14ac:dyDescent="0.2">
      <c r="A711" s="347">
        <f t="shared" ca="1" si="325"/>
        <v>0.1</v>
      </c>
      <c r="B711" s="304">
        <f t="shared" ca="1" si="326"/>
        <v>34.70000000000018</v>
      </c>
      <c r="D711" s="306">
        <f t="shared" ca="1" si="327"/>
        <v>-0.7747634675814481</v>
      </c>
      <c r="E711" s="307">
        <f t="shared" ca="1" si="328"/>
        <v>-2.1644635923530249</v>
      </c>
      <c r="F711" s="304">
        <f t="shared" ca="1" si="329"/>
        <v>2.2989478187467829</v>
      </c>
      <c r="G711" s="306">
        <f t="shared" ca="1" si="330"/>
        <v>10.789834823210931</v>
      </c>
      <c r="H711" s="307">
        <f t="shared" ca="1" si="331"/>
        <v>-107.45746465685214</v>
      </c>
      <c r="I711" s="304">
        <f t="shared" ca="1" si="332"/>
        <v>107.99781130185372</v>
      </c>
      <c r="J711" s="306">
        <f t="shared" ca="1" si="333"/>
        <v>901.95166584821698</v>
      </c>
      <c r="K711" s="307">
        <f t="shared" ca="1" si="334"/>
        <v>1110.6394208759036</v>
      </c>
      <c r="L711" s="304">
        <f t="shared" ca="1" si="319"/>
        <v>1430.7469135839281</v>
      </c>
      <c r="M711" s="306">
        <f t="shared" ca="1" si="335"/>
        <v>-1.4707214664734927</v>
      </c>
      <c r="N711" s="304">
        <f t="shared" ca="1" si="336"/>
        <v>-84.266132868222329</v>
      </c>
      <c r="P711" s="310">
        <f t="shared" ca="1" si="337"/>
        <v>23</v>
      </c>
      <c r="Q711" s="304">
        <f t="shared" ca="1" si="338"/>
        <v>0</v>
      </c>
      <c r="R711" s="306">
        <f t="shared" ca="1" si="339"/>
        <v>0</v>
      </c>
      <c r="S711" s="307">
        <f t="shared" ca="1" si="340"/>
        <v>5.0829999999999913</v>
      </c>
      <c r="T711" s="304">
        <f t="shared" ca="1" si="320"/>
        <v>49.864229999999914</v>
      </c>
      <c r="U711" s="311">
        <f t="shared" ca="1" si="321"/>
        <v>0</v>
      </c>
      <c r="V711" s="306">
        <f t="shared" ca="1" si="322"/>
        <v>1.0961044925311378</v>
      </c>
      <c r="W711" s="304">
        <f t="shared" ca="1" si="323"/>
        <v>39.254125302898977</v>
      </c>
      <c r="Y711" s="314" t="str">
        <f t="shared" ca="1" si="341"/>
        <v/>
      </c>
      <c r="Z711" s="315" t="str">
        <f t="shared" ca="1" si="342"/>
        <v/>
      </c>
      <c r="AA711" s="316" t="str">
        <f t="shared" ca="1" si="343"/>
        <v/>
      </c>
      <c r="AC711" s="310" t="e">
        <f t="shared" ca="1" si="344"/>
        <v>#N/A</v>
      </c>
      <c r="AD711" s="323" t="e">
        <f t="shared" ca="1" si="345"/>
        <v>#N/A</v>
      </c>
      <c r="AE711" s="324" t="e">
        <f t="shared" ca="1" si="324"/>
        <v>#N/A</v>
      </c>
      <c r="AG711" s="306">
        <f t="shared" ca="1" si="346"/>
        <v>2.0753242346222009</v>
      </c>
      <c r="AH711" s="304">
        <f t="shared" ca="1" si="347"/>
        <v>-7.6846916263018805</v>
      </c>
    </row>
    <row r="712" spans="1:34" x14ac:dyDescent="0.2">
      <c r="A712" s="347">
        <f t="shared" ca="1" si="325"/>
        <v>0.1</v>
      </c>
      <c r="B712" s="304">
        <f t="shared" ca="1" si="326"/>
        <v>34.800000000000182</v>
      </c>
      <c r="D712" s="306">
        <f t="shared" ca="1" si="327"/>
        <v>-0.77155170790517091</v>
      </c>
      <c r="E712" s="307">
        <f t="shared" ca="1" si="328"/>
        <v>-2.1260093049060131</v>
      </c>
      <c r="F712" s="304">
        <f t="shared" ca="1" si="329"/>
        <v>2.261682471638832</v>
      </c>
      <c r="G712" s="306">
        <f t="shared" ca="1" si="330"/>
        <v>10.712679652420414</v>
      </c>
      <c r="H712" s="307">
        <f t="shared" ca="1" si="331"/>
        <v>-107.67006558734273</v>
      </c>
      <c r="I712" s="304">
        <f t="shared" ca="1" si="332"/>
        <v>108.20168450129631</v>
      </c>
      <c r="J712" s="306">
        <f t="shared" ca="1" si="333"/>
        <v>903.0267915719985</v>
      </c>
      <c r="K712" s="307">
        <f t="shared" ca="1" si="334"/>
        <v>1099.8830443636939</v>
      </c>
      <c r="L712" s="304">
        <f t="shared" ca="1" si="319"/>
        <v>1423.0952524604827</v>
      </c>
      <c r="M712" s="306">
        <f t="shared" ca="1" si="335"/>
        <v>-1.4716272718350416</v>
      </c>
      <c r="N712" s="304">
        <f t="shared" ca="1" si="336"/>
        <v>-84.318031692499403</v>
      </c>
      <c r="P712" s="310">
        <f t="shared" ca="1" si="337"/>
        <v>23</v>
      </c>
      <c r="Q712" s="304">
        <f t="shared" ca="1" si="338"/>
        <v>0</v>
      </c>
      <c r="R712" s="306">
        <f t="shared" ca="1" si="339"/>
        <v>0</v>
      </c>
      <c r="S712" s="307">
        <f t="shared" ca="1" si="340"/>
        <v>5.0829999999999913</v>
      </c>
      <c r="T712" s="304">
        <f t="shared" ca="1" si="320"/>
        <v>49.864229999999914</v>
      </c>
      <c r="U712" s="311">
        <f t="shared" ca="1" si="321"/>
        <v>0</v>
      </c>
      <c r="V712" s="306">
        <f t="shared" ca="1" si="322"/>
        <v>1.0972877537744989</v>
      </c>
      <c r="W712" s="304">
        <f t="shared" ca="1" si="323"/>
        <v>39.445004936979188</v>
      </c>
      <c r="Y712" s="314" t="str">
        <f t="shared" ca="1" si="341"/>
        <v/>
      </c>
      <c r="Z712" s="315" t="str">
        <f t="shared" ca="1" si="342"/>
        <v/>
      </c>
      <c r="AA712" s="316" t="str">
        <f t="shared" ca="1" si="343"/>
        <v/>
      </c>
      <c r="AC712" s="310" t="e">
        <f t="shared" ca="1" si="344"/>
        <v>#N/A</v>
      </c>
      <c r="AD712" s="323" t="e">
        <f t="shared" ca="1" si="345"/>
        <v>#N/A</v>
      </c>
      <c r="AE712" s="324" t="e">
        <f t="shared" ca="1" si="324"/>
        <v>#N/A</v>
      </c>
      <c r="AG712" s="306">
        <f t="shared" ca="1" si="346"/>
        <v>2.0382881060519722</v>
      </c>
      <c r="AH712" s="304">
        <f t="shared" ca="1" si="347"/>
        <v>-7.7226294123350474</v>
      </c>
    </row>
    <row r="713" spans="1:34" x14ac:dyDescent="0.2">
      <c r="A713" s="347">
        <f t="shared" ca="1" si="325"/>
        <v>0.1</v>
      </c>
      <c r="B713" s="304">
        <f t="shared" ca="1" si="326"/>
        <v>34.900000000000183</v>
      </c>
      <c r="D713" s="306">
        <f t="shared" ca="1" si="327"/>
        <v>-0.76830914266647476</v>
      </c>
      <c r="E713" s="307">
        <f t="shared" ca="1" si="328"/>
        <v>-2.0879455312505453</v>
      </c>
      <c r="F713" s="304">
        <f t="shared" ca="1" si="329"/>
        <v>2.2248180779951459</v>
      </c>
      <c r="G713" s="306">
        <f t="shared" ca="1" si="330"/>
        <v>10.635848738153767</v>
      </c>
      <c r="H713" s="307">
        <f t="shared" ca="1" si="331"/>
        <v>-107.87886014046779</v>
      </c>
      <c r="I713" s="304">
        <f t="shared" ca="1" si="332"/>
        <v>108.40188994472143</v>
      </c>
      <c r="J713" s="306">
        <f t="shared" ca="1" si="333"/>
        <v>904.09421799152722</v>
      </c>
      <c r="K713" s="307">
        <f t="shared" ca="1" si="334"/>
        <v>1089.1055980773033</v>
      </c>
      <c r="L713" s="304">
        <f t="shared" ca="1" si="319"/>
        <v>1415.463655050539</v>
      </c>
      <c r="M713" s="306">
        <f t="shared" ca="1" si="335"/>
        <v>-1.4725232476926851</v>
      </c>
      <c r="N713" s="304">
        <f t="shared" ca="1" si="336"/>
        <v>-84.369367327687996</v>
      </c>
      <c r="P713" s="310">
        <f t="shared" ca="1" si="337"/>
        <v>23</v>
      </c>
      <c r="Q713" s="304">
        <f t="shared" ca="1" si="338"/>
        <v>0</v>
      </c>
      <c r="R713" s="306">
        <f t="shared" ca="1" si="339"/>
        <v>0</v>
      </c>
      <c r="S713" s="307">
        <f t="shared" ca="1" si="340"/>
        <v>5.0829999999999913</v>
      </c>
      <c r="T713" s="304">
        <f t="shared" ca="1" si="320"/>
        <v>49.864229999999914</v>
      </c>
      <c r="U713" s="311">
        <f t="shared" ca="1" si="321"/>
        <v>0</v>
      </c>
      <c r="V713" s="306">
        <f t="shared" ca="1" si="322"/>
        <v>1.0984745433901826</v>
      </c>
      <c r="W713" s="304">
        <f t="shared" ca="1" si="323"/>
        <v>39.633930485314217</v>
      </c>
      <c r="Y713" s="314" t="str">
        <f t="shared" ca="1" si="341"/>
        <v/>
      </c>
      <c r="Z713" s="315" t="str">
        <f t="shared" ca="1" si="342"/>
        <v/>
      </c>
      <c r="AA713" s="316" t="str">
        <f t="shared" ca="1" si="343"/>
        <v/>
      </c>
      <c r="AC713" s="310" t="e">
        <f t="shared" ca="1" si="344"/>
        <v>#N/A</v>
      </c>
      <c r="AD713" s="323" t="e">
        <f t="shared" ca="1" si="345"/>
        <v>#N/A</v>
      </c>
      <c r="AE713" s="324" t="e">
        <f t="shared" ca="1" si="324"/>
        <v>#N/A</v>
      </c>
      <c r="AG713" s="306">
        <f t="shared" ca="1" si="346"/>
        <v>2.0016193238704965</v>
      </c>
      <c r="AH713" s="304">
        <f t="shared" ca="1" si="347"/>
        <v>-7.7601819667478367</v>
      </c>
    </row>
    <row r="714" spans="1:34" x14ac:dyDescent="0.2">
      <c r="A714" s="347">
        <f t="shared" ca="1" si="325"/>
        <v>0.1</v>
      </c>
      <c r="B714" s="304">
        <f t="shared" ca="1" si="326"/>
        <v>35.000000000000185</v>
      </c>
      <c r="D714" s="306">
        <f t="shared" ca="1" si="327"/>
        <v>-0.76503680988957279</v>
      </c>
      <c r="E714" s="307">
        <f t="shared" ca="1" si="328"/>
        <v>-2.0502714585133193</v>
      </c>
      <c r="F714" s="304">
        <f t="shared" ca="1" si="329"/>
        <v>2.1883542615582945</v>
      </c>
      <c r="G714" s="306">
        <f t="shared" ca="1" si="330"/>
        <v>10.55934505716481</v>
      </c>
      <c r="H714" s="307">
        <f t="shared" ca="1" si="331"/>
        <v>-108.08388728631913</v>
      </c>
      <c r="I714" s="304">
        <f t="shared" ca="1" si="332"/>
        <v>108.59846434898611</v>
      </c>
      <c r="J714" s="306">
        <f t="shared" ca="1" si="333"/>
        <v>905.1539776812931</v>
      </c>
      <c r="K714" s="307">
        <f t="shared" ca="1" si="334"/>
        <v>1078.3074607059639</v>
      </c>
      <c r="L714" s="304">
        <f t="shared" ca="1" si="319"/>
        <v>1407.8532249941436</v>
      </c>
      <c r="M714" s="306">
        <f t="shared" ca="1" si="335"/>
        <v>-1.4734095475478493</v>
      </c>
      <c r="N714" s="304">
        <f t="shared" ca="1" si="336"/>
        <v>-84.42014856877195</v>
      </c>
      <c r="P714" s="310">
        <f t="shared" ca="1" si="337"/>
        <v>23</v>
      </c>
      <c r="Q714" s="304">
        <f t="shared" ca="1" si="338"/>
        <v>0</v>
      </c>
      <c r="R714" s="306">
        <f t="shared" ca="1" si="339"/>
        <v>0</v>
      </c>
      <c r="S714" s="307">
        <f t="shared" ca="1" si="340"/>
        <v>5.0829999999999913</v>
      </c>
      <c r="T714" s="304">
        <f t="shared" ca="1" si="320"/>
        <v>49.864229999999914</v>
      </c>
      <c r="U714" s="311">
        <f t="shared" ca="1" si="321"/>
        <v>0</v>
      </c>
      <c r="V714" s="306">
        <f t="shared" ca="1" si="322"/>
        <v>1.0996648285848125</v>
      </c>
      <c r="W714" s="304">
        <f t="shared" ca="1" si="323"/>
        <v>39.820906436014134</v>
      </c>
      <c r="Y714" s="314" t="str">
        <f t="shared" ca="1" si="341"/>
        <v/>
      </c>
      <c r="Z714" s="315" t="str">
        <f t="shared" ca="1" si="342"/>
        <v/>
      </c>
      <c r="AA714" s="316" t="str">
        <f t="shared" ca="1" si="343"/>
        <v/>
      </c>
      <c r="AC714" s="310">
        <f t="shared" ca="1" si="344"/>
        <v>35.000000000000185</v>
      </c>
      <c r="AD714" s="323">
        <f t="shared" ca="1" si="345"/>
        <v>905.1539776812931</v>
      </c>
      <c r="AE714" s="324" t="e">
        <f t="shared" ca="1" si="324"/>
        <v>#N/A</v>
      </c>
      <c r="AG714" s="306">
        <f t="shared" ca="1" si="346"/>
        <v>1.9653175073099369</v>
      </c>
      <c r="AH714" s="304">
        <f t="shared" ca="1" si="347"/>
        <v>-7.797350085641213</v>
      </c>
    </row>
    <row r="715" spans="1:34" x14ac:dyDescent="0.2">
      <c r="A715" s="347">
        <f t="shared" ca="1" si="325"/>
        <v>0.1</v>
      </c>
      <c r="B715" s="304">
        <f t="shared" ca="1" si="326"/>
        <v>35.100000000000186</v>
      </c>
      <c r="D715" s="306">
        <f t="shared" ca="1" si="327"/>
        <v>-0.76173573457459776</v>
      </c>
      <c r="E715" s="307">
        <f t="shared" ca="1" si="328"/>
        <v>-2.0129861859795666</v>
      </c>
      <c r="F715" s="304">
        <f t="shared" ca="1" si="329"/>
        <v>2.1522905738474218</v>
      </c>
      <c r="G715" s="306">
        <f t="shared" ca="1" si="330"/>
        <v>10.48317148370735</v>
      </c>
      <c r="H715" s="307">
        <f t="shared" ca="1" si="331"/>
        <v>-108.28518590491709</v>
      </c>
      <c r="I715" s="304">
        <f t="shared" ca="1" si="332"/>
        <v>108.79144438244796</v>
      </c>
      <c r="J715" s="306">
        <f t="shared" ca="1" si="333"/>
        <v>906.2061035083367</v>
      </c>
      <c r="K715" s="307">
        <f t="shared" ca="1" si="334"/>
        <v>1067.4890070464021</v>
      </c>
      <c r="L715" s="304">
        <f t="shared" ca="1" si="319"/>
        <v>1400.2650756912692</v>
      </c>
      <c r="M715" s="306">
        <f t="shared" ca="1" si="335"/>
        <v>-1.4742863214578457</v>
      </c>
      <c r="N715" s="304">
        <f t="shared" ca="1" si="336"/>
        <v>-84.47038401340194</v>
      </c>
      <c r="P715" s="310">
        <f t="shared" ca="1" si="337"/>
        <v>23</v>
      </c>
      <c r="Q715" s="304">
        <f t="shared" ca="1" si="338"/>
        <v>0</v>
      </c>
      <c r="R715" s="306">
        <f t="shared" ca="1" si="339"/>
        <v>0</v>
      </c>
      <c r="S715" s="307">
        <f t="shared" ca="1" si="340"/>
        <v>5.0829999999999913</v>
      </c>
      <c r="T715" s="304">
        <f t="shared" ca="1" si="320"/>
        <v>49.864229999999914</v>
      </c>
      <c r="U715" s="311">
        <f t="shared" ca="1" si="321"/>
        <v>0</v>
      </c>
      <c r="V715" s="306">
        <f t="shared" ca="1" si="322"/>
        <v>1.1008585768627228</v>
      </c>
      <c r="W715" s="304">
        <f t="shared" ca="1" si="323"/>
        <v>40.005937705861591</v>
      </c>
      <c r="Y715" s="314" t="str">
        <f t="shared" ca="1" si="341"/>
        <v/>
      </c>
      <c r="Z715" s="315" t="str">
        <f t="shared" ca="1" si="342"/>
        <v/>
      </c>
      <c r="AA715" s="316" t="str">
        <f t="shared" ca="1" si="343"/>
        <v/>
      </c>
      <c r="AC715" s="310" t="e">
        <f t="shared" ca="1" si="344"/>
        <v>#N/A</v>
      </c>
      <c r="AD715" s="323" t="e">
        <f t="shared" ca="1" si="345"/>
        <v>#N/A</v>
      </c>
      <c r="AE715" s="324" t="e">
        <f t="shared" ca="1" si="324"/>
        <v>#N/A</v>
      </c>
      <c r="AG715" s="306">
        <f t="shared" ca="1" si="346"/>
        <v>1.9293821770560147</v>
      </c>
      <c r="AH715" s="304">
        <f t="shared" ca="1" si="347"/>
        <v>-7.8341346519799728</v>
      </c>
    </row>
    <row r="716" spans="1:34" x14ac:dyDescent="0.2">
      <c r="A716" s="347">
        <f t="shared" ca="1" si="325"/>
        <v>0.1</v>
      </c>
      <c r="B716" s="304">
        <f t="shared" ca="1" si="326"/>
        <v>35.200000000000188</v>
      </c>
      <c r="D716" s="306">
        <f t="shared" ca="1" si="327"/>
        <v>-0.7584069286106172</v>
      </c>
      <c r="E716" s="307">
        <f t="shared" ca="1" si="328"/>
        <v>-1.9760887276514554</v>
      </c>
      <c r="F716" s="304">
        <f t="shared" ca="1" si="329"/>
        <v>2.1166264972629767</v>
      </c>
      <c r="G716" s="306">
        <f t="shared" ca="1" si="330"/>
        <v>10.407330790846288</v>
      </c>
      <c r="H716" s="307">
        <f t="shared" ca="1" si="331"/>
        <v>-108.48279477768223</v>
      </c>
      <c r="I716" s="304">
        <f t="shared" ca="1" si="332"/>
        <v>108.98086665542175</v>
      </c>
      <c r="J716" s="306">
        <f t="shared" ca="1" si="333"/>
        <v>907.25062862206437</v>
      </c>
      <c r="K716" s="307">
        <f t="shared" ca="1" si="334"/>
        <v>1056.6506080122722</v>
      </c>
      <c r="L716" s="304">
        <f t="shared" ca="1" si="319"/>
        <v>1392.700330490316</v>
      </c>
      <c r="M716" s="306">
        <f t="shared" ca="1" si="335"/>
        <v>-1.4751537161332891</v>
      </c>
      <c r="N716" s="304">
        <f t="shared" ca="1" si="336"/>
        <v>-84.520082067476963</v>
      </c>
      <c r="P716" s="310">
        <f t="shared" ca="1" si="337"/>
        <v>23</v>
      </c>
      <c r="Q716" s="304">
        <f t="shared" ca="1" si="338"/>
        <v>0</v>
      </c>
      <c r="R716" s="306">
        <f t="shared" ca="1" si="339"/>
        <v>0</v>
      </c>
      <c r="S716" s="307">
        <f t="shared" ca="1" si="340"/>
        <v>5.0829999999999913</v>
      </c>
      <c r="T716" s="304">
        <f t="shared" ca="1" si="320"/>
        <v>49.864229999999914</v>
      </c>
      <c r="U716" s="311">
        <f t="shared" ca="1" si="321"/>
        <v>0</v>
      </c>
      <c r="V716" s="306">
        <f t="shared" ca="1" si="322"/>
        <v>1.1020557560258422</v>
      </c>
      <c r="W716" s="304">
        <f t="shared" ca="1" si="323"/>
        <v>40.189029627593484</v>
      </c>
      <c r="Y716" s="314" t="str">
        <f t="shared" ca="1" si="341"/>
        <v/>
      </c>
      <c r="Z716" s="315" t="str">
        <f t="shared" ca="1" si="342"/>
        <v/>
      </c>
      <c r="AA716" s="316" t="str">
        <f t="shared" ca="1" si="343"/>
        <v/>
      </c>
      <c r="AC716" s="310" t="e">
        <f t="shared" ca="1" si="344"/>
        <v>#N/A</v>
      </c>
      <c r="AD716" s="323" t="e">
        <f t="shared" ca="1" si="345"/>
        <v>#N/A</v>
      </c>
      <c r="AE716" s="324" t="e">
        <f t="shared" ca="1" si="324"/>
        <v>#N/A</v>
      </c>
      <c r="AG716" s="306">
        <f t="shared" ca="1" si="346"/>
        <v>1.8938127581706432</v>
      </c>
      <c r="AH716" s="304">
        <f t="shared" ca="1" si="347"/>
        <v>-7.8705366330634785</v>
      </c>
    </row>
    <row r="717" spans="1:34" x14ac:dyDescent="0.2">
      <c r="A717" s="347">
        <f t="shared" ca="1" si="325"/>
        <v>0.1</v>
      </c>
      <c r="B717" s="304">
        <f t="shared" ca="1" si="326"/>
        <v>35.300000000000189</v>
      </c>
      <c r="D717" s="306">
        <f t="shared" ca="1" si="327"/>
        <v>-0.75505139069844407</v>
      </c>
      <c r="E717" s="307">
        <f t="shared" ca="1" si="328"/>
        <v>-1.9395780147791202</v>
      </c>
      <c r="F717" s="304">
        <f t="shared" ca="1" si="329"/>
        <v>2.0813614481896621</v>
      </c>
      <c r="G717" s="306">
        <f t="shared" ca="1" si="330"/>
        <v>10.331825651776443</v>
      </c>
      <c r="H717" s="307">
        <f t="shared" ca="1" si="331"/>
        <v>-108.67675257916014</v>
      </c>
      <c r="I717" s="304">
        <f t="shared" ca="1" si="332"/>
        <v>109.16676771092334</v>
      </c>
      <c r="J717" s="306">
        <f t="shared" ca="1" si="333"/>
        <v>908.28758644419554</v>
      </c>
      <c r="K717" s="307">
        <f t="shared" ca="1" si="334"/>
        <v>1045.7926306444301</v>
      </c>
      <c r="L717" s="304">
        <f t="shared" ca="1" si="319"/>
        <v>1385.1601228734603</v>
      </c>
      <c r="M717" s="306">
        <f t="shared" ca="1" si="335"/>
        <v>-1.4760118750322824</v>
      </c>
      <c r="N717" s="304">
        <f t="shared" ca="1" si="336"/>
        <v>-84.569250950540876</v>
      </c>
      <c r="P717" s="310">
        <f t="shared" ca="1" si="337"/>
        <v>23</v>
      </c>
      <c r="Q717" s="304">
        <f t="shared" ca="1" si="338"/>
        <v>0</v>
      </c>
      <c r="R717" s="306">
        <f t="shared" ca="1" si="339"/>
        <v>0</v>
      </c>
      <c r="S717" s="307">
        <f t="shared" ca="1" si="340"/>
        <v>5.0829999999999913</v>
      </c>
      <c r="T717" s="304">
        <f t="shared" ca="1" si="320"/>
        <v>49.864229999999914</v>
      </c>
      <c r="U717" s="311">
        <f t="shared" ca="1" si="321"/>
        <v>0</v>
      </c>
      <c r="V717" s="306">
        <f t="shared" ca="1" si="322"/>
        <v>1.1032563341735064</v>
      </c>
      <c r="W717" s="304">
        <f t="shared" ca="1" si="323"/>
        <v>40.370187937325468</v>
      </c>
      <c r="Y717" s="314" t="str">
        <f t="shared" ca="1" si="341"/>
        <v/>
      </c>
      <c r="Z717" s="315" t="str">
        <f t="shared" ca="1" si="342"/>
        <v/>
      </c>
      <c r="AA717" s="316" t="str">
        <f t="shared" ca="1" si="343"/>
        <v/>
      </c>
      <c r="AC717" s="310" t="e">
        <f t="shared" ca="1" si="344"/>
        <v>#N/A</v>
      </c>
      <c r="AD717" s="323" t="e">
        <f t="shared" ca="1" si="345"/>
        <v>#N/A</v>
      </c>
      <c r="AE717" s="324" t="e">
        <f t="shared" ca="1" si="324"/>
        <v>#N/A</v>
      </c>
      <c r="AG717" s="306">
        <f t="shared" ca="1" si="346"/>
        <v>1.8586085829720593</v>
      </c>
      <c r="AH717" s="304">
        <f t="shared" ca="1" si="347"/>
        <v>-7.9065570780235204</v>
      </c>
    </row>
    <row r="718" spans="1:34" x14ac:dyDescent="0.2">
      <c r="A718" s="347">
        <f t="shared" ca="1" si="325"/>
        <v>0.1</v>
      </c>
      <c r="B718" s="304">
        <f t="shared" ca="1" si="326"/>
        <v>35.40000000000019</v>
      </c>
      <c r="D718" s="306">
        <f t="shared" ca="1" si="327"/>
        <v>-0.75167010628299724</v>
      </c>
      <c r="E718" s="307">
        <f t="shared" ca="1" si="328"/>
        <v>-1.9034528983633434</v>
      </c>
      <c r="F718" s="304">
        <f t="shared" ca="1" si="329"/>
        <v>2.046494780097742</v>
      </c>
      <c r="G718" s="306">
        <f t="shared" ca="1" si="330"/>
        <v>10.256658641148142</v>
      </c>
      <c r="H718" s="307">
        <f t="shared" ca="1" si="331"/>
        <v>-108.86709786899647</v>
      </c>
      <c r="I718" s="304">
        <f t="shared" ca="1" si="332"/>
        <v>109.34918401569668</v>
      </c>
      <c r="J718" s="306">
        <f t="shared" ca="1" si="333"/>
        <v>909.31701065884181</v>
      </c>
      <c r="K718" s="307">
        <f t="shared" ca="1" si="334"/>
        <v>1034.9154381220224</v>
      </c>
      <c r="L718" s="304">
        <f t="shared" ca="1" si="319"/>
        <v>1377.6455966382753</v>
      </c>
      <c r="M718" s="306">
        <f t="shared" ca="1" si="335"/>
        <v>-1.4768609384514941</v>
      </c>
      <c r="N718" s="304">
        <f t="shared" ca="1" si="336"/>
        <v>-84.617898701000655</v>
      </c>
      <c r="P718" s="310">
        <f t="shared" ca="1" si="337"/>
        <v>23</v>
      </c>
      <c r="Q718" s="304">
        <f t="shared" ca="1" si="338"/>
        <v>0</v>
      </c>
      <c r="R718" s="306">
        <f t="shared" ca="1" si="339"/>
        <v>0</v>
      </c>
      <c r="S718" s="307">
        <f t="shared" ca="1" si="340"/>
        <v>5.0829999999999913</v>
      </c>
      <c r="T718" s="304">
        <f t="shared" ca="1" si="320"/>
        <v>49.864229999999914</v>
      </c>
      <c r="U718" s="311">
        <f t="shared" ca="1" si="321"/>
        <v>0</v>
      </c>
      <c r="V718" s="306">
        <f t="shared" ca="1" si="322"/>
        <v>1.1044602797022072</v>
      </c>
      <c r="W718" s="304">
        <f t="shared" ca="1" si="323"/>
        <v>40.549418762123508</v>
      </c>
      <c r="Y718" s="314" t="str">
        <f t="shared" ca="1" si="341"/>
        <v/>
      </c>
      <c r="Z718" s="315" t="str">
        <f t="shared" ca="1" si="342"/>
        <v/>
      </c>
      <c r="AA718" s="316" t="str">
        <f t="shared" ca="1" si="343"/>
        <v/>
      </c>
      <c r="AC718" s="310" t="e">
        <f t="shared" ca="1" si="344"/>
        <v>#N/A</v>
      </c>
      <c r="AD718" s="323" t="e">
        <f t="shared" ca="1" si="345"/>
        <v>#N/A</v>
      </c>
      <c r="AE718" s="324" t="e">
        <f t="shared" ca="1" si="324"/>
        <v>#N/A</v>
      </c>
      <c r="AG718" s="306">
        <f t="shared" ca="1" si="346"/>
        <v>1.8237688938721632</v>
      </c>
      <c r="AH718" s="304">
        <f t="shared" ca="1" si="347"/>
        <v>-7.942197115350293</v>
      </c>
    </row>
    <row r="719" spans="1:34" x14ac:dyDescent="0.2">
      <c r="A719" s="347">
        <f t="shared" ca="1" si="325"/>
        <v>0.1</v>
      </c>
      <c r="B719" s="304">
        <f t="shared" ca="1" si="326"/>
        <v>35.500000000000192</v>
      </c>
      <c r="D719" s="306">
        <f t="shared" ca="1" si="327"/>
        <v>-0.74826404749491171</v>
      </c>
      <c r="E719" s="307">
        <f t="shared" ca="1" si="328"/>
        <v>-1.8677121516290276</v>
      </c>
      <c r="F719" s="304">
        <f t="shared" ca="1" si="329"/>
        <v>2.0120257866429543</v>
      </c>
      <c r="G719" s="306">
        <f t="shared" ca="1" si="330"/>
        <v>10.181832236398652</v>
      </c>
      <c r="H719" s="307">
        <f t="shared" ca="1" si="331"/>
        <v>-109.05386908415937</v>
      </c>
      <c r="I719" s="304">
        <f t="shared" ca="1" si="332"/>
        <v>109.52815195151948</v>
      </c>
      <c r="J719" s="306">
        <f t="shared" ca="1" si="333"/>
        <v>910.3389352027192</v>
      </c>
      <c r="K719" s="307">
        <f t="shared" ca="1" si="334"/>
        <v>1024.0193897743645</v>
      </c>
      <c r="L719" s="304">
        <f t="shared" ca="1" si="319"/>
        <v>1370.1579060750196</v>
      </c>
      <c r="M719" s="306">
        <f t="shared" ca="1" si="335"/>
        <v>-1.4777010436142444</v>
      </c>
      <c r="N719" s="304">
        <f t="shared" ca="1" si="336"/>
        <v>-84.66603318117339</v>
      </c>
      <c r="P719" s="310">
        <f t="shared" ca="1" si="337"/>
        <v>23</v>
      </c>
      <c r="Q719" s="304">
        <f t="shared" ca="1" si="338"/>
        <v>0</v>
      </c>
      <c r="R719" s="306">
        <f t="shared" ca="1" si="339"/>
        <v>0</v>
      </c>
      <c r="S719" s="307">
        <f t="shared" ca="1" si="340"/>
        <v>5.0829999999999913</v>
      </c>
      <c r="T719" s="304">
        <f t="shared" ca="1" si="320"/>
        <v>49.864229999999914</v>
      </c>
      <c r="U719" s="311">
        <f t="shared" ca="1" si="321"/>
        <v>0</v>
      </c>
      <c r="V719" s="306">
        <f t="shared" ca="1" si="322"/>
        <v>1.105667561305264</v>
      </c>
      <c r="W719" s="304">
        <f t="shared" ca="1" si="323"/>
        <v>40.726728607726024</v>
      </c>
      <c r="Y719" s="314" t="str">
        <f t="shared" ca="1" si="341"/>
        <v/>
      </c>
      <c r="Z719" s="315" t="str">
        <f t="shared" ca="1" si="342"/>
        <v/>
      </c>
      <c r="AA719" s="316" t="str">
        <f t="shared" ca="1" si="343"/>
        <v/>
      </c>
      <c r="AC719" s="310" t="e">
        <f t="shared" ca="1" si="344"/>
        <v>#N/A</v>
      </c>
      <c r="AD719" s="323" t="e">
        <f t="shared" ca="1" si="345"/>
        <v>#N/A</v>
      </c>
      <c r="AE719" s="324" t="e">
        <f t="shared" ca="1" si="324"/>
        <v>#N/A</v>
      </c>
      <c r="AG719" s="306">
        <f t="shared" ca="1" si="346"/>
        <v>1.7892928461709063</v>
      </c>
      <c r="AH719" s="304">
        <f t="shared" ca="1" si="347"/>
        <v>-7.9774579504472909</v>
      </c>
    </row>
    <row r="720" spans="1:34" x14ac:dyDescent="0.2">
      <c r="A720" s="347">
        <f t="shared" ca="1" si="325"/>
        <v>0.1</v>
      </c>
      <c r="B720" s="304">
        <f t="shared" ca="1" si="326"/>
        <v>35.600000000000193</v>
      </c>
      <c r="D720" s="306">
        <f t="shared" ca="1" si="327"/>
        <v>-0.74483417310113331</v>
      </c>
      <c r="E720" s="307">
        <f t="shared" ca="1" si="328"/>
        <v>-1.8323544724687695</v>
      </c>
      <c r="F720" s="304">
        <f t="shared" ca="1" si="329"/>
        <v>1.9779537047654963</v>
      </c>
      <c r="G720" s="306">
        <f t="shared" ca="1" si="330"/>
        <v>10.107348819088539</v>
      </c>
      <c r="H720" s="307">
        <f t="shared" ca="1" si="331"/>
        <v>-109.23710453140625</v>
      </c>
      <c r="I720" s="304">
        <f t="shared" ca="1" si="332"/>
        <v>109.70370780678338</v>
      </c>
      <c r="J720" s="306">
        <f t="shared" ca="1" si="333"/>
        <v>911.35339425549353</v>
      </c>
      <c r="K720" s="307">
        <f t="shared" ca="1" si="334"/>
        <v>1013.1048410935863</v>
      </c>
      <c r="L720" s="304">
        <f t="shared" ca="1" si="319"/>
        <v>1362.6982161389474</v>
      </c>
      <c r="M720" s="306">
        <f t="shared" ca="1" si="335"/>
        <v>-1.4785323247557134</v>
      </c>
      <c r="N720" s="304">
        <f t="shared" ca="1" si="336"/>
        <v>-84.713662082168383</v>
      </c>
      <c r="P720" s="310">
        <f t="shared" ca="1" si="337"/>
        <v>23</v>
      </c>
      <c r="Q720" s="304">
        <f t="shared" ca="1" si="338"/>
        <v>0</v>
      </c>
      <c r="R720" s="306">
        <f t="shared" ca="1" si="339"/>
        <v>0</v>
      </c>
      <c r="S720" s="307">
        <f t="shared" ca="1" si="340"/>
        <v>5.0829999999999913</v>
      </c>
      <c r="T720" s="304">
        <f t="shared" ca="1" si="320"/>
        <v>49.864229999999914</v>
      </c>
      <c r="U720" s="311">
        <f t="shared" ca="1" si="321"/>
        <v>0</v>
      </c>
      <c r="V720" s="306">
        <f t="shared" ca="1" si="322"/>
        <v>1.1068781479724388</v>
      </c>
      <c r="W720" s="304">
        <f t="shared" ca="1" si="323"/>
        <v>40.90212434642077</v>
      </c>
      <c r="Y720" s="314" t="str">
        <f t="shared" ca="1" si="341"/>
        <v/>
      </c>
      <c r="Z720" s="315" t="str">
        <f t="shared" ca="1" si="342"/>
        <v/>
      </c>
      <c r="AA720" s="316" t="str">
        <f t="shared" ca="1" si="343"/>
        <v/>
      </c>
      <c r="AC720" s="310" t="e">
        <f t="shared" ca="1" si="344"/>
        <v>#N/A</v>
      </c>
      <c r="AD720" s="323" t="e">
        <f t="shared" ca="1" si="345"/>
        <v>#N/A</v>
      </c>
      <c r="AE720" s="324" t="e">
        <f t="shared" ca="1" si="324"/>
        <v>#N/A</v>
      </c>
      <c r="AG720" s="306">
        <f t="shared" ca="1" si="346"/>
        <v>1.7551795108076202</v>
      </c>
      <c r="AH720" s="304">
        <f t="shared" ca="1" si="347"/>
        <v>-8.0123408632158366</v>
      </c>
    </row>
    <row r="721" spans="1:34" x14ac:dyDescent="0.2">
      <c r="A721" s="347">
        <f t="shared" ca="1" si="325"/>
        <v>0.1</v>
      </c>
      <c r="B721" s="304">
        <f t="shared" ca="1" si="326"/>
        <v>35.700000000000195</v>
      </c>
      <c r="D721" s="306">
        <f t="shared" ca="1" si="327"/>
        <v>-0.74138142846422472</v>
      </c>
      <c r="E721" s="307">
        <f t="shared" ca="1" si="328"/>
        <v>-1.7973784858556954</v>
      </c>
      <c r="F721" s="304">
        <f t="shared" ca="1" si="329"/>
        <v>1.944277717788425</v>
      </c>
      <c r="G721" s="306">
        <f t="shared" ca="1" si="330"/>
        <v>10.033210676242117</v>
      </c>
      <c r="H721" s="307">
        <f t="shared" ca="1" si="331"/>
        <v>-109.41684237999182</v>
      </c>
      <c r="I721" s="304">
        <f t="shared" ca="1" si="332"/>
        <v>109.87588776834448</v>
      </c>
      <c r="J721" s="306">
        <f t="shared" ca="1" si="333"/>
        <v>912.36042223026004</v>
      </c>
      <c r="K721" s="307">
        <f t="shared" ca="1" si="334"/>
        <v>1002.1721437480164</v>
      </c>
      <c r="L721" s="304">
        <f t="shared" ca="1" si="319"/>
        <v>1355.2677026169677</v>
      </c>
      <c r="M721" s="306">
        <f t="shared" ca="1" si="335"/>
        <v>-1.4793549132053772</v>
      </c>
      <c r="N721" s="304">
        <f t="shared" ca="1" si="336"/>
        <v>-84.760792928610329</v>
      </c>
      <c r="P721" s="310">
        <f t="shared" ca="1" si="337"/>
        <v>23</v>
      </c>
      <c r="Q721" s="304">
        <f t="shared" ca="1" si="338"/>
        <v>0</v>
      </c>
      <c r="R721" s="306">
        <f t="shared" ca="1" si="339"/>
        <v>0</v>
      </c>
      <c r="S721" s="307">
        <f t="shared" ca="1" si="340"/>
        <v>5.0829999999999913</v>
      </c>
      <c r="T721" s="304">
        <f t="shared" ca="1" si="320"/>
        <v>49.864229999999914</v>
      </c>
      <c r="U721" s="311">
        <f t="shared" ca="1" si="321"/>
        <v>0</v>
      </c>
      <c r="V721" s="306">
        <f t="shared" ca="1" si="322"/>
        <v>1.1080920089894823</v>
      </c>
      <c r="W721" s="304">
        <f t="shared" ca="1" si="323"/>
        <v>41.075613205079584</v>
      </c>
      <c r="Y721" s="314" t="str">
        <f t="shared" ca="1" si="341"/>
        <v/>
      </c>
      <c r="Z721" s="315" t="str">
        <f t="shared" ca="1" si="342"/>
        <v/>
      </c>
      <c r="AA721" s="316" t="str">
        <f t="shared" ca="1" si="343"/>
        <v/>
      </c>
      <c r="AC721" s="310" t="e">
        <f t="shared" ca="1" si="344"/>
        <v>#N/A</v>
      </c>
      <c r="AD721" s="323" t="e">
        <f t="shared" ca="1" si="345"/>
        <v>#N/A</v>
      </c>
      <c r="AE721" s="324" t="e">
        <f t="shared" ca="1" si="324"/>
        <v>#N/A</v>
      </c>
      <c r="AG721" s="306">
        <f t="shared" ca="1" si="346"/>
        <v>1.7214278770690736</v>
      </c>
      <c r="AH721" s="304">
        <f t="shared" ca="1" si="347"/>
        <v>-8.046847205670046</v>
      </c>
    </row>
    <row r="722" spans="1:34" x14ac:dyDescent="0.2">
      <c r="A722" s="347">
        <f t="shared" ca="1" si="325"/>
        <v>0.1</v>
      </c>
      <c r="B722" s="304">
        <f t="shared" ca="1" si="326"/>
        <v>35.800000000000196</v>
      </c>
      <c r="D722" s="306">
        <f t="shared" ca="1" si="327"/>
        <v>-0.73790674551014201</v>
      </c>
      <c r="E722" s="307">
        <f t="shared" ca="1" si="328"/>
        <v>-1.7627827462249215</v>
      </c>
      <c r="F722" s="304">
        <f t="shared" ca="1" si="329"/>
        <v>1.9109969585160635</v>
      </c>
      <c r="G722" s="306">
        <f t="shared" ca="1" si="330"/>
        <v>9.9594200016911021</v>
      </c>
      <c r="H722" s="307">
        <f t="shared" ca="1" si="331"/>
        <v>-109.59312065461431</v>
      </c>
      <c r="I722" s="304">
        <f t="shared" ca="1" si="332"/>
        <v>110.04472791363943</v>
      </c>
      <c r="J722" s="306">
        <f t="shared" ca="1" si="333"/>
        <v>913.36005376415665</v>
      </c>
      <c r="K722" s="307">
        <f t="shared" ca="1" si="334"/>
        <v>991.22164559628607</v>
      </c>
      <c r="L722" s="304">
        <f t="shared" ca="1" si="319"/>
        <v>1347.8675522879362</v>
      </c>
      <c r="M722" s="306">
        <f t="shared" ca="1" si="335"/>
        <v>-1.4801689374667797</v>
      </c>
      <c r="N722" s="304">
        <f t="shared" ca="1" si="336"/>
        <v>-84.807433083209943</v>
      </c>
      <c r="P722" s="310">
        <f t="shared" ca="1" si="337"/>
        <v>23</v>
      </c>
      <c r="Q722" s="304">
        <f t="shared" ca="1" si="338"/>
        <v>0</v>
      </c>
      <c r="R722" s="306">
        <f t="shared" ca="1" si="339"/>
        <v>0</v>
      </c>
      <c r="S722" s="307">
        <f t="shared" ca="1" si="340"/>
        <v>5.0829999999999913</v>
      </c>
      <c r="T722" s="304">
        <f t="shared" ca="1" si="320"/>
        <v>49.864229999999914</v>
      </c>
      <c r="U722" s="311">
        <f t="shared" ca="1" si="321"/>
        <v>0</v>
      </c>
      <c r="V722" s="306">
        <f t="shared" ca="1" si="322"/>
        <v>1.1093091139376174</v>
      </c>
      <c r="W722" s="304">
        <f t="shared" ca="1" si="323"/>
        <v>41.247202753353882</v>
      </c>
      <c r="Y722" s="314" t="str">
        <f t="shared" ca="1" si="341"/>
        <v/>
      </c>
      <c r="Z722" s="315" t="str">
        <f t="shared" ca="1" si="342"/>
        <v/>
      </c>
      <c r="AA722" s="316" t="str">
        <f t="shared" ca="1" si="343"/>
        <v/>
      </c>
      <c r="AC722" s="310" t="e">
        <f t="shared" ca="1" si="344"/>
        <v>#N/A</v>
      </c>
      <c r="AD722" s="323" t="e">
        <f t="shared" ca="1" si="345"/>
        <v>#N/A</v>
      </c>
      <c r="AE722" s="324" t="e">
        <f t="shared" ca="1" si="324"/>
        <v>#N/A</v>
      </c>
      <c r="AG722" s="306">
        <f t="shared" ca="1" si="346"/>
        <v>1.6880368552541842</v>
      </c>
      <c r="AH722" s="304">
        <f t="shared" ca="1" si="347"/>
        <v>-8.0809783995828557</v>
      </c>
    </row>
    <row r="723" spans="1:34" x14ac:dyDescent="0.2">
      <c r="A723" s="347">
        <f t="shared" ca="1" si="325"/>
        <v>0.1</v>
      </c>
      <c r="B723" s="304">
        <f t="shared" ca="1" si="326"/>
        <v>35.900000000000198</v>
      </c>
      <c r="D723" s="306">
        <f t="shared" ca="1" si="327"/>
        <v>-0.7344110427041578</v>
      </c>
      <c r="E723" s="307">
        <f t="shared" ca="1" si="328"/>
        <v>-1.7285657398230736</v>
      </c>
      <c r="F723" s="304">
        <f t="shared" ca="1" si="329"/>
        <v>1.8781105123330464</v>
      </c>
      <c r="G723" s="306">
        <f t="shared" ca="1" si="330"/>
        <v>9.8859788974206868</v>
      </c>
      <c r="H723" s="307">
        <f t="shared" ca="1" si="331"/>
        <v>-109.76597722859661</v>
      </c>
      <c r="I723" s="304">
        <f t="shared" ca="1" si="332"/>
        <v>110.21026420306339</v>
      </c>
      <c r="J723" s="306">
        <f t="shared" ca="1" si="333"/>
        <v>914.35232370911228</v>
      </c>
      <c r="K723" s="307">
        <f t="shared" ca="1" si="334"/>
        <v>980.25369070212548</v>
      </c>
      <c r="L723" s="304">
        <f t="shared" ca="1" si="319"/>
        <v>1340.4989630758359</v>
      </c>
      <c r="M723" s="306">
        <f t="shared" ca="1" si="335"/>
        <v>-1.4809745232947336</v>
      </c>
      <c r="N723" s="304">
        <f t="shared" ca="1" si="336"/>
        <v>-84.853589751187258</v>
      </c>
      <c r="P723" s="310">
        <f t="shared" ca="1" si="337"/>
        <v>23</v>
      </c>
      <c r="Q723" s="304">
        <f t="shared" ca="1" si="338"/>
        <v>0</v>
      </c>
      <c r="R723" s="306">
        <f t="shared" ca="1" si="339"/>
        <v>0</v>
      </c>
      <c r="S723" s="307">
        <f t="shared" ca="1" si="340"/>
        <v>5.0829999999999913</v>
      </c>
      <c r="T723" s="304">
        <f t="shared" ca="1" si="320"/>
        <v>49.864229999999914</v>
      </c>
      <c r="U723" s="311">
        <f t="shared" ca="1" si="321"/>
        <v>0</v>
      </c>
      <c r="V723" s="306">
        <f t="shared" ca="1" si="322"/>
        <v>1.1105294326929642</v>
      </c>
      <c r="W723" s="304">
        <f t="shared" ca="1" si="323"/>
        <v>41.416900892034285</v>
      </c>
      <c r="Y723" s="314" t="str">
        <f t="shared" ca="1" si="341"/>
        <v/>
      </c>
      <c r="Z723" s="315" t="str">
        <f t="shared" ca="1" si="342"/>
        <v/>
      </c>
      <c r="AA723" s="316" t="str">
        <f t="shared" ca="1" si="343"/>
        <v/>
      </c>
      <c r="AC723" s="310" t="e">
        <f t="shared" ca="1" si="344"/>
        <v>#N/A</v>
      </c>
      <c r="AD723" s="323" t="e">
        <f t="shared" ca="1" si="345"/>
        <v>#N/A</v>
      </c>
      <c r="AE723" s="324" t="e">
        <f t="shared" ca="1" si="324"/>
        <v>#N/A</v>
      </c>
      <c r="AG723" s="306">
        <f t="shared" ca="1" si="346"/>
        <v>1.6550052792953363</v>
      </c>
      <c r="AH723" s="304">
        <f t="shared" ca="1" si="347"/>
        <v>-8.114735934163674</v>
      </c>
    </row>
    <row r="724" spans="1:34" x14ac:dyDescent="0.2">
      <c r="A724" s="347">
        <f t="shared" ca="1" si="325"/>
        <v>0.1</v>
      </c>
      <c r="B724" s="304">
        <f t="shared" ca="1" si="326"/>
        <v>36.000000000000199</v>
      </c>
      <c r="D724" s="306">
        <f t="shared" ca="1" si="327"/>
        <v>-0.73089522503474014</v>
      </c>
      <c r="E724" s="307">
        <f t="shared" ca="1" si="328"/>
        <v>-1.6947258870251929</v>
      </c>
      <c r="F724" s="304">
        <f t="shared" ca="1" si="329"/>
        <v>1.8456174203046281</v>
      </c>
      <c r="G724" s="306">
        <f t="shared" ca="1" si="330"/>
        <v>9.8128893749172121</v>
      </c>
      <c r="H724" s="307">
        <f t="shared" ca="1" si="331"/>
        <v>-109.93544981729913</v>
      </c>
      <c r="I724" s="304">
        <f t="shared" ca="1" si="332"/>
        <v>110.37253247260506</v>
      </c>
      <c r="J724" s="306">
        <f t="shared" ca="1" si="333"/>
        <v>915.33726712272914</v>
      </c>
      <c r="K724" s="307">
        <f t="shared" ca="1" si="334"/>
        <v>969.26861934983071</v>
      </c>
      <c r="L724" s="304">
        <f t="shared" ca="1" si="319"/>
        <v>1333.1631441950506</v>
      </c>
      <c r="M724" s="306">
        <f t="shared" ca="1" si="335"/>
        <v>-1.4817717937700485</v>
      </c>
      <c r="N724" s="304">
        <f t="shared" ca="1" si="336"/>
        <v>-84.899269984553186</v>
      </c>
      <c r="P724" s="310">
        <f t="shared" ca="1" si="337"/>
        <v>23</v>
      </c>
      <c r="Q724" s="304">
        <f t="shared" ca="1" si="338"/>
        <v>0</v>
      </c>
      <c r="R724" s="306">
        <f t="shared" ca="1" si="339"/>
        <v>0</v>
      </c>
      <c r="S724" s="307">
        <f t="shared" ca="1" si="340"/>
        <v>5.0829999999999913</v>
      </c>
      <c r="T724" s="304">
        <f t="shared" ca="1" si="320"/>
        <v>49.864229999999914</v>
      </c>
      <c r="U724" s="311">
        <f t="shared" ca="1" si="321"/>
        <v>0</v>
      </c>
      <c r="V724" s="306">
        <f t="shared" ca="1" si="322"/>
        <v>1.1117529354259037</v>
      </c>
      <c r="W724" s="304">
        <f t="shared" ca="1" si="323"/>
        <v>41.584715841576532</v>
      </c>
      <c r="Y724" s="314" t="str">
        <f t="shared" ca="1" si="341"/>
        <v/>
      </c>
      <c r="Z724" s="315" t="str">
        <f t="shared" ca="1" si="342"/>
        <v/>
      </c>
      <c r="AA724" s="316" t="str">
        <f t="shared" ca="1" si="343"/>
        <v/>
      </c>
      <c r="AC724" s="310">
        <f t="shared" ca="1" si="344"/>
        <v>36.000000000000199</v>
      </c>
      <c r="AD724" s="323">
        <f t="shared" ca="1" si="345"/>
        <v>915.33726712272914</v>
      </c>
      <c r="AE724" s="324" t="e">
        <f t="shared" ca="1" si="324"/>
        <v>#N/A</v>
      </c>
      <c r="AG724" s="306">
        <f t="shared" ca="1" si="346"/>
        <v>1.6223319093361859</v>
      </c>
      <c r="AH724" s="304">
        <f t="shared" ca="1" si="347"/>
        <v>-8.1481213637683165</v>
      </c>
    </row>
    <row r="725" spans="1:34" x14ac:dyDescent="0.2">
      <c r="A725" s="347">
        <f t="shared" ca="1" si="325"/>
        <v>0.1</v>
      </c>
      <c r="B725" s="304">
        <f t="shared" ca="1" si="326"/>
        <v>36.1000000000002</v>
      </c>
      <c r="D725" s="306">
        <f t="shared" ca="1" si="327"/>
        <v>-0.72736018400507974</v>
      </c>
      <c r="E725" s="307">
        <f t="shared" ca="1" si="328"/>
        <v>-1.6612615446185597</v>
      </c>
      <c r="F725" s="304">
        <f t="shared" ca="1" si="329"/>
        <v>1.8135166822790316</v>
      </c>
      <c r="G725" s="306">
        <f t="shared" ca="1" si="330"/>
        <v>9.7401533565167036</v>
      </c>
      <c r="H725" s="307">
        <f t="shared" ca="1" si="331"/>
        <v>-110.10157597176098</v>
      </c>
      <c r="I725" s="304">
        <f t="shared" ca="1" si="332"/>
        <v>110.53156842673464</v>
      </c>
      <c r="J725" s="306">
        <f t="shared" ca="1" si="333"/>
        <v>916.31491925930084</v>
      </c>
      <c r="K725" s="307">
        <f t="shared" ca="1" si="334"/>
        <v>958.26676806037767</v>
      </c>
      <c r="L725" s="304">
        <f t="shared" ca="1" si="319"/>
        <v>1325.8613162869112</v>
      </c>
      <c r="M725" s="306">
        <f t="shared" ca="1" si="335"/>
        <v>-1.4825608693718786</v>
      </c>
      <c r="N725" s="304">
        <f t="shared" ca="1" si="336"/>
        <v>-84.944480686254792</v>
      </c>
      <c r="P725" s="310">
        <f t="shared" ca="1" si="337"/>
        <v>23</v>
      </c>
      <c r="Q725" s="304">
        <f t="shared" ca="1" si="338"/>
        <v>0</v>
      </c>
      <c r="R725" s="306">
        <f t="shared" ca="1" si="339"/>
        <v>0</v>
      </c>
      <c r="S725" s="307">
        <f t="shared" ca="1" si="340"/>
        <v>5.0829999999999913</v>
      </c>
      <c r="T725" s="304">
        <f t="shared" ca="1" si="320"/>
        <v>49.864229999999914</v>
      </c>
      <c r="U725" s="311">
        <f t="shared" ca="1" si="321"/>
        <v>0</v>
      </c>
      <c r="V725" s="306">
        <f t="shared" ca="1" si="322"/>
        <v>1.1129795926003856</v>
      </c>
      <c r="W725" s="304">
        <f t="shared" ca="1" si="323"/>
        <v>41.750656130796202</v>
      </c>
      <c r="Y725" s="314" t="str">
        <f t="shared" ca="1" si="341"/>
        <v/>
      </c>
      <c r="Z725" s="315" t="str">
        <f t="shared" ca="1" si="342"/>
        <v/>
      </c>
      <c r="AA725" s="316" t="str">
        <f t="shared" ca="1" si="343"/>
        <v/>
      </c>
      <c r="AC725" s="310" t="e">
        <f t="shared" ca="1" si="344"/>
        <v>#N/A</v>
      </c>
      <c r="AD725" s="323" t="e">
        <f t="shared" ca="1" si="345"/>
        <v>#N/A</v>
      </c>
      <c r="AE725" s="324" t="e">
        <f t="shared" ca="1" si="324"/>
        <v>#N/A</v>
      </c>
      <c r="AG725" s="306">
        <f t="shared" ca="1" si="346"/>
        <v>1.5900154342659452</v>
      </c>
      <c r="AH725" s="304">
        <f t="shared" ca="1" si="347"/>
        <v>-8.1811363056416688</v>
      </c>
    </row>
    <row r="726" spans="1:34" x14ac:dyDescent="0.2">
      <c r="A726" s="347">
        <f t="shared" ca="1" si="325"/>
        <v>0.1</v>
      </c>
      <c r="B726" s="304">
        <f t="shared" ca="1" si="326"/>
        <v>36.200000000000202</v>
      </c>
      <c r="D726" s="306">
        <f t="shared" ca="1" si="327"/>
        <v>-0.7238067976320155</v>
      </c>
      <c r="E726" s="307">
        <f t="shared" ca="1" si="328"/>
        <v>-1.6281710080529948</v>
      </c>
      <c r="F726" s="304">
        <f t="shared" ca="1" si="329"/>
        <v>1.7818072599926791</v>
      </c>
      <c r="G726" s="306">
        <f t="shared" ca="1" si="330"/>
        <v>9.6677726767535024</v>
      </c>
      <c r="H726" s="307">
        <f t="shared" ca="1" si="331"/>
        <v>-110.26439307256628</v>
      </c>
      <c r="I726" s="304">
        <f t="shared" ca="1" si="332"/>
        <v>110.68740763154038</v>
      </c>
      <c r="J726" s="306">
        <f t="shared" ca="1" si="333"/>
        <v>917.28531556096436</v>
      </c>
      <c r="K726" s="307">
        <f t="shared" ca="1" si="334"/>
        <v>947.24846960816126</v>
      </c>
      <c r="L726" s="304">
        <f t="shared" ca="1" si="319"/>
        <v>1318.5947115466456</v>
      </c>
      <c r="M726" s="306">
        <f t="shared" ca="1" si="335"/>
        <v>-1.4833418680477712</v>
      </c>
      <c r="N726" s="304">
        <f t="shared" ca="1" si="336"/>
        <v>-84.989228614188747</v>
      </c>
      <c r="P726" s="310">
        <f t="shared" ca="1" si="337"/>
        <v>23</v>
      </c>
      <c r="Q726" s="304">
        <f t="shared" ca="1" si="338"/>
        <v>0</v>
      </c>
      <c r="R726" s="306">
        <f t="shared" ca="1" si="339"/>
        <v>0</v>
      </c>
      <c r="S726" s="307">
        <f t="shared" ca="1" si="340"/>
        <v>5.0829999999999913</v>
      </c>
      <c r="T726" s="304">
        <f t="shared" ca="1" si="320"/>
        <v>49.864229999999914</v>
      </c>
      <c r="U726" s="311">
        <f t="shared" ca="1" si="321"/>
        <v>0</v>
      </c>
      <c r="V726" s="306">
        <f t="shared" ca="1" si="322"/>
        <v>1.1142093749731796</v>
      </c>
      <c r="W726" s="304">
        <f t="shared" ca="1" si="323"/>
        <v>41.914730585734482</v>
      </c>
      <c r="Y726" s="314" t="str">
        <f t="shared" ca="1" si="341"/>
        <v/>
      </c>
      <c r="Z726" s="315" t="str">
        <f t="shared" ca="1" si="342"/>
        <v/>
      </c>
      <c r="AA726" s="316" t="str">
        <f t="shared" ca="1" si="343"/>
        <v/>
      </c>
      <c r="AC726" s="310" t="e">
        <f t="shared" ca="1" si="344"/>
        <v>#N/A</v>
      </c>
      <c r="AD726" s="323" t="e">
        <f t="shared" ca="1" si="345"/>
        <v>#N/A</v>
      </c>
      <c r="AE726" s="324" t="e">
        <f t="shared" ca="1" si="324"/>
        <v>#N/A</v>
      </c>
      <c r="AG726" s="306">
        <f t="shared" ca="1" si="346"/>
        <v>1.5580544742101594</v>
      </c>
      <c r="AH726" s="304">
        <f t="shared" ca="1" si="347"/>
        <v>-8.213782437693542</v>
      </c>
    </row>
    <row r="727" spans="1:34" x14ac:dyDescent="0.2">
      <c r="A727" s="347">
        <f t="shared" ca="1" si="325"/>
        <v>0.1</v>
      </c>
      <c r="B727" s="304">
        <f t="shared" ca="1" si="326"/>
        <v>36.300000000000203</v>
      </c>
      <c r="D727" s="306">
        <f t="shared" ca="1" si="327"/>
        <v>-0.7202359304521373</v>
      </c>
      <c r="E727" s="307">
        <f t="shared" ca="1" si="328"/>
        <v>-1.5954525136571096</v>
      </c>
      <c r="F727" s="304">
        <f t="shared" ca="1" si="329"/>
        <v>1.7504880801790812</v>
      </c>
      <c r="G727" s="306">
        <f t="shared" ca="1" si="330"/>
        <v>9.5957490837082879</v>
      </c>
      <c r="H727" s="307">
        <f t="shared" ca="1" si="331"/>
        <v>-110.42393832393199</v>
      </c>
      <c r="I727" s="304">
        <f t="shared" ca="1" si="332"/>
        <v>110.8400855081095</v>
      </c>
      <c r="J727" s="306">
        <f t="shared" ca="1" si="333"/>
        <v>918.2484916489874</v>
      </c>
      <c r="K727" s="307">
        <f t="shared" ca="1" si="334"/>
        <v>936.21405303833637</v>
      </c>
      <c r="L727" s="304">
        <f t="shared" ca="1" si="319"/>
        <v>1311.3645738398263</v>
      </c>
      <c r="M727" s="306">
        <f t="shared" ca="1" si="335"/>
        <v>-1.4841149052815061</v>
      </c>
      <c r="N727" s="304">
        <f t="shared" ca="1" si="336"/>
        <v>-85.033520385088238</v>
      </c>
      <c r="P727" s="310">
        <f t="shared" ca="1" si="337"/>
        <v>23</v>
      </c>
      <c r="Q727" s="304">
        <f t="shared" ca="1" si="338"/>
        <v>0</v>
      </c>
      <c r="R727" s="306">
        <f t="shared" ca="1" si="339"/>
        <v>0</v>
      </c>
      <c r="S727" s="307">
        <f t="shared" ca="1" si="340"/>
        <v>5.0829999999999913</v>
      </c>
      <c r="T727" s="304">
        <f t="shared" ca="1" si="320"/>
        <v>49.864229999999914</v>
      </c>
      <c r="U727" s="311">
        <f t="shared" ca="1" si="321"/>
        <v>0</v>
      </c>
      <c r="V727" s="306">
        <f t="shared" ca="1" si="322"/>
        <v>1.1154422535930726</v>
      </c>
      <c r="W727" s="304">
        <f t="shared" ca="1" si="323"/>
        <v>42.076948318696743</v>
      </c>
      <c r="Y727" s="314" t="str">
        <f t="shared" ca="1" si="341"/>
        <v/>
      </c>
      <c r="Z727" s="315" t="str">
        <f t="shared" ca="1" si="342"/>
        <v/>
      </c>
      <c r="AA727" s="316" t="str">
        <f t="shared" ca="1" si="343"/>
        <v/>
      </c>
      <c r="AC727" s="310" t="e">
        <f t="shared" ca="1" si="344"/>
        <v>#N/A</v>
      </c>
      <c r="AD727" s="323" t="e">
        <f t="shared" ca="1" si="345"/>
        <v>#N/A</v>
      </c>
      <c r="AE727" s="324" t="e">
        <f t="shared" ca="1" si="324"/>
        <v>#N/A</v>
      </c>
      <c r="AG727" s="306">
        <f t="shared" ca="1" si="346"/>
        <v>1.5264475829779514</v>
      </c>
      <c r="AH727" s="304">
        <f t="shared" ca="1" si="347"/>
        <v>-8.2460614963081955</v>
      </c>
    </row>
    <row r="728" spans="1:34" x14ac:dyDescent="0.2">
      <c r="A728" s="347">
        <f t="shared" ca="1" si="325"/>
        <v>0.1</v>
      </c>
      <c r="B728" s="304">
        <f t="shared" ca="1" si="326"/>
        <v>36.400000000000205</v>
      </c>
      <c r="D728" s="306">
        <f t="shared" ca="1" si="327"/>
        <v>-0.71664843353478203</v>
      </c>
      <c r="E728" s="307">
        <f t="shared" ca="1" si="328"/>
        <v>-1.563104240820218</v>
      </c>
      <c r="F728" s="304">
        <f t="shared" ca="1" si="329"/>
        <v>1.7195580376823596</v>
      </c>
      <c r="G728" s="306">
        <f t="shared" ca="1" si="330"/>
        <v>9.52408424035481</v>
      </c>
      <c r="H728" s="307">
        <f t="shared" ca="1" si="331"/>
        <v>-110.58024874801401</v>
      </c>
      <c r="I728" s="304">
        <f t="shared" ca="1" si="332"/>
        <v>110.98963732614874</v>
      </c>
      <c r="J728" s="306">
        <f t="shared" ca="1" si="333"/>
        <v>919.2044833151906</v>
      </c>
      <c r="K728" s="307">
        <f t="shared" ca="1" si="334"/>
        <v>925.16384368473905</v>
      </c>
      <c r="L728" s="304">
        <f t="shared" ca="1" si="319"/>
        <v>1304.1721588073665</v>
      </c>
      <c r="M728" s="306">
        <f t="shared" ca="1" si="335"/>
        <v>-1.4848800941588021</v>
      </c>
      <c r="N728" s="304">
        <f t="shared" ca="1" si="336"/>
        <v>-85.07736247828764</v>
      </c>
      <c r="P728" s="310">
        <f t="shared" ca="1" si="337"/>
        <v>23</v>
      </c>
      <c r="Q728" s="304">
        <f t="shared" ca="1" si="338"/>
        <v>0</v>
      </c>
      <c r="R728" s="306">
        <f t="shared" ca="1" si="339"/>
        <v>0</v>
      </c>
      <c r="S728" s="307">
        <f t="shared" ca="1" si="340"/>
        <v>5.0829999999999913</v>
      </c>
      <c r="T728" s="304">
        <f t="shared" ca="1" si="320"/>
        <v>49.864229999999914</v>
      </c>
      <c r="U728" s="311">
        <f t="shared" ca="1" si="321"/>
        <v>0</v>
      </c>
      <c r="V728" s="306">
        <f t="shared" ca="1" si="322"/>
        <v>1.116678199800013</v>
      </c>
      <c r="W728" s="304">
        <f t="shared" ca="1" si="323"/>
        <v>42.237318717465619</v>
      </c>
      <c r="Y728" s="314" t="str">
        <f t="shared" ca="1" si="341"/>
        <v/>
      </c>
      <c r="Z728" s="315" t="str">
        <f t="shared" ca="1" si="342"/>
        <v/>
      </c>
      <c r="AA728" s="316" t="str">
        <f t="shared" ca="1" si="343"/>
        <v/>
      </c>
      <c r="AC728" s="310" t="e">
        <f t="shared" ca="1" si="344"/>
        <v>#N/A</v>
      </c>
      <c r="AD728" s="323" t="e">
        <f t="shared" ca="1" si="345"/>
        <v>#N/A</v>
      </c>
      <c r="AE728" s="324" t="e">
        <f t="shared" ca="1" si="324"/>
        <v>#N/A</v>
      </c>
      <c r="AG728" s="306">
        <f t="shared" ca="1" si="346"/>
        <v>1.4951932504657854</v>
      </c>
      <c r="AH728" s="304">
        <f t="shared" ca="1" si="347"/>
        <v>-8.2779752741878454</v>
      </c>
    </row>
    <row r="729" spans="1:34" x14ac:dyDescent="0.2">
      <c r="A729" s="347">
        <f t="shared" ca="1" si="325"/>
        <v>0.1</v>
      </c>
      <c r="B729" s="304">
        <f t="shared" ca="1" si="326"/>
        <v>36.500000000000206</v>
      </c>
      <c r="D729" s="306">
        <f t="shared" ca="1" si="327"/>
        <v>-0.71304514450168865</v>
      </c>
      <c r="E729" s="307">
        <f t="shared" ca="1" si="328"/>
        <v>-1.531124314139527</v>
      </c>
      <c r="F729" s="304">
        <f t="shared" ca="1" si="329"/>
        <v>1.6890159985762927</v>
      </c>
      <c r="G729" s="306">
        <f t="shared" ca="1" si="330"/>
        <v>9.4527797259046409</v>
      </c>
      <c r="H729" s="307">
        <f t="shared" ca="1" si="331"/>
        <v>-110.73336117942797</v>
      </c>
      <c r="I729" s="304">
        <f t="shared" ca="1" si="332"/>
        <v>111.13609819784084</v>
      </c>
      <c r="J729" s="306">
        <f t="shared" ca="1" si="333"/>
        <v>920.15332651350354</v>
      </c>
      <c r="K729" s="307">
        <f t="shared" ca="1" si="334"/>
        <v>914.09816318836693</v>
      </c>
      <c r="L729" s="304">
        <f t="shared" ca="1" si="319"/>
        <v>1297.0187339580768</v>
      </c>
      <c r="M729" s="306">
        <f t="shared" ca="1" si="335"/>
        <v>-1.4856375454309669</v>
      </c>
      <c r="N729" s="304">
        <f t="shared" ca="1" si="336"/>
        <v>-85.1207612393695</v>
      </c>
      <c r="P729" s="310">
        <f t="shared" ca="1" si="337"/>
        <v>23</v>
      </c>
      <c r="Q729" s="304">
        <f t="shared" ca="1" si="338"/>
        <v>0</v>
      </c>
      <c r="R729" s="306">
        <f t="shared" ca="1" si="339"/>
        <v>0</v>
      </c>
      <c r="S729" s="307">
        <f t="shared" ca="1" si="340"/>
        <v>5.0829999999999913</v>
      </c>
      <c r="T729" s="304">
        <f t="shared" ca="1" si="320"/>
        <v>49.864229999999914</v>
      </c>
      <c r="U729" s="311">
        <f t="shared" ca="1" si="321"/>
        <v>0</v>
      </c>
      <c r="V729" s="306">
        <f t="shared" ca="1" si="322"/>
        <v>1.1179171852242051</v>
      </c>
      <c r="W729" s="304">
        <f t="shared" ca="1" si="323"/>
        <v>42.395851434690222</v>
      </c>
      <c r="Y729" s="314" t="str">
        <f t="shared" ca="1" si="341"/>
        <v/>
      </c>
      <c r="Z729" s="315" t="str">
        <f t="shared" ca="1" si="342"/>
        <v/>
      </c>
      <c r="AA729" s="316" t="str">
        <f t="shared" ca="1" si="343"/>
        <v/>
      </c>
      <c r="AC729" s="310" t="e">
        <f t="shared" ca="1" si="344"/>
        <v>#N/A</v>
      </c>
      <c r="AD729" s="323" t="e">
        <f t="shared" ca="1" si="345"/>
        <v>#N/A</v>
      </c>
      <c r="AE729" s="324" t="e">
        <f t="shared" ca="1" si="324"/>
        <v>#N/A</v>
      </c>
      <c r="AG729" s="306">
        <f t="shared" ca="1" si="346"/>
        <v>1.4642899050178428</v>
      </c>
      <c r="AH729" s="304">
        <f t="shared" ca="1" si="347"/>
        <v>-8.3095256182305111</v>
      </c>
    </row>
    <row r="730" spans="1:34" x14ac:dyDescent="0.2">
      <c r="A730" s="347">
        <f t="shared" ca="1" si="325"/>
        <v>0.1</v>
      </c>
      <c r="B730" s="304">
        <f t="shared" ca="1" si="326"/>
        <v>36.600000000000207</v>
      </c>
      <c r="D730" s="306">
        <f t="shared" ca="1" si="327"/>
        <v>-0.70942688755309102</v>
      </c>
      <c r="E730" s="307">
        <f t="shared" ca="1" si="328"/>
        <v>-1.4995108055322994</v>
      </c>
      <c r="F730" s="304">
        <f t="shared" ca="1" si="329"/>
        <v>1.6588608032898333</v>
      </c>
      <c r="G730" s="306">
        <f t="shared" ca="1" si="330"/>
        <v>9.3818370371493316</v>
      </c>
      <c r="H730" s="307">
        <f t="shared" ca="1" si="331"/>
        <v>-110.88331225998121</v>
      </c>
      <c r="I730" s="304">
        <f t="shared" ca="1" si="332"/>
        <v>111.27950307193201</v>
      </c>
      <c r="J730" s="306">
        <f t="shared" ca="1" si="333"/>
        <v>921.09505735165624</v>
      </c>
      <c r="K730" s="307">
        <f t="shared" ca="1" si="334"/>
        <v>903.01732951639644</v>
      </c>
      <c r="L730" s="304">
        <f t="shared" ca="1" si="319"/>
        <v>1289.9055787477528</v>
      </c>
      <c r="M730" s="306">
        <f t="shared" ca="1" si="335"/>
        <v>-1.4863873675765682</v>
      </c>
      <c r="N730" s="304">
        <f t="shared" ca="1" si="336"/>
        <v>-85.163722883697901</v>
      </c>
      <c r="P730" s="310">
        <f t="shared" ca="1" si="337"/>
        <v>23</v>
      </c>
      <c r="Q730" s="304">
        <f t="shared" ca="1" si="338"/>
        <v>0</v>
      </c>
      <c r="R730" s="306">
        <f t="shared" ca="1" si="339"/>
        <v>0</v>
      </c>
      <c r="S730" s="307">
        <f t="shared" ca="1" si="340"/>
        <v>5.0829999999999913</v>
      </c>
      <c r="T730" s="304">
        <f t="shared" ca="1" si="320"/>
        <v>49.864229999999914</v>
      </c>
      <c r="U730" s="311">
        <f t="shared" ca="1" si="321"/>
        <v>0</v>
      </c>
      <c r="V730" s="306">
        <f t="shared" ca="1" si="322"/>
        <v>1.1191591817851518</v>
      </c>
      <c r="W730" s="304">
        <f t="shared" ca="1" si="323"/>
        <v>42.552556377452454</v>
      </c>
      <c r="Y730" s="314" t="str">
        <f t="shared" ca="1" si="341"/>
        <v/>
      </c>
      <c r="Z730" s="315" t="str">
        <f t="shared" ca="1" si="342"/>
        <v/>
      </c>
      <c r="AA730" s="316" t="str">
        <f t="shared" ca="1" si="343"/>
        <v/>
      </c>
      <c r="AC730" s="310" t="e">
        <f t="shared" ca="1" si="344"/>
        <v>#N/A</v>
      </c>
      <c r="AD730" s="323" t="e">
        <f t="shared" ca="1" si="345"/>
        <v>#N/A</v>
      </c>
      <c r="AE730" s="324" t="e">
        <f t="shared" ca="1" si="324"/>
        <v>#N/A</v>
      </c>
      <c r="AG730" s="306">
        <f t="shared" ca="1" si="346"/>
        <v>1.4337359157430374</v>
      </c>
      <c r="AH730" s="304">
        <f t="shared" ca="1" si="347"/>
        <v>-8.3407144274425136</v>
      </c>
    </row>
    <row r="731" spans="1:34" x14ac:dyDescent="0.2">
      <c r="A731" s="347">
        <f t="shared" ca="1" si="325"/>
        <v>0.1</v>
      </c>
      <c r="B731" s="304">
        <f t="shared" ca="1" si="326"/>
        <v>36.700000000000209</v>
      </c>
      <c r="D731" s="306">
        <f t="shared" ca="1" si="327"/>
        <v>-0.70579447349997093</v>
      </c>
      <c r="E731" s="307">
        <f t="shared" ca="1" si="328"/>
        <v>-1.4682617363127921</v>
      </c>
      <c r="F731" s="304">
        <f t="shared" ca="1" si="329"/>
        <v>1.629091269740083</v>
      </c>
      <c r="G731" s="306">
        <f t="shared" ca="1" si="330"/>
        <v>9.3112575897993342</v>
      </c>
      <c r="H731" s="307">
        <f t="shared" ca="1" si="331"/>
        <v>-111.03013843361249</v>
      </c>
      <c r="I731" s="304">
        <f t="shared" ca="1" si="332"/>
        <v>111.41988672804666</v>
      </c>
      <c r="J731" s="306">
        <f t="shared" ca="1" si="333"/>
        <v>922.02971208300369</v>
      </c>
      <c r="K731" s="307">
        <f t="shared" ca="1" si="334"/>
        <v>891.92165698171675</v>
      </c>
      <c r="L731" s="304">
        <f t="shared" ca="1" si="319"/>
        <v>1282.8339846437177</v>
      </c>
      <c r="M731" s="306">
        <f t="shared" ca="1" si="335"/>
        <v>-1.4871296668611904</v>
      </c>
      <c r="N731" s="304">
        <f t="shared" ca="1" si="336"/>
        <v>-85.206253499842333</v>
      </c>
      <c r="P731" s="310">
        <f t="shared" ca="1" si="337"/>
        <v>23</v>
      </c>
      <c r="Q731" s="304">
        <f t="shared" ca="1" si="338"/>
        <v>0</v>
      </c>
      <c r="R731" s="306">
        <f t="shared" ca="1" si="339"/>
        <v>0</v>
      </c>
      <c r="S731" s="307">
        <f t="shared" ca="1" si="340"/>
        <v>5.0829999999999913</v>
      </c>
      <c r="T731" s="304">
        <f t="shared" ca="1" si="320"/>
        <v>49.864229999999914</v>
      </c>
      <c r="U731" s="311">
        <f t="shared" ca="1" si="321"/>
        <v>0</v>
      </c>
      <c r="V731" s="306">
        <f t="shared" ca="1" si="322"/>
        <v>1.1204041616906528</v>
      </c>
      <c r="W731" s="304">
        <f t="shared" ca="1" si="323"/>
        <v>42.70744369701206</v>
      </c>
      <c r="Y731" s="314" t="str">
        <f t="shared" ca="1" si="341"/>
        <v/>
      </c>
      <c r="Z731" s="315" t="str">
        <f t="shared" ca="1" si="342"/>
        <v/>
      </c>
      <c r="AA731" s="316" t="str">
        <f t="shared" ca="1" si="343"/>
        <v/>
      </c>
      <c r="AC731" s="310" t="e">
        <f t="shared" ca="1" si="344"/>
        <v>#N/A</v>
      </c>
      <c r="AD731" s="323" t="e">
        <f t="shared" ca="1" si="345"/>
        <v>#N/A</v>
      </c>
      <c r="AE731" s="324" t="e">
        <f t="shared" ca="1" si="324"/>
        <v>#N/A</v>
      </c>
      <c r="AG731" s="306">
        <f t="shared" ca="1" si="346"/>
        <v>1.4035295947888766</v>
      </c>
      <c r="AH731" s="304">
        <f t="shared" ca="1" si="347"/>
        <v>-8.3715436508858012</v>
      </c>
    </row>
    <row r="732" spans="1:34" x14ac:dyDescent="0.2">
      <c r="A732" s="347">
        <f t="shared" ca="1" si="325"/>
        <v>0.1</v>
      </c>
      <c r="B732" s="304">
        <f t="shared" ca="1" si="326"/>
        <v>36.80000000000021</v>
      </c>
      <c r="D732" s="306">
        <f t="shared" ca="1" si="327"/>
        <v>-0.70214869980228711</v>
      </c>
      <c r="E732" s="307">
        <f t="shared" ca="1" si="328"/>
        <v>-1.4373750792336324</v>
      </c>
      <c r="F732" s="304">
        <f t="shared" ca="1" si="329"/>
        <v>1.5997061964735693</v>
      </c>
      <c r="G732" s="306">
        <f t="shared" ca="1" si="330"/>
        <v>9.2410427198191059</v>
      </c>
      <c r="H732" s="307">
        <f t="shared" ca="1" si="331"/>
        <v>-111.17387594153585</v>
      </c>
      <c r="I732" s="304">
        <f t="shared" ca="1" si="332"/>
        <v>111.55728377122458</v>
      </c>
      <c r="J732" s="306">
        <f t="shared" ca="1" si="333"/>
        <v>922.9573270984846</v>
      </c>
      <c r="K732" s="307">
        <f t="shared" ca="1" si="334"/>
        <v>880.81145626295938</v>
      </c>
      <c r="L732" s="304">
        <f t="shared" ca="1" si="319"/>
        <v>1275.8052551737096</v>
      </c>
      <c r="M732" s="306">
        <f t="shared" ca="1" si="335"/>
        <v>-1.4878645473953518</v>
      </c>
      <c r="N732" s="304">
        <f t="shared" ca="1" si="336"/>
        <v>-85.248359052896106</v>
      </c>
      <c r="P732" s="310">
        <f t="shared" ca="1" si="337"/>
        <v>23</v>
      </c>
      <c r="Q732" s="304">
        <f t="shared" ca="1" si="338"/>
        <v>0</v>
      </c>
      <c r="R732" s="306">
        <f t="shared" ca="1" si="339"/>
        <v>0</v>
      </c>
      <c r="S732" s="307">
        <f t="shared" ca="1" si="340"/>
        <v>5.0829999999999913</v>
      </c>
      <c r="T732" s="304">
        <f t="shared" ca="1" si="320"/>
        <v>49.864229999999914</v>
      </c>
      <c r="U732" s="311">
        <f t="shared" ca="1" si="321"/>
        <v>0</v>
      </c>
      <c r="V732" s="306">
        <f t="shared" ca="1" si="322"/>
        <v>1.1216520974357542</v>
      </c>
      <c r="W732" s="304">
        <f t="shared" ca="1" si="323"/>
        <v>42.860523778730524</v>
      </c>
      <c r="Y732" s="314" t="str">
        <f t="shared" ca="1" si="341"/>
        <v/>
      </c>
      <c r="Z732" s="315" t="str">
        <f t="shared" ca="1" si="342"/>
        <v/>
      </c>
      <c r="AA732" s="316" t="str">
        <f t="shared" ca="1" si="343"/>
        <v/>
      </c>
      <c r="AC732" s="310" t="e">
        <f t="shared" ca="1" si="344"/>
        <v>#N/A</v>
      </c>
      <c r="AD732" s="323" t="e">
        <f t="shared" ca="1" si="345"/>
        <v>#N/A</v>
      </c>
      <c r="AE732" s="324" t="e">
        <f t="shared" ca="1" si="324"/>
        <v>#N/A</v>
      </c>
      <c r="AG732" s="306">
        <f t="shared" ca="1" si="346"/>
        <v>1.3736691995721291</v>
      </c>
      <c r="AH732" s="304">
        <f t="shared" ca="1" si="347"/>
        <v>-8.4020152856604629</v>
      </c>
    </row>
    <row r="733" spans="1:34" x14ac:dyDescent="0.2">
      <c r="A733" s="347">
        <f t="shared" ca="1" si="325"/>
        <v>0.1</v>
      </c>
      <c r="B733" s="304">
        <f t="shared" ca="1" si="326"/>
        <v>36.900000000000212</v>
      </c>
      <c r="D733" s="306">
        <f t="shared" ca="1" si="327"/>
        <v>-0.69849035061289499</v>
      </c>
      <c r="E733" s="307">
        <f t="shared" ca="1" si="328"/>
        <v>-1.4068487604916022</v>
      </c>
      <c r="F733" s="304">
        <f t="shared" ca="1" si="329"/>
        <v>1.5707043658168403</v>
      </c>
      <c r="G733" s="306">
        <f t="shared" ca="1" si="330"/>
        <v>9.1711936847578155</v>
      </c>
      <c r="H733" s="307">
        <f t="shared" ca="1" si="331"/>
        <v>-111.31456081758502</v>
      </c>
      <c r="I733" s="304">
        <f t="shared" ca="1" si="332"/>
        <v>111.69172862667664</v>
      </c>
      <c r="J733" s="306">
        <f t="shared" ca="1" si="333"/>
        <v>923.87793891871343</v>
      </c>
      <c r="K733" s="307">
        <f t="shared" ca="1" si="334"/>
        <v>869.68703442500339</v>
      </c>
      <c r="L733" s="304">
        <f t="shared" ca="1" si="319"/>
        <v>1268.8207059579565</v>
      </c>
      <c r="M733" s="306">
        <f t="shared" ca="1" si="335"/>
        <v>-1.4885921111906393</v>
      </c>
      <c r="N733" s="304">
        <f t="shared" ca="1" si="336"/>
        <v>-85.290045387692587</v>
      </c>
      <c r="P733" s="310">
        <f t="shared" ca="1" si="337"/>
        <v>23</v>
      </c>
      <c r="Q733" s="304">
        <f t="shared" ca="1" si="338"/>
        <v>0</v>
      </c>
      <c r="R733" s="306">
        <f t="shared" ca="1" si="339"/>
        <v>0</v>
      </c>
      <c r="S733" s="307">
        <f t="shared" ca="1" si="340"/>
        <v>5.0829999999999913</v>
      </c>
      <c r="T733" s="304">
        <f t="shared" ca="1" si="320"/>
        <v>49.864229999999914</v>
      </c>
      <c r="U733" s="311">
        <f t="shared" ca="1" si="321"/>
        <v>0</v>
      </c>
      <c r="V733" s="306">
        <f t="shared" ca="1" si="322"/>
        <v>1.1229029618016522</v>
      </c>
      <c r="W733" s="304">
        <f t="shared" ca="1" si="323"/>
        <v>43.011807232175165</v>
      </c>
      <c r="Y733" s="314" t="str">
        <f t="shared" ca="1" si="341"/>
        <v/>
      </c>
      <c r="Z733" s="315" t="str">
        <f t="shared" ca="1" si="342"/>
        <v/>
      </c>
      <c r="AA733" s="316" t="str">
        <f t="shared" ca="1" si="343"/>
        <v/>
      </c>
      <c r="AC733" s="310" t="e">
        <f t="shared" ca="1" si="344"/>
        <v>#N/A</v>
      </c>
      <c r="AD733" s="323" t="e">
        <f t="shared" ca="1" si="345"/>
        <v>#N/A</v>
      </c>
      <c r="AE733" s="324" t="e">
        <f t="shared" ca="1" si="324"/>
        <v>#N/A</v>
      </c>
      <c r="AG733" s="306">
        <f t="shared" ca="1" si="346"/>
        <v>1.3441529349666741</v>
      </c>
      <c r="AH733" s="304">
        <f t="shared" ca="1" si="347"/>
        <v>-8.4321313749224078</v>
      </c>
    </row>
    <row r="734" spans="1:34" x14ac:dyDescent="0.2">
      <c r="A734" s="347">
        <f t="shared" ca="1" si="325"/>
        <v>0.1</v>
      </c>
      <c r="B734" s="304">
        <f t="shared" ca="1" si="326"/>
        <v>37.000000000000213</v>
      </c>
      <c r="D734" s="306">
        <f t="shared" ca="1" si="327"/>
        <v>-0.69482019682699503</v>
      </c>
      <c r="E734" s="307">
        <f t="shared" ca="1" si="328"/>
        <v>-1.3766806616975895</v>
      </c>
      <c r="F734" s="304">
        <f t="shared" ca="1" si="329"/>
        <v>1.5420845470371645</v>
      </c>
      <c r="G734" s="306">
        <f t="shared" ca="1" si="330"/>
        <v>9.1017116650751166</v>
      </c>
      <c r="H734" s="307">
        <f t="shared" ca="1" si="331"/>
        <v>-111.45222888375477</v>
      </c>
      <c r="I734" s="304">
        <f t="shared" ca="1" si="332"/>
        <v>111.82325553475459</v>
      </c>
      <c r="J734" s="306">
        <f t="shared" ca="1" si="333"/>
        <v>924.79158418620511</v>
      </c>
      <c r="K734" s="307">
        <f t="shared" ca="1" si="334"/>
        <v>858.54869493993635</v>
      </c>
      <c r="L734" s="304">
        <f t="shared" ca="1" si="319"/>
        <v>1261.8816647232413</v>
      </c>
      <c r="M734" s="306">
        <f t="shared" ca="1" si="335"/>
        <v>-1.4893124582141319</v>
      </c>
      <c r="N734" s="304">
        <f t="shared" ca="1" si="336"/>
        <v>-85.331318231923532</v>
      </c>
      <c r="P734" s="310">
        <f t="shared" ca="1" si="337"/>
        <v>23</v>
      </c>
      <c r="Q734" s="304">
        <f t="shared" ca="1" si="338"/>
        <v>0</v>
      </c>
      <c r="R734" s="306">
        <f t="shared" ca="1" si="339"/>
        <v>0</v>
      </c>
      <c r="S734" s="307">
        <f t="shared" ca="1" si="340"/>
        <v>5.0829999999999913</v>
      </c>
      <c r="T734" s="304">
        <f t="shared" ca="1" si="320"/>
        <v>49.864229999999914</v>
      </c>
      <c r="U734" s="311">
        <f t="shared" ca="1" si="321"/>
        <v>0</v>
      </c>
      <c r="V734" s="306">
        <f t="shared" ca="1" si="322"/>
        <v>1.1241567278545552</v>
      </c>
      <c r="W734" s="304">
        <f t="shared" ca="1" si="323"/>
        <v>43.161304881403609</v>
      </c>
      <c r="Y734" s="314" t="str">
        <f t="shared" ca="1" si="341"/>
        <v/>
      </c>
      <c r="Z734" s="315" t="str">
        <f t="shared" ca="1" si="342"/>
        <v/>
      </c>
      <c r="AA734" s="316" t="str">
        <f t="shared" ca="1" si="343"/>
        <v/>
      </c>
      <c r="AC734" s="310">
        <f t="shared" ca="1" si="344"/>
        <v>37.000000000000213</v>
      </c>
      <c r="AD734" s="323">
        <f t="shared" ca="1" si="345"/>
        <v>924.79158418620511</v>
      </c>
      <c r="AE734" s="324" t="e">
        <f t="shared" ca="1" si="324"/>
        <v>#N/A</v>
      </c>
      <c r="AG734" s="306">
        <f t="shared" ca="1" si="346"/>
        <v>1.3149789554485274</v>
      </c>
      <c r="AH734" s="304">
        <f t="shared" ca="1" si="347"/>
        <v>-8.461894005936502</v>
      </c>
    </row>
    <row r="735" spans="1:34" x14ac:dyDescent="0.2">
      <c r="A735" s="347">
        <f t="shared" ca="1" si="325"/>
        <v>0.1</v>
      </c>
      <c r="B735" s="304">
        <f t="shared" ca="1" si="326"/>
        <v>37.100000000000215</v>
      </c>
      <c r="D735" s="306">
        <f t="shared" ca="1" si="327"/>
        <v>-0.69113899613681962</v>
      </c>
      <c r="E735" s="307">
        <f t="shared" ca="1" si="328"/>
        <v>-1.3468686218106356</v>
      </c>
      <c r="F735" s="304">
        <f t="shared" ca="1" si="329"/>
        <v>1.5138454995140989</v>
      </c>
      <c r="G735" s="306">
        <f t="shared" ca="1" si="330"/>
        <v>9.0325977654614356</v>
      </c>
      <c r="H735" s="307">
        <f t="shared" ca="1" si="331"/>
        <v>-111.58691574593584</v>
      </c>
      <c r="I735" s="304">
        <f t="shared" ca="1" si="332"/>
        <v>111.95189854613098</v>
      </c>
      <c r="J735" s="306">
        <f t="shared" ca="1" si="333"/>
        <v>925.69829965773192</v>
      </c>
      <c r="K735" s="307">
        <f t="shared" ca="1" si="334"/>
        <v>847.39673770845184</v>
      </c>
      <c r="L735" s="304">
        <f t="shared" ca="1" si="319"/>
        <v>1254.9894712977248</v>
      </c>
      <c r="M735" s="306">
        <f t="shared" ca="1" si="335"/>
        <v>-1.4900256864411658</v>
      </c>
      <c r="N735" s="304">
        <f t="shared" ca="1" si="336"/>
        <v>-85.37218319916218</v>
      </c>
      <c r="P735" s="310">
        <f t="shared" ca="1" si="337"/>
        <v>23</v>
      </c>
      <c r="Q735" s="304">
        <f t="shared" ca="1" si="338"/>
        <v>0</v>
      </c>
      <c r="R735" s="306">
        <f t="shared" ca="1" si="339"/>
        <v>0</v>
      </c>
      <c r="S735" s="307">
        <f t="shared" ca="1" si="340"/>
        <v>5.0829999999999913</v>
      </c>
      <c r="T735" s="304">
        <f t="shared" ca="1" si="320"/>
        <v>49.864229999999914</v>
      </c>
      <c r="U735" s="311">
        <f t="shared" ca="1" si="321"/>
        <v>0</v>
      </c>
      <c r="V735" s="306">
        <f t="shared" ca="1" si="322"/>
        <v>1.1254133689445047</v>
      </c>
      <c r="W735" s="304">
        <f t="shared" ca="1" si="323"/>
        <v>43.309027755429263</v>
      </c>
      <c r="Y735" s="314" t="str">
        <f t="shared" ca="1" si="341"/>
        <v/>
      </c>
      <c r="Z735" s="315" t="str">
        <f t="shared" ca="1" si="342"/>
        <v/>
      </c>
      <c r="AA735" s="316" t="str">
        <f t="shared" ca="1" si="343"/>
        <v/>
      </c>
      <c r="AC735" s="310" t="e">
        <f t="shared" ca="1" si="344"/>
        <v>#N/A</v>
      </c>
      <c r="AD735" s="323" t="e">
        <f t="shared" ca="1" si="345"/>
        <v>#N/A</v>
      </c>
      <c r="AE735" s="324" t="e">
        <f t="shared" ca="1" si="324"/>
        <v>#N/A</v>
      </c>
      <c r="AG735" s="306">
        <f t="shared" ca="1" si="346"/>
        <v>1.2861453671983281</v>
      </c>
      <c r="AH735" s="304">
        <f t="shared" ca="1" si="347"/>
        <v>-8.4913053081651952</v>
      </c>
    </row>
    <row r="736" spans="1:34" x14ac:dyDescent="0.2">
      <c r="A736" s="347">
        <f t="shared" ca="1" si="325"/>
        <v>0.1</v>
      </c>
      <c r="B736" s="304">
        <f t="shared" ca="1" si="326"/>
        <v>37.200000000000216</v>
      </c>
      <c r="D736" s="306">
        <f t="shared" ca="1" si="327"/>
        <v>-0.68744749309139974</v>
      </c>
      <c r="E736" s="307">
        <f t="shared" ca="1" si="328"/>
        <v>-1.3174104390359656</v>
      </c>
      <c r="F736" s="304">
        <f t="shared" ca="1" si="329"/>
        <v>1.4859859759225811</v>
      </c>
      <c r="G736" s="306">
        <f t="shared" ca="1" si="330"/>
        <v>8.9638530161522958</v>
      </c>
      <c r="H736" s="307">
        <f t="shared" ca="1" si="331"/>
        <v>-111.71865678983944</v>
      </c>
      <c r="I736" s="304">
        <f t="shared" ca="1" si="332"/>
        <v>112.07769151718429</v>
      </c>
      <c r="J736" s="306">
        <f t="shared" ca="1" si="333"/>
        <v>926.5981221968126</v>
      </c>
      <c r="K736" s="307">
        <f t="shared" ca="1" si="334"/>
        <v>836.23145908166305</v>
      </c>
      <c r="L736" s="304">
        <f t="shared" ca="1" si="319"/>
        <v>1248.1454775852478</v>
      </c>
      <c r="M736" s="306">
        <f t="shared" ca="1" si="335"/>
        <v>-1.490731891906502</v>
      </c>
      <c r="N736" s="304">
        <f t="shared" ca="1" si="336"/>
        <v>-85.412645791795015</v>
      </c>
      <c r="P736" s="310">
        <f t="shared" ca="1" si="337"/>
        <v>23</v>
      </c>
      <c r="Q736" s="304">
        <f t="shared" ca="1" si="338"/>
        <v>0</v>
      </c>
      <c r="R736" s="306">
        <f t="shared" ca="1" si="339"/>
        <v>0</v>
      </c>
      <c r="S736" s="307">
        <f t="shared" ca="1" si="340"/>
        <v>5.0829999999999913</v>
      </c>
      <c r="T736" s="304">
        <f t="shared" ca="1" si="320"/>
        <v>49.864229999999914</v>
      </c>
      <c r="U736" s="311">
        <f t="shared" ca="1" si="321"/>
        <v>0</v>
      </c>
      <c r="V736" s="306">
        <f t="shared" ca="1" si="322"/>
        <v>1.1266728587041539</v>
      </c>
      <c r="W736" s="304">
        <f t="shared" ca="1" si="323"/>
        <v>43.454987078867511</v>
      </c>
      <c r="Y736" s="314" t="str">
        <f t="shared" ca="1" si="341"/>
        <v/>
      </c>
      <c r="Z736" s="315" t="str">
        <f t="shared" ca="1" si="342"/>
        <v/>
      </c>
      <c r="AA736" s="316" t="str">
        <f t="shared" ca="1" si="343"/>
        <v/>
      </c>
      <c r="AC736" s="310" t="e">
        <f t="shared" ca="1" si="344"/>
        <v>#N/A</v>
      </c>
      <c r="AD736" s="323" t="e">
        <f t="shared" ca="1" si="345"/>
        <v>#N/A</v>
      </c>
      <c r="AE736" s="324" t="e">
        <f t="shared" ca="1" si="324"/>
        <v>#N/A</v>
      </c>
      <c r="AG736" s="306">
        <f t="shared" ca="1" si="346"/>
        <v>1.2576502301614525</v>
      </c>
      <c r="AH736" s="304">
        <f t="shared" ca="1" si="347"/>
        <v>-8.5203674513927474</v>
      </c>
    </row>
    <row r="737" spans="1:34" x14ac:dyDescent="0.2">
      <c r="A737" s="347">
        <f t="shared" ca="1" si="325"/>
        <v>0.1</v>
      </c>
      <c r="B737" s="304">
        <f t="shared" ca="1" si="326"/>
        <v>37.300000000000217</v>
      </c>
      <c r="D737" s="306">
        <f t="shared" ca="1" si="327"/>
        <v>-0.68374641916116163</v>
      </c>
      <c r="E737" s="307">
        <f t="shared" ca="1" si="328"/>
        <v>-1.2883038726870542</v>
      </c>
      <c r="F737" s="304">
        <f t="shared" ca="1" si="329"/>
        <v>1.4585047254281258</v>
      </c>
      <c r="G737" s="306">
        <f t="shared" ca="1" si="330"/>
        <v>8.8954783742361805</v>
      </c>
      <c r="H737" s="307">
        <f t="shared" ca="1" si="331"/>
        <v>-111.84748717710815</v>
      </c>
      <c r="I737" s="304">
        <f t="shared" ca="1" si="332"/>
        <v>112.20066810558605</v>
      </c>
      <c r="J737" s="306">
        <f t="shared" ca="1" si="333"/>
        <v>927.49108876633204</v>
      </c>
      <c r="K737" s="307">
        <f t="shared" ca="1" si="334"/>
        <v>825.05315188331565</v>
      </c>
      <c r="L737" s="304">
        <f t="shared" ca="1" si="319"/>
        <v>1241.3510475178041</v>
      </c>
      <c r="M737" s="306">
        <f t="shared" ca="1" si="335"/>
        <v>-1.4914311687539517</v>
      </c>
      <c r="N737" s="304">
        <f t="shared" ca="1" si="336"/>
        <v>-85.452711403865081</v>
      </c>
      <c r="P737" s="310">
        <f t="shared" ca="1" si="337"/>
        <v>23</v>
      </c>
      <c r="Q737" s="304">
        <f t="shared" ca="1" si="338"/>
        <v>0</v>
      </c>
      <c r="R737" s="306">
        <f t="shared" ca="1" si="339"/>
        <v>0</v>
      </c>
      <c r="S737" s="307">
        <f t="shared" ca="1" si="340"/>
        <v>5.0829999999999913</v>
      </c>
      <c r="T737" s="304">
        <f t="shared" ca="1" si="320"/>
        <v>49.864229999999914</v>
      </c>
      <c r="U737" s="311">
        <f t="shared" ca="1" si="321"/>
        <v>0</v>
      </c>
      <c r="V737" s="306">
        <f t="shared" ca="1" si="322"/>
        <v>1.1279351710475072</v>
      </c>
      <c r="W737" s="304">
        <f t="shared" ca="1" si="323"/>
        <v>43.599194262763234</v>
      </c>
      <c r="Y737" s="314" t="str">
        <f t="shared" ca="1" si="341"/>
        <v/>
      </c>
      <c r="Z737" s="315" t="str">
        <f t="shared" ca="1" si="342"/>
        <v/>
      </c>
      <c r="AA737" s="316" t="str">
        <f t="shared" ca="1" si="343"/>
        <v/>
      </c>
      <c r="AC737" s="310" t="e">
        <f t="shared" ca="1" si="344"/>
        <v>#N/A</v>
      </c>
      <c r="AD737" s="323" t="e">
        <f t="shared" ca="1" si="345"/>
        <v>#N/A</v>
      </c>
      <c r="AE737" s="324" t="e">
        <f t="shared" ca="1" si="324"/>
        <v>#N/A</v>
      </c>
      <c r="AG737" s="306">
        <f t="shared" ca="1" si="346"/>
        <v>1.2294915600660534</v>
      </c>
      <c r="AH737" s="304">
        <f t="shared" ca="1" si="347"/>
        <v>-8.5490826438850256</v>
      </c>
    </row>
    <row r="738" spans="1:34" x14ac:dyDescent="0.2">
      <c r="A738" s="347">
        <f t="shared" ca="1" si="325"/>
        <v>0.1</v>
      </c>
      <c r="B738" s="304">
        <f t="shared" ca="1" si="326"/>
        <v>37.400000000000219</v>
      </c>
      <c r="D738" s="306">
        <f t="shared" ca="1" si="327"/>
        <v>-0.68003649280715972</v>
      </c>
      <c r="E738" s="307">
        <f t="shared" ca="1" si="328"/>
        <v>-1.259546645011616</v>
      </c>
      <c r="F738" s="304">
        <f t="shared" ca="1" si="329"/>
        <v>1.4314004968943808</v>
      </c>
      <c r="G738" s="306">
        <f t="shared" ca="1" si="330"/>
        <v>8.827474724955465</v>
      </c>
      <c r="H738" s="307">
        <f t="shared" ca="1" si="331"/>
        <v>-111.97344184160931</v>
      </c>
      <c r="I738" s="304">
        <f t="shared" ca="1" si="332"/>
        <v>112.32086176608507</v>
      </c>
      <c r="J738" s="306">
        <f t="shared" ca="1" si="333"/>
        <v>928.37723642129163</v>
      </c>
      <c r="K738" s="307">
        <f t="shared" ca="1" si="334"/>
        <v>813.86210543237974</v>
      </c>
      <c r="L738" s="304">
        <f t="shared" ca="1" si="319"/>
        <v>1234.6075569848342</v>
      </c>
      <c r="M738" s="306">
        <f t="shared" ca="1" si="335"/>
        <v>-1.4921236092845116</v>
      </c>
      <c r="N738" s="304">
        <f t="shared" ca="1" si="336"/>
        <v>-85.492385323829978</v>
      </c>
      <c r="P738" s="310">
        <f t="shared" ca="1" si="337"/>
        <v>23</v>
      </c>
      <c r="Q738" s="304">
        <f t="shared" ca="1" si="338"/>
        <v>0</v>
      </c>
      <c r="R738" s="306">
        <f t="shared" ca="1" si="339"/>
        <v>0</v>
      </c>
      <c r="S738" s="307">
        <f t="shared" ca="1" si="340"/>
        <v>5.0829999999999913</v>
      </c>
      <c r="T738" s="304">
        <f t="shared" ca="1" si="320"/>
        <v>49.864229999999914</v>
      </c>
      <c r="U738" s="311">
        <f t="shared" ca="1" si="321"/>
        <v>0</v>
      </c>
      <c r="V738" s="306">
        <f t="shared" ca="1" si="322"/>
        <v>1.1292002801686232</v>
      </c>
      <c r="W738" s="304">
        <f t="shared" ca="1" si="323"/>
        <v>43.741660895599182</v>
      </c>
      <c r="Y738" s="314" t="str">
        <f t="shared" ca="1" si="341"/>
        <v/>
      </c>
      <c r="Z738" s="315" t="str">
        <f t="shared" ca="1" si="342"/>
        <v/>
      </c>
      <c r="AA738" s="316" t="str">
        <f t="shared" ca="1" si="343"/>
        <v/>
      </c>
      <c r="AC738" s="310" t="e">
        <f t="shared" ca="1" si="344"/>
        <v>#N/A</v>
      </c>
      <c r="AD738" s="323" t="e">
        <f t="shared" ca="1" si="345"/>
        <v>#N/A</v>
      </c>
      <c r="AE738" s="324" t="e">
        <f t="shared" ca="1" si="324"/>
        <v>#N/A</v>
      </c>
      <c r="AG738" s="306">
        <f t="shared" ca="1" si="346"/>
        <v>1.2016673303992214</v>
      </c>
      <c r="AH738" s="304">
        <f t="shared" ca="1" si="347"/>
        <v>-8.5774531305849511</v>
      </c>
    </row>
    <row r="739" spans="1:34" x14ac:dyDescent="0.2">
      <c r="A739" s="347">
        <f t="shared" ca="1" si="325"/>
        <v>0.1</v>
      </c>
      <c r="B739" s="304">
        <f t="shared" ca="1" si="326"/>
        <v>37.50000000000022</v>
      </c>
      <c r="D739" s="306">
        <f t="shared" ca="1" si="327"/>
        <v>-0.67631841955473826</v>
      </c>
      <c r="E739" s="307">
        <f t="shared" ca="1" si="328"/>
        <v>-1.2311364429815921</v>
      </c>
      <c r="F739" s="304">
        <f t="shared" ca="1" si="329"/>
        <v>1.4046720421032042</v>
      </c>
      <c r="G739" s="306">
        <f t="shared" ca="1" si="330"/>
        <v>8.7598428829999904</v>
      </c>
      <c r="H739" s="307">
        <f t="shared" ca="1" si="331"/>
        <v>-112.09655548590747</v>
      </c>
      <c r="I739" s="304">
        <f t="shared" ca="1" si="332"/>
        <v>112.43830574648472</v>
      </c>
      <c r="J739" s="306">
        <f t="shared" ca="1" si="333"/>
        <v>929.25660230168944</v>
      </c>
      <c r="K739" s="307">
        <f t="shared" ca="1" si="334"/>
        <v>802.65860556600387</v>
      </c>
      <c r="L739" s="304">
        <f t="shared" ca="1" si="319"/>
        <v>1227.9163937379622</v>
      </c>
      <c r="M739" s="306">
        <f t="shared" ca="1" si="335"/>
        <v>-1.4928093040030619</v>
      </c>
      <c r="N739" s="304">
        <f t="shared" ca="1" si="336"/>
        <v>-85.531672737237315</v>
      </c>
      <c r="P739" s="310">
        <f t="shared" ca="1" si="337"/>
        <v>23</v>
      </c>
      <c r="Q739" s="304">
        <f t="shared" ca="1" si="338"/>
        <v>0</v>
      </c>
      <c r="R739" s="306">
        <f t="shared" ca="1" si="339"/>
        <v>0</v>
      </c>
      <c r="S739" s="307">
        <f t="shared" ca="1" si="340"/>
        <v>5.0829999999999913</v>
      </c>
      <c r="T739" s="304">
        <f t="shared" ca="1" si="320"/>
        <v>49.864229999999914</v>
      </c>
      <c r="U739" s="311">
        <f t="shared" ca="1" si="321"/>
        <v>0</v>
      </c>
      <c r="V739" s="306">
        <f t="shared" ca="1" si="322"/>
        <v>1.1304681605402809</v>
      </c>
      <c r="W739" s="304">
        <f t="shared" ca="1" si="323"/>
        <v>43.882398734484838</v>
      </c>
      <c r="Y739" s="314" t="str">
        <f t="shared" ca="1" si="341"/>
        <v/>
      </c>
      <c r="Z739" s="315" t="str">
        <f t="shared" ca="1" si="342"/>
        <v/>
      </c>
      <c r="AA739" s="316" t="str">
        <f t="shared" ca="1" si="343"/>
        <v/>
      </c>
      <c r="AC739" s="310" t="e">
        <f t="shared" ca="1" si="344"/>
        <v>#N/A</v>
      </c>
      <c r="AD739" s="323" t="e">
        <f t="shared" ca="1" si="345"/>
        <v>#N/A</v>
      </c>
      <c r="AE739" s="324" t="e">
        <f t="shared" ca="1" si="324"/>
        <v>#N/A</v>
      </c>
      <c r="AG739" s="306">
        <f t="shared" ca="1" si="346"/>
        <v>1.1741754743415402</v>
      </c>
      <c r="AH739" s="304">
        <f t="shared" ca="1" si="347"/>
        <v>-8.6054811913435483</v>
      </c>
    </row>
    <row r="740" spans="1:34" x14ac:dyDescent="0.2">
      <c r="A740" s="347">
        <f t="shared" ca="1" si="325"/>
        <v>0.1</v>
      </c>
      <c r="B740" s="304">
        <f t="shared" ca="1" si="326"/>
        <v>37.600000000000222</v>
      </c>
      <c r="D740" s="306">
        <f t="shared" ca="1" si="327"/>
        <v>-0.67259289207141271</v>
      </c>
      <c r="E740" s="307">
        <f t="shared" ca="1" si="328"/>
        <v>-1.2030709200472121</v>
      </c>
      <c r="F740" s="304">
        <f t="shared" ca="1" si="329"/>
        <v>1.3783181189871343</v>
      </c>
      <c r="G740" s="306">
        <f t="shared" ca="1" si="330"/>
        <v>8.6925835937928486</v>
      </c>
      <c r="H740" s="307">
        <f t="shared" ca="1" si="331"/>
        <v>-112.2168625779122</v>
      </c>
      <c r="I740" s="304">
        <f t="shared" ca="1" si="332"/>
        <v>112.55303308380945</v>
      </c>
      <c r="J740" s="306">
        <f t="shared" ca="1" si="333"/>
        <v>930.12922362552911</v>
      </c>
      <c r="K740" s="307">
        <f t="shared" ca="1" si="334"/>
        <v>791.44293466281283</v>
      </c>
      <c r="L740" s="304">
        <f t="shared" ca="1" si="319"/>
        <v>1221.2789572697611</v>
      </c>
      <c r="M740" s="306">
        <f t="shared" ca="1" si="335"/>
        <v>-1.4934883416636733</v>
      </c>
      <c r="N740" s="304">
        <f t="shared" ca="1" si="336"/>
        <v>-85.570578729320786</v>
      </c>
      <c r="P740" s="310">
        <f t="shared" ca="1" si="337"/>
        <v>23</v>
      </c>
      <c r="Q740" s="304">
        <f t="shared" ca="1" si="338"/>
        <v>0</v>
      </c>
      <c r="R740" s="306">
        <f t="shared" ca="1" si="339"/>
        <v>0</v>
      </c>
      <c r="S740" s="307">
        <f t="shared" ca="1" si="340"/>
        <v>5.0829999999999913</v>
      </c>
      <c r="T740" s="304">
        <f t="shared" ca="1" si="320"/>
        <v>49.864229999999914</v>
      </c>
      <c r="U740" s="311">
        <f t="shared" ca="1" si="321"/>
        <v>0</v>
      </c>
      <c r="V740" s="306">
        <f t="shared" ca="1" si="322"/>
        <v>1.1317387869126103</v>
      </c>
      <c r="W740" s="304">
        <f t="shared" ca="1" si="323"/>
        <v>44.021419696525875</v>
      </c>
      <c r="Y740" s="314" t="str">
        <f t="shared" ca="1" si="341"/>
        <v/>
      </c>
      <c r="Z740" s="315" t="str">
        <f t="shared" ca="1" si="342"/>
        <v/>
      </c>
      <c r="AA740" s="316" t="str">
        <f t="shared" ca="1" si="343"/>
        <v/>
      </c>
      <c r="AC740" s="310" t="e">
        <f t="shared" ca="1" si="344"/>
        <v>#N/A</v>
      </c>
      <c r="AD740" s="323" t="e">
        <f t="shared" ca="1" si="345"/>
        <v>#N/A</v>
      </c>
      <c r="AE740" s="324" t="e">
        <f t="shared" ca="1" si="324"/>
        <v>#N/A</v>
      </c>
      <c r="AG740" s="306">
        <f t="shared" ca="1" si="346"/>
        <v>1.1470138866604014</v>
      </c>
      <c r="AH740" s="304">
        <f t="shared" ca="1" si="347"/>
        <v>-8.6331691391864869</v>
      </c>
    </row>
    <row r="741" spans="1:34" x14ac:dyDescent="0.2">
      <c r="A741" s="347">
        <f t="shared" ca="1" si="325"/>
        <v>0.1</v>
      </c>
      <c r="B741" s="304">
        <f t="shared" ca="1" si="326"/>
        <v>37.700000000000223</v>
      </c>
      <c r="D741" s="306">
        <f t="shared" ca="1" si="327"/>
        <v>-0.66886059024879363</v>
      </c>
      <c r="E741" s="307">
        <f t="shared" ca="1" si="328"/>
        <v>-1.1753476978551252</v>
      </c>
      <c r="F741" s="304">
        <f t="shared" ca="1" si="329"/>
        <v>1.3523374948737121</v>
      </c>
      <c r="G741" s="306">
        <f t="shared" ca="1" si="330"/>
        <v>8.6256975347679692</v>
      </c>
      <c r="H741" s="307">
        <f t="shared" ca="1" si="331"/>
        <v>-112.3343973476977</v>
      </c>
      <c r="I741" s="304">
        <f t="shared" ca="1" si="332"/>
        <v>112.66507660065622</v>
      </c>
      <c r="J741" s="306">
        <f t="shared" ca="1" si="333"/>
        <v>930.9951376819572</v>
      </c>
      <c r="K741" s="307">
        <f t="shared" ca="1" si="334"/>
        <v>780.21537166653229</v>
      </c>
      <c r="L741" s="304">
        <f t="shared" ca="1" si="319"/>
        <v>1214.6966586651135</v>
      </c>
      <c r="M741" s="306">
        <f t="shared" ca="1" si="335"/>
        <v>-1.4941608093135734</v>
      </c>
      <c r="N741" s="304">
        <f t="shared" ca="1" si="336"/>
        <v>-85.609108287519149</v>
      </c>
      <c r="P741" s="310">
        <f t="shared" ca="1" si="337"/>
        <v>23</v>
      </c>
      <c r="Q741" s="304">
        <f t="shared" ca="1" si="338"/>
        <v>0</v>
      </c>
      <c r="R741" s="306">
        <f t="shared" ca="1" si="339"/>
        <v>0</v>
      </c>
      <c r="S741" s="307">
        <f t="shared" ca="1" si="340"/>
        <v>5.0829999999999913</v>
      </c>
      <c r="T741" s="304">
        <f t="shared" ca="1" si="320"/>
        <v>49.864229999999914</v>
      </c>
      <c r="U741" s="311">
        <f t="shared" ca="1" si="321"/>
        <v>0</v>
      </c>
      <c r="V741" s="306">
        <f t="shared" ca="1" si="322"/>
        <v>1.1330121343116908</v>
      </c>
      <c r="W741" s="304">
        <f t="shared" ca="1" si="323"/>
        <v>44.158735850373027</v>
      </c>
      <c r="Y741" s="314" t="str">
        <f t="shared" ca="1" si="341"/>
        <v/>
      </c>
      <c r="Z741" s="315" t="str">
        <f t="shared" ca="1" si="342"/>
        <v/>
      </c>
      <c r="AA741" s="316" t="str">
        <f t="shared" ca="1" si="343"/>
        <v/>
      </c>
      <c r="AC741" s="310" t="e">
        <f t="shared" ca="1" si="344"/>
        <v>#N/A</v>
      </c>
      <c r="AD741" s="323" t="e">
        <f t="shared" ca="1" si="345"/>
        <v>#N/A</v>
      </c>
      <c r="AE741" s="324" t="e">
        <f t="shared" ca="1" si="324"/>
        <v>#N/A</v>
      </c>
      <c r="AG741" s="306">
        <f t="shared" ca="1" si="346"/>
        <v>1.1201804255622427</v>
      </c>
      <c r="AH741" s="304">
        <f t="shared" ca="1" si="347"/>
        <v>-8.6605193186161618</v>
      </c>
    </row>
    <row r="742" spans="1:34" x14ac:dyDescent="0.2">
      <c r="A742" s="347">
        <f t="shared" ca="1" si="325"/>
        <v>0.1</v>
      </c>
      <c r="B742" s="304">
        <f t="shared" ca="1" si="326"/>
        <v>37.800000000000225</v>
      </c>
      <c r="D742" s="306">
        <f t="shared" ca="1" si="327"/>
        <v>-0.665122181288338</v>
      </c>
      <c r="E742" s="307">
        <f t="shared" ca="1" si="328"/>
        <v>-1.1479643679308076</v>
      </c>
      <c r="F742" s="304">
        <f t="shared" ca="1" si="329"/>
        <v>1.3267289497408787</v>
      </c>
      <c r="G742" s="306">
        <f t="shared" ca="1" si="330"/>
        <v>8.5591853166391356</v>
      </c>
      <c r="H742" s="307">
        <f t="shared" ca="1" si="331"/>
        <v>-112.44919378449079</v>
      </c>
      <c r="I742" s="304">
        <f t="shared" ca="1" si="332"/>
        <v>112.77446890172675</v>
      </c>
      <c r="J742" s="306">
        <f t="shared" ca="1" si="333"/>
        <v>931.85438182452754</v>
      </c>
      <c r="K742" s="307">
        <f t="shared" ca="1" si="334"/>
        <v>768.97619210992286</v>
      </c>
      <c r="L742" s="304">
        <f t="shared" ca="1" si="319"/>
        <v>1208.1709204236995</v>
      </c>
      <c r="M742" s="306">
        <f t="shared" ca="1" si="335"/>
        <v>-1.4948267923358167</v>
      </c>
      <c r="N742" s="304">
        <f t="shared" ca="1" si="336"/>
        <v>-85.647266303921057</v>
      </c>
      <c r="P742" s="310">
        <f t="shared" ca="1" si="337"/>
        <v>23</v>
      </c>
      <c r="Q742" s="304">
        <f t="shared" ca="1" si="338"/>
        <v>0</v>
      </c>
      <c r="R742" s="306">
        <f t="shared" ca="1" si="339"/>
        <v>0</v>
      </c>
      <c r="S742" s="307">
        <f t="shared" ca="1" si="340"/>
        <v>5.0829999999999913</v>
      </c>
      <c r="T742" s="304">
        <f t="shared" ca="1" si="320"/>
        <v>49.864229999999914</v>
      </c>
      <c r="U742" s="311">
        <f t="shared" ca="1" si="321"/>
        <v>0</v>
      </c>
      <c r="V742" s="306">
        <f t="shared" ca="1" si="322"/>
        <v>1.1342881780381147</v>
      </c>
      <c r="W742" s="304">
        <f t="shared" ca="1" si="323"/>
        <v>44.294359407950211</v>
      </c>
      <c r="Y742" s="314" t="str">
        <f t="shared" ca="1" si="341"/>
        <v/>
      </c>
      <c r="Z742" s="315" t="str">
        <f t="shared" ca="1" si="342"/>
        <v/>
      </c>
      <c r="AA742" s="316" t="str">
        <f t="shared" ca="1" si="343"/>
        <v/>
      </c>
      <c r="AC742" s="310" t="e">
        <f t="shared" ca="1" si="344"/>
        <v>#N/A</v>
      </c>
      <c r="AD742" s="323" t="e">
        <f t="shared" ca="1" si="345"/>
        <v>#N/A</v>
      </c>
      <c r="AE742" s="324" t="e">
        <f t="shared" ca="1" si="324"/>
        <v>#N/A</v>
      </c>
      <c r="AG742" s="306">
        <f t="shared" ca="1" si="346"/>
        <v>1.0936729145042072</v>
      </c>
      <c r="AH742" s="304">
        <f t="shared" ca="1" si="347"/>
        <v>-8.6875341039490657</v>
      </c>
    </row>
    <row r="743" spans="1:34" x14ac:dyDescent="0.2">
      <c r="A743" s="347">
        <f t="shared" ca="1" si="325"/>
        <v>0.1</v>
      </c>
      <c r="B743" s="304">
        <f t="shared" ca="1" si="326"/>
        <v>37.900000000000226</v>
      </c>
      <c r="D743" s="306">
        <f t="shared" ca="1" si="327"/>
        <v>-0.6613783197907499</v>
      </c>
      <c r="E743" s="307">
        <f t="shared" ca="1" si="328"/>
        <v>-1.120918493325286</v>
      </c>
      <c r="F743" s="304">
        <f t="shared" ca="1" si="329"/>
        <v>1.3014912794820659</v>
      </c>
      <c r="G743" s="306">
        <f t="shared" ca="1" si="330"/>
        <v>8.4930474846600603</v>
      </c>
      <c r="H743" s="307">
        <f t="shared" ca="1" si="331"/>
        <v>-112.56128563382332</v>
      </c>
      <c r="I743" s="304">
        <f t="shared" ca="1" si="332"/>
        <v>112.8812423705367</v>
      </c>
      <c r="J743" s="306">
        <f t="shared" ca="1" si="333"/>
        <v>932.70699346459253</v>
      </c>
      <c r="K743" s="307">
        <f t="shared" ca="1" si="334"/>
        <v>757.72566813900721</v>
      </c>
      <c r="L743" s="304">
        <f t="shared" ca="1" si="319"/>
        <v>1201.7031762521328</v>
      </c>
      <c r="M743" s="306">
        <f t="shared" ca="1" si="335"/>
        <v>-1.4954863744907001</v>
      </c>
      <c r="N743" s="304">
        <f t="shared" ca="1" si="336"/>
        <v>-85.68505757763802</v>
      </c>
      <c r="P743" s="310">
        <f t="shared" ca="1" si="337"/>
        <v>23</v>
      </c>
      <c r="Q743" s="304">
        <f t="shared" ca="1" si="338"/>
        <v>0</v>
      </c>
      <c r="R743" s="306">
        <f t="shared" ca="1" si="339"/>
        <v>0</v>
      </c>
      <c r="S743" s="307">
        <f t="shared" ca="1" si="340"/>
        <v>5.0829999999999913</v>
      </c>
      <c r="T743" s="304">
        <f t="shared" ca="1" si="320"/>
        <v>49.864229999999914</v>
      </c>
      <c r="U743" s="311">
        <f t="shared" ca="1" si="321"/>
        <v>0</v>
      </c>
      <c r="V743" s="306">
        <f t="shared" ca="1" si="322"/>
        <v>1.1355668936655237</v>
      </c>
      <c r="W743" s="304">
        <f t="shared" ca="1" si="323"/>
        <v>44.428302716360868</v>
      </c>
      <c r="Y743" s="314" t="str">
        <f t="shared" ca="1" si="341"/>
        <v/>
      </c>
      <c r="Z743" s="315" t="str">
        <f t="shared" ca="1" si="342"/>
        <v/>
      </c>
      <c r="AA743" s="316" t="str">
        <f t="shared" ca="1" si="343"/>
        <v/>
      </c>
      <c r="AC743" s="310" t="e">
        <f t="shared" ca="1" si="344"/>
        <v>#N/A</v>
      </c>
      <c r="AD743" s="323" t="e">
        <f t="shared" ca="1" si="345"/>
        <v>#N/A</v>
      </c>
      <c r="AE743" s="324" t="e">
        <f t="shared" ca="1" si="324"/>
        <v>#N/A</v>
      </c>
      <c r="AG743" s="306">
        <f t="shared" ca="1" si="346"/>
        <v>1.0674891439654104</v>
      </c>
      <c r="AH743" s="304">
        <f t="shared" ca="1" si="347"/>
        <v>-8.7142158976884296</v>
      </c>
    </row>
    <row r="744" spans="1:34" x14ac:dyDescent="0.2">
      <c r="A744" s="347">
        <f t="shared" ca="1" si="325"/>
        <v>0.1</v>
      </c>
      <c r="B744" s="304">
        <f t="shared" ca="1" si="326"/>
        <v>38.000000000000227</v>
      </c>
      <c r="D744" s="306">
        <f t="shared" ca="1" si="327"/>
        <v>-0.6576296478488578</v>
      </c>
      <c r="E744" s="307">
        <f t="shared" ca="1" si="328"/>
        <v>-1.0942076102264018</v>
      </c>
      <c r="F744" s="304">
        <f t="shared" ca="1" si="329"/>
        <v>1.2766232991792001</v>
      </c>
      <c r="G744" s="306">
        <f t="shared" ca="1" si="330"/>
        <v>8.4272845198751742</v>
      </c>
      <c r="H744" s="307">
        <f t="shared" ca="1" si="331"/>
        <v>-112.67070639484595</v>
      </c>
      <c r="I744" s="304">
        <f t="shared" ca="1" si="332"/>
        <v>112.98542916629785</v>
      </c>
      <c r="J744" s="306">
        <f t="shared" ca="1" si="333"/>
        <v>933.55301006481932</v>
      </c>
      <c r="K744" s="307">
        <f t="shared" ca="1" si="334"/>
        <v>746.46406853757378</v>
      </c>
      <c r="L744" s="304">
        <f t="shared" ca="1" si="319"/>
        <v>1195.2948708242466</v>
      </c>
      <c r="M744" s="306">
        <f t="shared" ca="1" si="335"/>
        <v>-1.4961396379559682</v>
      </c>
      <c r="N744" s="304">
        <f t="shared" ca="1" si="336"/>
        <v>-85.722486817107963</v>
      </c>
      <c r="P744" s="310">
        <f t="shared" ca="1" si="337"/>
        <v>23</v>
      </c>
      <c r="Q744" s="304">
        <f t="shared" ca="1" si="338"/>
        <v>0</v>
      </c>
      <c r="R744" s="306">
        <f t="shared" ca="1" si="339"/>
        <v>0</v>
      </c>
      <c r="S744" s="307">
        <f t="shared" ca="1" si="340"/>
        <v>5.0829999999999913</v>
      </c>
      <c r="T744" s="304">
        <f t="shared" ca="1" si="320"/>
        <v>49.864229999999914</v>
      </c>
      <c r="U744" s="311">
        <f t="shared" ca="1" si="321"/>
        <v>0</v>
      </c>
      <c r="V744" s="306">
        <f t="shared" ca="1" si="322"/>
        <v>1.1368482570391103</v>
      </c>
      <c r="W744" s="304">
        <f t="shared" ca="1" si="323"/>
        <v>44.560578249971741</v>
      </c>
      <c r="Y744" s="314" t="str">
        <f t="shared" ca="1" si="341"/>
        <v/>
      </c>
      <c r="Z744" s="315" t="str">
        <f t="shared" ca="1" si="342"/>
        <v/>
      </c>
      <c r="AA744" s="316" t="str">
        <f t="shared" ca="1" si="343"/>
        <v/>
      </c>
      <c r="AC744" s="310">
        <f t="shared" ca="1" si="344"/>
        <v>38.000000000000227</v>
      </c>
      <c r="AD744" s="323">
        <f t="shared" ca="1" si="345"/>
        <v>933.55301006481932</v>
      </c>
      <c r="AE744" s="324" t="e">
        <f t="shared" ca="1" si="324"/>
        <v>#N/A</v>
      </c>
      <c r="AG744" s="306">
        <f t="shared" ca="1" si="346"/>
        <v>1.0416268731782345</v>
      </c>
      <c r="AH744" s="304">
        <f t="shared" ca="1" si="347"/>
        <v>-8.7405671289319198</v>
      </c>
    </row>
    <row r="745" spans="1:34" x14ac:dyDescent="0.2">
      <c r="A745" s="347">
        <f t="shared" ca="1" si="325"/>
        <v>0.1</v>
      </c>
      <c r="B745" s="304">
        <f t="shared" ca="1" si="326"/>
        <v>38.100000000000229</v>
      </c>
      <c r="D745" s="306">
        <f t="shared" ca="1" si="327"/>
        <v>-0.65387679514377439</v>
      </c>
      <c r="E745" s="307">
        <f t="shared" ca="1" si="328"/>
        <v>-1.0678292295347447</v>
      </c>
      <c r="F745" s="304">
        <f t="shared" ca="1" si="329"/>
        <v>1.2521238463811237</v>
      </c>
      <c r="G745" s="306">
        <f t="shared" ca="1" si="330"/>
        <v>8.3618968403607976</v>
      </c>
      <c r="H745" s="307">
        <f t="shared" ca="1" si="331"/>
        <v>-112.77748931779942</v>
      </c>
      <c r="I745" s="304">
        <f t="shared" ca="1" si="332"/>
        <v>113.08706122096903</v>
      </c>
      <c r="J745" s="306">
        <f t="shared" ca="1" si="333"/>
        <v>934.39246913283114</v>
      </c>
      <c r="K745" s="307">
        <f t="shared" ca="1" si="334"/>
        <v>735.19165875194153</v>
      </c>
      <c r="L745" s="304">
        <f t="shared" ca="1" si="319"/>
        <v>1188.9474595080221</v>
      </c>
      <c r="M745" s="306">
        <f t="shared" ca="1" si="335"/>
        <v>-1.4967866633658489</v>
      </c>
      <c r="N745" s="304">
        <f t="shared" ca="1" si="336"/>
        <v>-85.759558642331854</v>
      </c>
      <c r="P745" s="310">
        <f t="shared" ca="1" si="337"/>
        <v>23</v>
      </c>
      <c r="Q745" s="304">
        <f t="shared" ca="1" si="338"/>
        <v>0</v>
      </c>
      <c r="R745" s="306">
        <f t="shared" ca="1" si="339"/>
        <v>0</v>
      </c>
      <c r="S745" s="307">
        <f t="shared" ca="1" si="340"/>
        <v>5.0829999999999913</v>
      </c>
      <c r="T745" s="304">
        <f t="shared" ca="1" si="320"/>
        <v>49.864229999999914</v>
      </c>
      <c r="U745" s="311">
        <f t="shared" ca="1" si="321"/>
        <v>0</v>
      </c>
      <c r="V745" s="306">
        <f t="shared" ca="1" si="322"/>
        <v>1.1381322442740966</v>
      </c>
      <c r="W745" s="304">
        <f t="shared" ca="1" si="323"/>
        <v>44.691198602673026</v>
      </c>
      <c r="Y745" s="314" t="str">
        <f t="shared" ca="1" si="341"/>
        <v/>
      </c>
      <c r="Z745" s="315" t="str">
        <f t="shared" ca="1" si="342"/>
        <v/>
      </c>
      <c r="AA745" s="316" t="str">
        <f t="shared" ca="1" si="343"/>
        <v/>
      </c>
      <c r="AC745" s="310" t="e">
        <f t="shared" ca="1" si="344"/>
        <v>#N/A</v>
      </c>
      <c r="AD745" s="323" t="e">
        <f t="shared" ca="1" si="345"/>
        <v>#N/A</v>
      </c>
      <c r="AE745" s="324" t="e">
        <f t="shared" ca="1" si="324"/>
        <v>#N/A</v>
      </c>
      <c r="AG745" s="306">
        <f t="shared" ca="1" si="346"/>
        <v>1.0160838318200351</v>
      </c>
      <c r="AH745" s="304">
        <f t="shared" ca="1" si="347"/>
        <v>-8.7665902518142467</v>
      </c>
    </row>
    <row r="746" spans="1:34" x14ac:dyDescent="0.2">
      <c r="A746" s="347">
        <f t="shared" ca="1" si="325"/>
        <v>0.1</v>
      </c>
      <c r="B746" s="304">
        <f t="shared" ca="1" si="326"/>
        <v>38.20000000000023</v>
      </c>
      <c r="D746" s="306">
        <f t="shared" ca="1" si="327"/>
        <v>-0.65012037904416309</v>
      </c>
      <c r="E746" s="307">
        <f t="shared" ca="1" si="328"/>
        <v>-1.0417808384044633</v>
      </c>
      <c r="F746" s="304">
        <f t="shared" ca="1" si="329"/>
        <v>1.2279917843842576</v>
      </c>
      <c r="G746" s="306">
        <f t="shared" ca="1" si="330"/>
        <v>8.2968848024563808</v>
      </c>
      <c r="H746" s="307">
        <f t="shared" ca="1" si="331"/>
        <v>-112.88166740163987</v>
      </c>
      <c r="I746" s="304">
        <f t="shared" ca="1" si="332"/>
        <v>113.18617023647225</v>
      </c>
      <c r="J746" s="306">
        <f t="shared" ca="1" si="333"/>
        <v>935.22540821497205</v>
      </c>
      <c r="K746" s="307">
        <f t="shared" ca="1" si="334"/>
        <v>723.90870091596958</v>
      </c>
      <c r="L746" s="304">
        <f t="shared" ca="1" si="319"/>
        <v>1182.6624080576451</v>
      </c>
      <c r="M746" s="306">
        <f t="shared" ca="1" si="335"/>
        <v>-1.4974275298489568</v>
      </c>
      <c r="N746" s="304">
        <f t="shared" ca="1" si="336"/>
        <v>-85.796277587045324</v>
      </c>
      <c r="P746" s="310">
        <f t="shared" ca="1" si="337"/>
        <v>23</v>
      </c>
      <c r="Q746" s="304">
        <f t="shared" ca="1" si="338"/>
        <v>0</v>
      </c>
      <c r="R746" s="306">
        <f t="shared" ca="1" si="339"/>
        <v>0</v>
      </c>
      <c r="S746" s="307">
        <f t="shared" ca="1" si="340"/>
        <v>5.0829999999999913</v>
      </c>
      <c r="T746" s="304">
        <f t="shared" ca="1" si="320"/>
        <v>49.864229999999914</v>
      </c>
      <c r="U746" s="311">
        <f t="shared" ca="1" si="321"/>
        <v>0</v>
      </c>
      <c r="V746" s="306">
        <f t="shared" ca="1" si="322"/>
        <v>1.1394188317541789</v>
      </c>
      <c r="W746" s="304">
        <f t="shared" ca="1" si="323"/>
        <v>44.820176480313698</v>
      </c>
      <c r="Y746" s="314" t="str">
        <f t="shared" ca="1" si="341"/>
        <v/>
      </c>
      <c r="Z746" s="315" t="str">
        <f t="shared" ca="1" si="342"/>
        <v/>
      </c>
      <c r="AA746" s="316" t="str">
        <f t="shared" ca="1" si="343"/>
        <v/>
      </c>
      <c r="AC746" s="310" t="e">
        <f t="shared" ca="1" si="344"/>
        <v>#N/A</v>
      </c>
      <c r="AD746" s="323" t="e">
        <f t="shared" ca="1" si="345"/>
        <v>#N/A</v>
      </c>
      <c r="AE746" s="324" t="e">
        <f t="shared" ca="1" si="324"/>
        <v>#N/A</v>
      </c>
      <c r="AG746" s="306">
        <f t="shared" ca="1" si="346"/>
        <v>0.99085772166556829</v>
      </c>
      <c r="AH746" s="304">
        <f t="shared" ca="1" si="347"/>
        <v>-8.7922877439844775</v>
      </c>
    </row>
    <row r="747" spans="1:34" x14ac:dyDescent="0.2">
      <c r="A747" s="347">
        <f t="shared" ca="1" si="325"/>
        <v>0.1</v>
      </c>
      <c r="B747" s="304">
        <f t="shared" ca="1" si="326"/>
        <v>38.300000000000232</v>
      </c>
      <c r="D747" s="306">
        <f t="shared" ca="1" si="327"/>
        <v>-0.64636100470844682</v>
      </c>
      <c r="E747" s="307">
        <f t="shared" ca="1" si="328"/>
        <v>-1.016059901749232</v>
      </c>
      <c r="F747" s="304">
        <f t="shared" ca="1" si="329"/>
        <v>1.2042260055115783</v>
      </c>
      <c r="G747" s="306">
        <f t="shared" ca="1" si="330"/>
        <v>8.2322487019855366</v>
      </c>
      <c r="H747" s="307">
        <f t="shared" ca="1" si="331"/>
        <v>-112.98327339181479</v>
      </c>
      <c r="I747" s="304">
        <f t="shared" ca="1" si="332"/>
        <v>113.28278768206981</v>
      </c>
      <c r="J747" s="306">
        <f t="shared" ca="1" si="333"/>
        <v>936.05186489019411</v>
      </c>
      <c r="K747" s="307">
        <f t="shared" ca="1" si="334"/>
        <v>712.6154538762969</v>
      </c>
      <c r="L747" s="304">
        <f t="shared" ca="1" si="319"/>
        <v>1176.4411922691804</v>
      </c>
      <c r="M747" s="306">
        <f t="shared" ca="1" si="335"/>
        <v>-1.4980623150651013</v>
      </c>
      <c r="N747" s="304">
        <f t="shared" ca="1" si="336"/>
        <v>-85.832648100827711</v>
      </c>
      <c r="P747" s="310">
        <f t="shared" ca="1" si="337"/>
        <v>23</v>
      </c>
      <c r="Q747" s="304">
        <f t="shared" ca="1" si="338"/>
        <v>0</v>
      </c>
      <c r="R747" s="306">
        <f t="shared" ca="1" si="339"/>
        <v>0</v>
      </c>
      <c r="S747" s="307">
        <f t="shared" ca="1" si="340"/>
        <v>5.0829999999999913</v>
      </c>
      <c r="T747" s="304">
        <f t="shared" ca="1" si="320"/>
        <v>49.864229999999914</v>
      </c>
      <c r="U747" s="311">
        <f t="shared" ca="1" si="321"/>
        <v>0</v>
      </c>
      <c r="V747" s="306">
        <f t="shared" ca="1" si="322"/>
        <v>1.1407079961299535</v>
      </c>
      <c r="W747" s="304">
        <f t="shared" ca="1" si="323"/>
        <v>44.947524693311117</v>
      </c>
      <c r="Y747" s="314" t="str">
        <f t="shared" ca="1" si="341"/>
        <v/>
      </c>
      <c r="Z747" s="315" t="str">
        <f t="shared" ca="1" si="342"/>
        <v/>
      </c>
      <c r="AA747" s="316" t="str">
        <f t="shared" ca="1" si="343"/>
        <v/>
      </c>
      <c r="AC747" s="310" t="e">
        <f t="shared" ca="1" si="344"/>
        <v>#N/A</v>
      </c>
      <c r="AD747" s="323" t="e">
        <f t="shared" ca="1" si="345"/>
        <v>#N/A</v>
      </c>
      <c r="AE747" s="324" t="e">
        <f t="shared" ca="1" si="324"/>
        <v>#N/A</v>
      </c>
      <c r="AG747" s="306">
        <f t="shared" ca="1" si="346"/>
        <v>0.96594621820063331</v>
      </c>
      <c r="AH747" s="304">
        <f t="shared" ca="1" si="347"/>
        <v>-8.8176621051177992</v>
      </c>
    </row>
    <row r="748" spans="1:34" x14ac:dyDescent="0.2">
      <c r="A748" s="347">
        <f t="shared" ca="1" si="325"/>
        <v>0.1</v>
      </c>
      <c r="B748" s="304">
        <f t="shared" ca="1" si="326"/>
        <v>38.400000000000233</v>
      </c>
      <c r="D748" s="306">
        <f t="shared" ca="1" si="327"/>
        <v>-0.64259926518980326</v>
      </c>
      <c r="E748" s="307">
        <f t="shared" ca="1" si="328"/>
        <v>-0.99066386371348969</v>
      </c>
      <c r="F748" s="304">
        <f t="shared" ca="1" si="329"/>
        <v>1.180825434384869</v>
      </c>
      <c r="G748" s="306">
        <f t="shared" ca="1" si="330"/>
        <v>8.1679887754665561</v>
      </c>
      <c r="H748" s="307">
        <f t="shared" ca="1" si="331"/>
        <v>-113.08233977818614</v>
      </c>
      <c r="I748" s="304">
        <f t="shared" ca="1" si="332"/>
        <v>113.37694479189888</v>
      </c>
      <c r="J748" s="306">
        <f t="shared" ca="1" si="333"/>
        <v>936.87187676406677</v>
      </c>
      <c r="K748" s="307">
        <f t="shared" ca="1" si="334"/>
        <v>701.31217321779684</v>
      </c>
      <c r="L748" s="304">
        <f t="shared" ca="1" si="319"/>
        <v>1170.2852975983651</v>
      </c>
      <c r="M748" s="306">
        <f t="shared" ca="1" si="335"/>
        <v>-1.4986910952410384</v>
      </c>
      <c r="N748" s="304">
        <f t="shared" ca="1" si="336"/>
        <v>-85.868674551150391</v>
      </c>
      <c r="P748" s="310">
        <f t="shared" ca="1" si="337"/>
        <v>23</v>
      </c>
      <c r="Q748" s="304">
        <f t="shared" ca="1" si="338"/>
        <v>0</v>
      </c>
      <c r="R748" s="306">
        <f t="shared" ca="1" si="339"/>
        <v>0</v>
      </c>
      <c r="S748" s="307">
        <f t="shared" ca="1" si="340"/>
        <v>5.0829999999999913</v>
      </c>
      <c r="T748" s="304">
        <f t="shared" ca="1" si="320"/>
        <v>49.864229999999914</v>
      </c>
      <c r="U748" s="311">
        <f t="shared" ca="1" si="321"/>
        <v>0</v>
      </c>
      <c r="V748" s="306">
        <f t="shared" ca="1" si="322"/>
        <v>1.1419997143173113</v>
      </c>
      <c r="W748" s="304">
        <f t="shared" ca="1" si="323"/>
        <v>45.073256149433234</v>
      </c>
      <c r="Y748" s="314" t="str">
        <f t="shared" ca="1" si="341"/>
        <v/>
      </c>
      <c r="Z748" s="315" t="str">
        <f t="shared" ca="1" si="342"/>
        <v/>
      </c>
      <c r="AA748" s="316" t="str">
        <f t="shared" ca="1" si="343"/>
        <v/>
      </c>
      <c r="AC748" s="310" t="e">
        <f t="shared" ca="1" si="344"/>
        <v>#N/A</v>
      </c>
      <c r="AD748" s="323" t="e">
        <f t="shared" ca="1" si="345"/>
        <v>#N/A</v>
      </c>
      <c r="AE748" s="324" t="e">
        <f t="shared" ca="1" si="324"/>
        <v>#N/A</v>
      </c>
      <c r="AG748" s="306">
        <f t="shared" ca="1" si="346"/>
        <v>0.94134697219721986</v>
      </c>
      <c r="AH748" s="304">
        <f t="shared" ca="1" si="347"/>
        <v>-8.8427158554615772</v>
      </c>
    </row>
    <row r="749" spans="1:34" x14ac:dyDescent="0.2">
      <c r="A749" s="347">
        <f t="shared" ca="1" si="325"/>
        <v>0.1</v>
      </c>
      <c r="B749" s="304">
        <f t="shared" ca="1" si="326"/>
        <v>38.500000000000234</v>
      </c>
      <c r="D749" s="306">
        <f t="shared" ca="1" si="327"/>
        <v>-0.638835741543758</v>
      </c>
      <c r="E749" s="307">
        <f t="shared" ca="1" si="328"/>
        <v>-0.96559014910934415</v>
      </c>
      <c r="F749" s="304">
        <f t="shared" ca="1" si="329"/>
        <v>1.1577890311843382</v>
      </c>
      <c r="G749" s="306">
        <f t="shared" ca="1" si="330"/>
        <v>8.1041052013121799</v>
      </c>
      <c r="H749" s="307">
        <f t="shared" ca="1" si="331"/>
        <v>-113.17889879309708</v>
      </c>
      <c r="I749" s="304">
        <f t="shared" ca="1" si="332"/>
        <v>113.46867256265953</v>
      </c>
      <c r="J749" s="306">
        <f t="shared" ca="1" si="333"/>
        <v>937.68548146290573</v>
      </c>
      <c r="K749" s="307">
        <f t="shared" ca="1" si="334"/>
        <v>689.9991112892327</v>
      </c>
      <c r="L749" s="304">
        <f t="shared" ca="1" si="319"/>
        <v>1164.1962187390286</v>
      </c>
      <c r="M749" s="306">
        <f t="shared" ca="1" si="335"/>
        <v>-1.4993139452051971</v>
      </c>
      <c r="N749" s="304">
        <f t="shared" ca="1" si="336"/>
        <v>-85.904361225366571</v>
      </c>
      <c r="P749" s="310">
        <f t="shared" ca="1" si="337"/>
        <v>23</v>
      </c>
      <c r="Q749" s="304">
        <f t="shared" ca="1" si="338"/>
        <v>0</v>
      </c>
      <c r="R749" s="306">
        <f t="shared" ca="1" si="339"/>
        <v>0</v>
      </c>
      <c r="S749" s="307">
        <f t="shared" ca="1" si="340"/>
        <v>5.0829999999999913</v>
      </c>
      <c r="T749" s="304">
        <f t="shared" ca="1" si="320"/>
        <v>49.864229999999914</v>
      </c>
      <c r="U749" s="311">
        <f t="shared" ca="1" si="321"/>
        <v>0</v>
      </c>
      <c r="V749" s="306">
        <f t="shared" ca="1" si="322"/>
        <v>1.1432939634958121</v>
      </c>
      <c r="W749" s="304">
        <f t="shared" ca="1" si="323"/>
        <v>45.197383846752302</v>
      </c>
      <c r="Y749" s="314" t="str">
        <f t="shared" ca="1" si="341"/>
        <v/>
      </c>
      <c r="Z749" s="315" t="str">
        <f t="shared" ca="1" si="342"/>
        <v/>
      </c>
      <c r="AA749" s="316" t="str">
        <f t="shared" ca="1" si="343"/>
        <v/>
      </c>
      <c r="AC749" s="310" t="e">
        <f t="shared" ca="1" si="344"/>
        <v>#N/A</v>
      </c>
      <c r="AD749" s="323" t="e">
        <f t="shared" ca="1" si="345"/>
        <v>#N/A</v>
      </c>
      <c r="AE749" s="324" t="e">
        <f t="shared" ca="1" si="324"/>
        <v>#N/A</v>
      </c>
      <c r="AG749" s="306">
        <f t="shared" ca="1" si="346"/>
        <v>0.91705761125065166</v>
      </c>
      <c r="AH749" s="304">
        <f t="shared" ca="1" si="347"/>
        <v>-8.8674515344153679</v>
      </c>
    </row>
    <row r="750" spans="1:34" x14ac:dyDescent="0.2">
      <c r="A750" s="347">
        <f t="shared" ca="1" si="325"/>
        <v>0.1</v>
      </c>
      <c r="B750" s="304">
        <f t="shared" ca="1" si="326"/>
        <v>38.600000000000236</v>
      </c>
      <c r="D750" s="306">
        <f t="shared" ca="1" si="327"/>
        <v>-0.6350710029382407</v>
      </c>
      <c r="E750" s="307">
        <f t="shared" ca="1" si="328"/>
        <v>-0.94083616481931109</v>
      </c>
      <c r="F750" s="304">
        <f t="shared" ca="1" si="329"/>
        <v>1.1351157948882982</v>
      </c>
      <c r="G750" s="306">
        <f t="shared" ca="1" si="330"/>
        <v>8.0405981010183556</v>
      </c>
      <c r="H750" s="307">
        <f t="shared" ca="1" si="331"/>
        <v>-113.272982409579</v>
      </c>
      <c r="I750" s="304">
        <f t="shared" ca="1" si="332"/>
        <v>113.55800175145252</v>
      </c>
      <c r="J750" s="306">
        <f t="shared" ca="1" si="333"/>
        <v>938.49271662802221</v>
      </c>
      <c r="K750" s="307">
        <f t="shared" ca="1" si="334"/>
        <v>678.67651722909886</v>
      </c>
      <c r="L750" s="304">
        <f t="shared" ca="1" si="319"/>
        <v>1158.1754591606855</v>
      </c>
      <c r="M750" s="306">
        <f t="shared" ca="1" si="335"/>
        <v>-1.4999309384214181</v>
      </c>
      <c r="N750" s="304">
        <f t="shared" ca="1" si="336"/>
        <v>-85.939712332644234</v>
      </c>
      <c r="P750" s="310">
        <f t="shared" ca="1" si="337"/>
        <v>23</v>
      </c>
      <c r="Q750" s="304">
        <f t="shared" ca="1" si="338"/>
        <v>0</v>
      </c>
      <c r="R750" s="306">
        <f t="shared" ca="1" si="339"/>
        <v>0</v>
      </c>
      <c r="S750" s="307">
        <f t="shared" ca="1" si="340"/>
        <v>5.0829999999999913</v>
      </c>
      <c r="T750" s="304">
        <f t="shared" ca="1" si="320"/>
        <v>49.864229999999914</v>
      </c>
      <c r="U750" s="311">
        <f t="shared" ca="1" si="321"/>
        <v>0</v>
      </c>
      <c r="V750" s="306">
        <f t="shared" ca="1" si="322"/>
        <v>1.1445907211070345</v>
      </c>
      <c r="W750" s="304">
        <f t="shared" ca="1" si="323"/>
        <v>45.319920866768435</v>
      </c>
      <c r="Y750" s="314" t="str">
        <f t="shared" ca="1" si="341"/>
        <v/>
      </c>
      <c r="Z750" s="315" t="str">
        <f t="shared" ca="1" si="342"/>
        <v/>
      </c>
      <c r="AA750" s="316" t="str">
        <f t="shared" ca="1" si="343"/>
        <v/>
      </c>
      <c r="AC750" s="310" t="e">
        <f t="shared" ca="1" si="344"/>
        <v>#N/A</v>
      </c>
      <c r="AD750" s="323" t="e">
        <f t="shared" ca="1" si="345"/>
        <v>#N/A</v>
      </c>
      <c r="AE750" s="324" t="e">
        <f t="shared" ca="1" si="324"/>
        <v>#N/A</v>
      </c>
      <c r="AG750" s="306">
        <f t="shared" ca="1" si="346"/>
        <v>0.89307574127913014</v>
      </c>
      <c r="AH750" s="304">
        <f t="shared" ca="1" si="347"/>
        <v>-8.8918716991446747</v>
      </c>
    </row>
    <row r="751" spans="1:34" x14ac:dyDescent="0.2">
      <c r="A751" s="347">
        <f t="shared" ca="1" si="325"/>
        <v>0.1</v>
      </c>
      <c r="B751" s="304">
        <f t="shared" ca="1" si="326"/>
        <v>38.700000000000237</v>
      </c>
      <c r="D751" s="306">
        <f t="shared" ca="1" si="327"/>
        <v>-0.63130560676593261</v>
      </c>
      <c r="E751" s="307">
        <f t="shared" ca="1" si="328"/>
        <v>-0.9163993011652547</v>
      </c>
      <c r="F751" s="304">
        <f t="shared" ca="1" si="329"/>
        <v>1.1128047664843412</v>
      </c>
      <c r="G751" s="306">
        <f t="shared" ca="1" si="330"/>
        <v>7.9774675403417623</v>
      </c>
      <c r="H751" s="307">
        <f t="shared" ca="1" si="331"/>
        <v>-113.36462233969553</v>
      </c>
      <c r="I751" s="304">
        <f t="shared" ca="1" si="332"/>
        <v>113.64496287376313</v>
      </c>
      <c r="J751" s="306">
        <f t="shared" ca="1" si="333"/>
        <v>939.29361991009023</v>
      </c>
      <c r="K751" s="307">
        <f t="shared" ca="1" si="334"/>
        <v>667.34463699163518</v>
      </c>
      <c r="L751" s="304">
        <f t="shared" ca="1" si="319"/>
        <v>1152.2245306038656</v>
      </c>
      <c r="M751" s="306">
        <f t="shared" ca="1" si="335"/>
        <v>-1.5005421470217311</v>
      </c>
      <c r="N751" s="304">
        <f t="shared" ca="1" si="336"/>
        <v>-85.97473200584426</v>
      </c>
      <c r="P751" s="310">
        <f t="shared" ca="1" si="337"/>
        <v>23</v>
      </c>
      <c r="Q751" s="304">
        <f t="shared" ca="1" si="338"/>
        <v>0</v>
      </c>
      <c r="R751" s="306">
        <f t="shared" ca="1" si="339"/>
        <v>0</v>
      </c>
      <c r="S751" s="307">
        <f t="shared" ca="1" si="340"/>
        <v>5.0829999999999913</v>
      </c>
      <c r="T751" s="304">
        <f t="shared" ca="1" si="320"/>
        <v>49.864229999999914</v>
      </c>
      <c r="U751" s="311">
        <f t="shared" ca="1" si="321"/>
        <v>0</v>
      </c>
      <c r="V751" s="306">
        <f t="shared" ca="1" si="322"/>
        <v>1.1458899648529066</v>
      </c>
      <c r="W751" s="304">
        <f t="shared" ca="1" si="323"/>
        <v>45.440880367701631</v>
      </c>
      <c r="Y751" s="314" t="str">
        <f t="shared" ca="1" si="341"/>
        <v/>
      </c>
      <c r="Z751" s="315" t="str">
        <f t="shared" ca="1" si="342"/>
        <v/>
      </c>
      <c r="AA751" s="316" t="str">
        <f t="shared" ca="1" si="343"/>
        <v/>
      </c>
      <c r="AC751" s="310" t="e">
        <f t="shared" ca="1" si="344"/>
        <v>#N/A</v>
      </c>
      <c r="AD751" s="323" t="e">
        <f t="shared" ca="1" si="345"/>
        <v>#N/A</v>
      </c>
      <c r="AE751" s="324" t="e">
        <f t="shared" ca="1" si="324"/>
        <v>#N/A</v>
      </c>
      <c r="AG751" s="306">
        <f t="shared" ca="1" si="346"/>
        <v>0.86939894798611128</v>
      </c>
      <c r="AH751" s="304">
        <f t="shared" ca="1" si="347"/>
        <v>-8.9159789232281152</v>
      </c>
    </row>
    <row r="752" spans="1:34" x14ac:dyDescent="0.2">
      <c r="A752" s="347">
        <f t="shared" ca="1" si="325"/>
        <v>0.1</v>
      </c>
      <c r="B752" s="304">
        <f t="shared" ca="1" si="326"/>
        <v>38.800000000000239</v>
      </c>
      <c r="D752" s="306">
        <f t="shared" ca="1" si="327"/>
        <v>-0.62754009875878514</v>
      </c>
      <c r="E752" s="307">
        <f t="shared" ca="1" si="328"/>
        <v>-0.89227693324376389</v>
      </c>
      <c r="F752" s="304">
        <f t="shared" ca="1" si="329"/>
        <v>1.0908550321417976</v>
      </c>
      <c r="G752" s="306">
        <f t="shared" ca="1" si="330"/>
        <v>7.9147135304658836</v>
      </c>
      <c r="H752" s="307">
        <f t="shared" ca="1" si="331"/>
        <v>-113.4538500330199</v>
      </c>
      <c r="I752" s="304">
        <f t="shared" ca="1" si="332"/>
        <v>113.72958620158745</v>
      </c>
      <c r="J752" s="306">
        <f t="shared" ca="1" si="333"/>
        <v>940.08822896363063</v>
      </c>
      <c r="K752" s="307">
        <f t="shared" ca="1" si="334"/>
        <v>656.00371337299941</v>
      </c>
      <c r="L752" s="304">
        <f t="shared" ca="1" si="319"/>
        <v>1146.3449525318024</v>
      </c>
      <c r="M752" s="306">
        <f t="shared" ca="1" si="335"/>
        <v>-1.5011476418382093</v>
      </c>
      <c r="N752" s="304">
        <f t="shared" ca="1" si="336"/>
        <v>-86.009424303345511</v>
      </c>
      <c r="P752" s="310">
        <f t="shared" ca="1" si="337"/>
        <v>23</v>
      </c>
      <c r="Q752" s="304">
        <f t="shared" ca="1" si="338"/>
        <v>0</v>
      </c>
      <c r="R752" s="306">
        <f t="shared" ca="1" si="339"/>
        <v>0</v>
      </c>
      <c r="S752" s="307">
        <f t="shared" ca="1" si="340"/>
        <v>5.0829999999999913</v>
      </c>
      <c r="T752" s="304">
        <f t="shared" ca="1" si="320"/>
        <v>49.864229999999914</v>
      </c>
      <c r="U752" s="311">
        <f t="shared" ca="1" si="321"/>
        <v>0</v>
      </c>
      <c r="V752" s="306">
        <f t="shared" ca="1" si="322"/>
        <v>1.1471916726940112</v>
      </c>
      <c r="W752" s="304">
        <f t="shared" ca="1" si="323"/>
        <v>45.56027557795047</v>
      </c>
      <c r="Y752" s="314" t="str">
        <f t="shared" ca="1" si="341"/>
        <v/>
      </c>
      <c r="Z752" s="315" t="str">
        <f t="shared" ca="1" si="342"/>
        <v/>
      </c>
      <c r="AA752" s="316" t="str">
        <f t="shared" ca="1" si="343"/>
        <v/>
      </c>
      <c r="AC752" s="310" t="e">
        <f t="shared" ca="1" si="344"/>
        <v>#N/A</v>
      </c>
      <c r="AD752" s="323" t="e">
        <f t="shared" ca="1" si="345"/>
        <v>#N/A</v>
      </c>
      <c r="AE752" s="324" t="e">
        <f t="shared" ca="1" si="324"/>
        <v>#N/A</v>
      </c>
      <c r="AG752" s="306">
        <f t="shared" ca="1" si="346"/>
        <v>0.84602479828595101</v>
      </c>
      <c r="AH752" s="304">
        <f t="shared" ca="1" si="347"/>
        <v>-8.9397757953377361</v>
      </c>
    </row>
    <row r="753" spans="1:34" x14ac:dyDescent="0.2">
      <c r="A753" s="347">
        <f t="shared" ca="1" si="325"/>
        <v>0.1</v>
      </c>
      <c r="B753" s="304">
        <f t="shared" ca="1" si="326"/>
        <v>38.90000000000024</v>
      </c>
      <c r="D753" s="306">
        <f t="shared" ca="1" si="327"/>
        <v>-0.623775013104509</v>
      </c>
      <c r="E753" s="307">
        <f t="shared" ca="1" si="328"/>
        <v>-0.86846642222837644</v>
      </c>
      <c r="F753" s="304">
        <f t="shared" ca="1" si="329"/>
        <v>1.0692657263335841</v>
      </c>
      <c r="G753" s="306">
        <f t="shared" ca="1" si="330"/>
        <v>7.8523360291554329</v>
      </c>
      <c r="H753" s="307">
        <f t="shared" ca="1" si="331"/>
        <v>-113.54069667524274</v>
      </c>
      <c r="I753" s="304">
        <f t="shared" ca="1" si="332"/>
        <v>113.81190176169736</v>
      </c>
      <c r="J753" s="306">
        <f t="shared" ca="1" si="333"/>
        <v>940.87658144161173</v>
      </c>
      <c r="K753" s="307">
        <f t="shared" ca="1" si="334"/>
        <v>644.65398603758626</v>
      </c>
      <c r="L753" s="304">
        <f t="shared" ca="1" si="319"/>
        <v>1140.5382515371425</v>
      </c>
      <c r="M753" s="306">
        <f t="shared" ca="1" si="335"/>
        <v>-1.5017474924339227</v>
      </c>
      <c r="N753" s="304">
        <f t="shared" ca="1" si="336"/>
        <v>-86.043793210818293</v>
      </c>
      <c r="P753" s="310">
        <f t="shared" ca="1" si="337"/>
        <v>23</v>
      </c>
      <c r="Q753" s="304">
        <f t="shared" ca="1" si="338"/>
        <v>0</v>
      </c>
      <c r="R753" s="306">
        <f t="shared" ca="1" si="339"/>
        <v>0</v>
      </c>
      <c r="S753" s="307">
        <f t="shared" ca="1" si="340"/>
        <v>5.0829999999999913</v>
      </c>
      <c r="T753" s="304">
        <f t="shared" ca="1" si="320"/>
        <v>49.864229999999914</v>
      </c>
      <c r="U753" s="311">
        <f t="shared" ca="1" si="321"/>
        <v>0</v>
      </c>
      <c r="V753" s="306">
        <f t="shared" ca="1" si="322"/>
        <v>1.1484958228478779</v>
      </c>
      <c r="W753" s="304">
        <f t="shared" ca="1" si="323"/>
        <v>45.67811978971595</v>
      </c>
      <c r="Y753" s="314" t="str">
        <f t="shared" ca="1" si="341"/>
        <v/>
      </c>
      <c r="Z753" s="315" t="str">
        <f t="shared" ca="1" si="342"/>
        <v/>
      </c>
      <c r="AA753" s="316" t="str">
        <f t="shared" ca="1" si="343"/>
        <v/>
      </c>
      <c r="AC753" s="310" t="e">
        <f t="shared" ca="1" si="344"/>
        <v>#N/A</v>
      </c>
      <c r="AD753" s="323" t="e">
        <f t="shared" ca="1" si="345"/>
        <v>#N/A</v>
      </c>
      <c r="AE753" s="324" t="e">
        <f t="shared" ca="1" si="324"/>
        <v>#N/A</v>
      </c>
      <c r="AG753" s="306">
        <f t="shared" ca="1" si="346"/>
        <v>0.82295084169329691</v>
      </c>
      <c r="AH753" s="304">
        <f t="shared" ca="1" si="347"/>
        <v>-8.9632649179521042</v>
      </c>
    </row>
    <row r="754" spans="1:34" x14ac:dyDescent="0.2">
      <c r="A754" s="347">
        <f t="shared" ca="1" si="325"/>
        <v>0.1</v>
      </c>
      <c r="B754" s="304">
        <f t="shared" ca="1" si="326"/>
        <v>39.000000000000242</v>
      </c>
      <c r="D754" s="306">
        <f t="shared" ca="1" si="327"/>
        <v>-0.62001087256496845</v>
      </c>
      <c r="E754" s="307">
        <f t="shared" ca="1" si="328"/>
        <v>-0.84496511663889251</v>
      </c>
      <c r="F754" s="304">
        <f t="shared" ca="1" si="329"/>
        <v>1.0480360348935291</v>
      </c>
      <c r="G754" s="306">
        <f t="shared" ca="1" si="330"/>
        <v>7.7903349418989363</v>
      </c>
      <c r="H754" s="307">
        <f t="shared" ca="1" si="331"/>
        <v>-113.62519318690663</v>
      </c>
      <c r="I754" s="304">
        <f t="shared" ca="1" si="332"/>
        <v>113.89193933404077</v>
      </c>
      <c r="J754" s="306">
        <f t="shared" ca="1" si="333"/>
        <v>941.65871499016441</v>
      </c>
      <c r="K754" s="307">
        <f t="shared" ca="1" si="334"/>
        <v>633.29569154447881</v>
      </c>
      <c r="L754" s="304">
        <f t="shared" ca="1" si="319"/>
        <v>1134.8059607024134</v>
      </c>
      <c r="M754" s="306">
        <f t="shared" ca="1" si="335"/>
        <v>-1.5023417671330266</v>
      </c>
      <c r="N754" s="304">
        <f t="shared" ca="1" si="336"/>
        <v>-86.077842642948355</v>
      </c>
      <c r="P754" s="310">
        <f t="shared" ca="1" si="337"/>
        <v>23</v>
      </c>
      <c r="Q754" s="304">
        <f t="shared" ca="1" si="338"/>
        <v>0</v>
      </c>
      <c r="R754" s="306">
        <f t="shared" ca="1" si="339"/>
        <v>0</v>
      </c>
      <c r="S754" s="307">
        <f t="shared" ca="1" si="340"/>
        <v>5.0829999999999913</v>
      </c>
      <c r="T754" s="304">
        <f t="shared" ca="1" si="320"/>
        <v>49.864229999999914</v>
      </c>
      <c r="U754" s="311">
        <f t="shared" ca="1" si="321"/>
        <v>0</v>
      </c>
      <c r="V754" s="306">
        <f t="shared" ca="1" si="322"/>
        <v>1.1498023937872512</v>
      </c>
      <c r="W754" s="304">
        <f t="shared" ca="1" si="323"/>
        <v>45.794426352788669</v>
      </c>
      <c r="Y754" s="314" t="str">
        <f t="shared" ca="1" si="341"/>
        <v/>
      </c>
      <c r="Z754" s="315" t="str">
        <f t="shared" ca="1" si="342"/>
        <v/>
      </c>
      <c r="AA754" s="316" t="str">
        <f t="shared" ca="1" si="343"/>
        <v/>
      </c>
      <c r="AC754" s="310">
        <f t="shared" ca="1" si="344"/>
        <v>39.000000000000242</v>
      </c>
      <c r="AD754" s="323">
        <f t="shared" ca="1" si="345"/>
        <v>941.65871499016441</v>
      </c>
      <c r="AE754" s="324" t="e">
        <f t="shared" ca="1" si="324"/>
        <v>#N/A</v>
      </c>
      <c r="AG754" s="306">
        <f t="shared" ca="1" si="346"/>
        <v>0.8001746116766526</v>
      </c>
      <c r="AH754" s="304">
        <f t="shared" ca="1" si="347"/>
        <v>-8.9864489061019146</v>
      </c>
    </row>
    <row r="755" spans="1:34" x14ac:dyDescent="0.2">
      <c r="A755" s="347">
        <f t="shared" ca="1" si="325"/>
        <v>0.1</v>
      </c>
      <c r="B755" s="304">
        <f t="shared" ca="1" si="326"/>
        <v>39.100000000000243</v>
      </c>
      <c r="D755" s="306">
        <f t="shared" ca="1" si="327"/>
        <v>-0.61624818859626462</v>
      </c>
      <c r="E755" s="307">
        <f t="shared" ca="1" si="328"/>
        <v>-0.8217703535781844</v>
      </c>
      <c r="F755" s="304">
        <f t="shared" ca="1" si="329"/>
        <v>1.0271651979930938</v>
      </c>
      <c r="G755" s="306">
        <f t="shared" ca="1" si="330"/>
        <v>7.7287101230393098</v>
      </c>
      <c r="H755" s="307">
        <f t="shared" ca="1" si="331"/>
        <v>-113.70737022226444</v>
      </c>
      <c r="I755" s="304">
        <f t="shared" ca="1" si="332"/>
        <v>113.96972845027349</v>
      </c>
      <c r="J755" s="306">
        <f t="shared" ca="1" si="333"/>
        <v>942.43466724341135</v>
      </c>
      <c r="K755" s="307">
        <f t="shared" ca="1" si="334"/>
        <v>621.9290633740203</v>
      </c>
      <c r="L755" s="304">
        <f t="shared" ca="1" si="319"/>
        <v>1129.1496189130498</v>
      </c>
      <c r="M755" s="306">
        <f t="shared" ca="1" si="335"/>
        <v>-1.5029305330500071</v>
      </c>
      <c r="N755" s="304">
        <f t="shared" ca="1" si="336"/>
        <v>-86.11157644511249</v>
      </c>
      <c r="P755" s="310">
        <f t="shared" ca="1" si="337"/>
        <v>23</v>
      </c>
      <c r="Q755" s="304">
        <f t="shared" ca="1" si="338"/>
        <v>0</v>
      </c>
      <c r="R755" s="306">
        <f t="shared" ca="1" si="339"/>
        <v>0</v>
      </c>
      <c r="S755" s="307">
        <f t="shared" ca="1" si="340"/>
        <v>5.0829999999999913</v>
      </c>
      <c r="T755" s="304">
        <f t="shared" ca="1" si="320"/>
        <v>49.864229999999914</v>
      </c>
      <c r="U755" s="311">
        <f t="shared" ca="1" si="321"/>
        <v>0</v>
      </c>
      <c r="V755" s="306">
        <f t="shared" ca="1" si="322"/>
        <v>1.1511113642383441</v>
      </c>
      <c r="W755" s="304">
        <f t="shared" ca="1" si="323"/>
        <v>45.909208668497421</v>
      </c>
      <c r="Y755" s="314" t="str">
        <f t="shared" ca="1" si="341"/>
        <v/>
      </c>
      <c r="Z755" s="315" t="str">
        <f t="shared" ca="1" si="342"/>
        <v/>
      </c>
      <c r="AA755" s="316" t="str">
        <f t="shared" ca="1" si="343"/>
        <v/>
      </c>
      <c r="AC755" s="310" t="e">
        <f t="shared" ca="1" si="344"/>
        <v>#N/A</v>
      </c>
      <c r="AD755" s="323" t="e">
        <f t="shared" ca="1" si="345"/>
        <v>#N/A</v>
      </c>
      <c r="AE755" s="324" t="e">
        <f t="shared" ca="1" si="324"/>
        <v>#N/A</v>
      </c>
      <c r="AG755" s="306">
        <f t="shared" ca="1" si="346"/>
        <v>0.77769362697661215</v>
      </c>
      <c r="AH755" s="304">
        <f t="shared" ca="1" si="347"/>
        <v>-9.0093303861476972</v>
      </c>
    </row>
    <row r="756" spans="1:34" x14ac:dyDescent="0.2">
      <c r="A756" s="347">
        <f t="shared" ca="1" si="325"/>
        <v>0.1</v>
      </c>
      <c r="B756" s="304">
        <f t="shared" ca="1" si="326"/>
        <v>39.200000000000244</v>
      </c>
      <c r="D756" s="306">
        <f t="shared" ca="1" si="327"/>
        <v>-0.61248746147043209</v>
      </c>
      <c r="E756" s="307">
        <f t="shared" ca="1" si="328"/>
        <v>-0.79887945993685783</v>
      </c>
      <c r="F756" s="304">
        <f t="shared" ca="1" si="329"/>
        <v>1.0066525130190158</v>
      </c>
      <c r="G756" s="306">
        <f t="shared" ca="1" si="330"/>
        <v>7.667461376892267</v>
      </c>
      <c r="H756" s="307">
        <f t="shared" ca="1" si="331"/>
        <v>-113.78725816825813</v>
      </c>
      <c r="I756" s="304">
        <f t="shared" ca="1" si="332"/>
        <v>114.04529839241933</v>
      </c>
      <c r="J756" s="306">
        <f t="shared" ca="1" si="333"/>
        <v>943.2044758184079</v>
      </c>
      <c r="K756" s="307">
        <f t="shared" ca="1" si="334"/>
        <v>610.55433195449416</v>
      </c>
      <c r="L756" s="304">
        <f t="shared" ca="1" si="319"/>
        <v>1123.5707701218807</v>
      </c>
      <c r="M756" s="306">
        <f t="shared" ca="1" si="335"/>
        <v>-1.5035138561181129</v>
      </c>
      <c r="N756" s="304">
        <f t="shared" ca="1" si="336"/>
        <v>-86.144998395007576</v>
      </c>
      <c r="P756" s="310">
        <f t="shared" ca="1" si="337"/>
        <v>23</v>
      </c>
      <c r="Q756" s="304">
        <f t="shared" ca="1" si="338"/>
        <v>0</v>
      </c>
      <c r="R756" s="306">
        <f t="shared" ca="1" si="339"/>
        <v>0</v>
      </c>
      <c r="S756" s="307">
        <f t="shared" ca="1" si="340"/>
        <v>5.0829999999999913</v>
      </c>
      <c r="T756" s="304">
        <f t="shared" ca="1" si="320"/>
        <v>49.864229999999914</v>
      </c>
      <c r="U756" s="311">
        <f t="shared" ca="1" si="321"/>
        <v>0</v>
      </c>
      <c r="V756" s="306">
        <f t="shared" ca="1" si="322"/>
        <v>1.1524227131790754</v>
      </c>
      <c r="W756" s="304">
        <f t="shared" ca="1" si="323"/>
        <v>46.022480183817642</v>
      </c>
      <c r="Y756" s="314" t="str">
        <f t="shared" ca="1" si="341"/>
        <v/>
      </c>
      <c r="Z756" s="315" t="str">
        <f t="shared" ca="1" si="342"/>
        <v/>
      </c>
      <c r="AA756" s="316" t="str">
        <f t="shared" ca="1" si="343"/>
        <v/>
      </c>
      <c r="AC756" s="310" t="e">
        <f t="shared" ca="1" si="344"/>
        <v>#N/A</v>
      </c>
      <c r="AD756" s="323" t="e">
        <f t="shared" ca="1" si="345"/>
        <v>#N/A</v>
      </c>
      <c r="AE756" s="324" t="e">
        <f t="shared" ca="1" si="324"/>
        <v>#N/A</v>
      </c>
      <c r="AG756" s="306">
        <f t="shared" ca="1" si="346"/>
        <v>0.75550539288922103</v>
      </c>
      <c r="AH756" s="304">
        <f t="shared" ca="1" si="347"/>
        <v>-9.0319119945893167</v>
      </c>
    </row>
    <row r="757" spans="1:34" x14ac:dyDescent="0.2">
      <c r="A757" s="347">
        <f t="shared" ca="1" si="325"/>
        <v>0.1</v>
      </c>
      <c r="B757" s="304">
        <f t="shared" ca="1" si="326"/>
        <v>39.300000000000246</v>
      </c>
      <c r="D757" s="306">
        <f t="shared" ca="1" si="327"/>
        <v>-0.60872918039860313</v>
      </c>
      <c r="E757" s="307">
        <f t="shared" ca="1" si="328"/>
        <v>-0.7762897535660862</v>
      </c>
      <c r="F757" s="304">
        <f t="shared" ca="1" si="329"/>
        <v>0.98649733733064382</v>
      </c>
      <c r="G757" s="306">
        <f t="shared" ca="1" si="330"/>
        <v>7.6065884588524071</v>
      </c>
      <c r="H757" s="307">
        <f t="shared" ca="1" si="331"/>
        <v>-113.86488714361474</v>
      </c>
      <c r="I757" s="304">
        <f t="shared" ca="1" si="332"/>
        <v>114.11867819165479</v>
      </c>
      <c r="J757" s="306">
        <f t="shared" ca="1" si="333"/>
        <v>943.96817831019519</v>
      </c>
      <c r="K757" s="307">
        <f t="shared" ca="1" si="334"/>
        <v>599.17172468890055</v>
      </c>
      <c r="L757" s="304">
        <f t="shared" ca="1" si="319"/>
        <v>1118.0709625640673</v>
      </c>
      <c r="M757" s="306">
        <f t="shared" ca="1" si="335"/>
        <v>-1.5040918011170012</v>
      </c>
      <c r="N757" s="304">
        <f t="shared" ca="1" si="336"/>
        <v>-86.178112204234566</v>
      </c>
      <c r="P757" s="310">
        <f t="shared" ca="1" si="337"/>
        <v>23</v>
      </c>
      <c r="Q757" s="304">
        <f t="shared" ca="1" si="338"/>
        <v>0</v>
      </c>
      <c r="R757" s="306">
        <f t="shared" ca="1" si="339"/>
        <v>0</v>
      </c>
      <c r="S757" s="307">
        <f t="shared" ca="1" si="340"/>
        <v>5.0829999999999913</v>
      </c>
      <c r="T757" s="304">
        <f t="shared" ca="1" si="320"/>
        <v>49.864229999999914</v>
      </c>
      <c r="U757" s="311">
        <f t="shared" ca="1" si="321"/>
        <v>0</v>
      </c>
      <c r="V757" s="306">
        <f t="shared" ca="1" si="322"/>
        <v>1.1537364198372895</v>
      </c>
      <c r="W757" s="304">
        <f t="shared" ca="1" si="323"/>
        <v>46.134254385637327</v>
      </c>
      <c r="Y757" s="314" t="str">
        <f t="shared" ca="1" si="341"/>
        <v/>
      </c>
      <c r="Z757" s="315" t="str">
        <f t="shared" ca="1" si="342"/>
        <v/>
      </c>
      <c r="AA757" s="316" t="str">
        <f t="shared" ca="1" si="343"/>
        <v/>
      </c>
      <c r="AC757" s="310" t="e">
        <f t="shared" ca="1" si="344"/>
        <v>#N/A</v>
      </c>
      <c r="AD757" s="323" t="e">
        <f t="shared" ca="1" si="345"/>
        <v>#N/A</v>
      </c>
      <c r="AE757" s="324" t="e">
        <f t="shared" ca="1" si="324"/>
        <v>#N/A</v>
      </c>
      <c r="AG757" s="306">
        <f t="shared" ca="1" si="346"/>
        <v>0.7336074025149415</v>
      </c>
      <c r="AH757" s="304">
        <f t="shared" ca="1" si="347"/>
        <v>-9.0541963769068889</v>
      </c>
    </row>
    <row r="758" spans="1:34" x14ac:dyDescent="0.2">
      <c r="A758" s="347">
        <f t="shared" ca="1" si="325"/>
        <v>0.1</v>
      </c>
      <c r="B758" s="304">
        <f t="shared" ca="1" si="326"/>
        <v>39.400000000000247</v>
      </c>
      <c r="D758" s="306">
        <f t="shared" ca="1" si="327"/>
        <v>-0.60497382365548058</v>
      </c>
      <c r="E758" s="307">
        <f t="shared" ca="1" si="328"/>
        <v>-0.7539985444190993</v>
      </c>
      <c r="F758" s="304">
        <f t="shared" ca="1" si="329"/>
        <v>0.96669909087288008</v>
      </c>
      <c r="G758" s="306">
        <f t="shared" ca="1" si="330"/>
        <v>7.5460910764868592</v>
      </c>
      <c r="H758" s="307">
        <f t="shared" ca="1" si="331"/>
        <v>-113.94028699805665</v>
      </c>
      <c r="I758" s="304">
        <f t="shared" ca="1" si="332"/>
        <v>114.18989662721546</v>
      </c>
      <c r="J758" s="306">
        <f t="shared" ca="1" si="333"/>
        <v>944.7258122869622</v>
      </c>
      <c r="K758" s="307">
        <f t="shared" ca="1" si="334"/>
        <v>587.78146598181695</v>
      </c>
      <c r="L758" s="304">
        <f t="shared" ca="1" si="319"/>
        <v>1112.6517479216013</v>
      </c>
      <c r="M758" s="306">
        <f t="shared" ca="1" si="335"/>
        <v>-1.5046644316996172</v>
      </c>
      <c r="N758" s="304">
        <f t="shared" ca="1" si="336"/>
        <v>-86.210921519838578</v>
      </c>
      <c r="P758" s="310">
        <f t="shared" ca="1" si="337"/>
        <v>23</v>
      </c>
      <c r="Q758" s="304">
        <f t="shared" ca="1" si="338"/>
        <v>0</v>
      </c>
      <c r="R758" s="306">
        <f t="shared" ca="1" si="339"/>
        <v>0</v>
      </c>
      <c r="S758" s="307">
        <f t="shared" ca="1" si="340"/>
        <v>5.0829999999999913</v>
      </c>
      <c r="T758" s="304">
        <f t="shared" ca="1" si="320"/>
        <v>49.864229999999914</v>
      </c>
      <c r="U758" s="311">
        <f t="shared" ca="1" si="321"/>
        <v>0</v>
      </c>
      <c r="V758" s="306">
        <f t="shared" ca="1" si="322"/>
        <v>1.1550524636889634</v>
      </c>
      <c r="W758" s="304">
        <f t="shared" ca="1" si="323"/>
        <v>46.244544795179046</v>
      </c>
      <c r="Y758" s="314" t="str">
        <f t="shared" ca="1" si="341"/>
        <v/>
      </c>
      <c r="Z758" s="315" t="str">
        <f t="shared" ca="1" si="342"/>
        <v/>
      </c>
      <c r="AA758" s="316" t="str">
        <f t="shared" ca="1" si="343"/>
        <v/>
      </c>
      <c r="AC758" s="310" t="e">
        <f t="shared" ca="1" si="344"/>
        <v>#N/A</v>
      </c>
      <c r="AD758" s="323" t="e">
        <f t="shared" ca="1" si="345"/>
        <v>#N/A</v>
      </c>
      <c r="AE758" s="324" t="e">
        <f t="shared" ca="1" si="324"/>
        <v>#N/A</v>
      </c>
      <c r="AG758" s="306">
        <f t="shared" ca="1" si="346"/>
        <v>0.71199713797374287</v>
      </c>
      <c r="AH758" s="304">
        <f t="shared" ca="1" si="347"/>
        <v>-9.0761861864326985</v>
      </c>
    </row>
    <row r="759" spans="1:34" x14ac:dyDescent="0.2">
      <c r="A759" s="347">
        <f t="shared" ca="1" si="325"/>
        <v>0.1</v>
      </c>
      <c r="B759" s="304">
        <f t="shared" ca="1" si="326"/>
        <v>39.500000000000249</v>
      </c>
      <c r="D759" s="306">
        <f t="shared" ca="1" si="327"/>
        <v>-0.60122185870506317</v>
      </c>
      <c r="E759" s="307">
        <f t="shared" ca="1" si="328"/>
        <v>-0.73200313566157504</v>
      </c>
      <c r="F759" s="304">
        <f t="shared" ca="1" si="329"/>
        <v>0.94725725861729304</v>
      </c>
      <c r="G759" s="306">
        <f t="shared" ca="1" si="330"/>
        <v>7.4859688906163528</v>
      </c>
      <c r="H759" s="307">
        <f t="shared" ca="1" si="331"/>
        <v>-114.01348731162281</v>
      </c>
      <c r="I759" s="304">
        <f t="shared" ca="1" si="332"/>
        <v>114.25898222542004</v>
      </c>
      <c r="J759" s="306">
        <f t="shared" ca="1" si="333"/>
        <v>945.47741528531731</v>
      </c>
      <c r="K759" s="307">
        <f t="shared" ca="1" si="334"/>
        <v>576.38377726633303</v>
      </c>
      <c r="L759" s="304">
        <f t="shared" ca="1" si="319"/>
        <v>1107.3146804366002</v>
      </c>
      <c r="M759" s="306">
        <f t="shared" ca="1" si="335"/>
        <v>-1.505231810418336</v>
      </c>
      <c r="N759" s="304">
        <f t="shared" ca="1" si="336"/>
        <v>-86.243429925806709</v>
      </c>
      <c r="P759" s="310">
        <f t="shared" ca="1" si="337"/>
        <v>23</v>
      </c>
      <c r="Q759" s="304">
        <f t="shared" ca="1" si="338"/>
        <v>0</v>
      </c>
      <c r="R759" s="306">
        <f t="shared" ca="1" si="339"/>
        <v>0</v>
      </c>
      <c r="S759" s="307">
        <f t="shared" ca="1" si="340"/>
        <v>5.0829999999999913</v>
      </c>
      <c r="T759" s="304">
        <f t="shared" ca="1" si="320"/>
        <v>49.864229999999914</v>
      </c>
      <c r="U759" s="311">
        <f t="shared" ca="1" si="321"/>
        <v>0</v>
      </c>
      <c r="V759" s="306">
        <f t="shared" ca="1" si="322"/>
        <v>1.156370824456399</v>
      </c>
      <c r="W759" s="304">
        <f t="shared" ca="1" si="323"/>
        <v>46.353364962575405</v>
      </c>
      <c r="Y759" s="314" t="str">
        <f t="shared" ca="1" si="341"/>
        <v/>
      </c>
      <c r="Z759" s="315" t="str">
        <f t="shared" ca="1" si="342"/>
        <v/>
      </c>
      <c r="AA759" s="316" t="str">
        <f t="shared" ca="1" si="343"/>
        <v/>
      </c>
      <c r="AC759" s="310" t="e">
        <f t="shared" ca="1" si="344"/>
        <v>#N/A</v>
      </c>
      <c r="AD759" s="323" t="e">
        <f t="shared" ca="1" si="345"/>
        <v>#N/A</v>
      </c>
      <c r="AE759" s="324" t="e">
        <f t="shared" ca="1" si="324"/>
        <v>#N/A</v>
      </c>
      <c r="AG759" s="306">
        <f t="shared" ca="1" si="346"/>
        <v>0.69067207158673583</v>
      </c>
      <c r="AH759" s="304">
        <f t="shared" ca="1" si="347"/>
        <v>-9.0978840832538115</v>
      </c>
    </row>
    <row r="760" spans="1:34" x14ac:dyDescent="0.2">
      <c r="A760" s="347">
        <f t="shared" ca="1" si="325"/>
        <v>0.1</v>
      </c>
      <c r="B760" s="304">
        <f t="shared" ca="1" si="326"/>
        <v>39.60000000000025</v>
      </c>
      <c r="D760" s="306">
        <f t="shared" ca="1" si="327"/>
        <v>-0.59747374232744244</v>
      </c>
      <c r="E760" s="307">
        <f t="shared" ca="1" si="328"/>
        <v>-0.71030082475148681</v>
      </c>
      <c r="F760" s="304">
        <f t="shared" ca="1" si="329"/>
        <v>0.92817139280059779</v>
      </c>
      <c r="G760" s="306">
        <f t="shared" ca="1" si="330"/>
        <v>7.4262215163836087</v>
      </c>
      <c r="H760" s="307">
        <f t="shared" ca="1" si="331"/>
        <v>-114.08451739409796</v>
      </c>
      <c r="I760" s="304">
        <f t="shared" ca="1" si="332"/>
        <v>114.32596325880941</v>
      </c>
      <c r="J760" s="306">
        <f t="shared" ca="1" si="333"/>
        <v>946.22302480566725</v>
      </c>
      <c r="K760" s="307">
        <f t="shared" ca="1" si="334"/>
        <v>564.97887703104698</v>
      </c>
      <c r="L760" s="304">
        <f t="shared" ca="1" si="319"/>
        <v>1102.061315972777</v>
      </c>
      <c r="M760" s="306">
        <f t="shared" ca="1" si="335"/>
        <v>-1.5057939987503883</v>
      </c>
      <c r="N760" s="304">
        <f t="shared" ca="1" si="336"/>
        <v>-86.27564094452481</v>
      </c>
      <c r="P760" s="310">
        <f t="shared" ca="1" si="337"/>
        <v>23</v>
      </c>
      <c r="Q760" s="304">
        <f t="shared" ca="1" si="338"/>
        <v>0</v>
      </c>
      <c r="R760" s="306">
        <f t="shared" ca="1" si="339"/>
        <v>0</v>
      </c>
      <c r="S760" s="307">
        <f t="shared" ca="1" si="340"/>
        <v>5.0829999999999913</v>
      </c>
      <c r="T760" s="304">
        <f t="shared" ca="1" si="320"/>
        <v>49.864229999999914</v>
      </c>
      <c r="U760" s="311">
        <f t="shared" ca="1" si="321"/>
        <v>0</v>
      </c>
      <c r="V760" s="306">
        <f t="shared" ca="1" si="322"/>
        <v>1.1576914821064042</v>
      </c>
      <c r="W760" s="304">
        <f t="shared" ca="1" si="323"/>
        <v>46.460728461596517</v>
      </c>
      <c r="Y760" s="314" t="str">
        <f t="shared" ca="1" si="341"/>
        <v/>
      </c>
      <c r="Z760" s="315" t="str">
        <f t="shared" ca="1" si="342"/>
        <v/>
      </c>
      <c r="AA760" s="316" t="str">
        <f t="shared" ca="1" si="343"/>
        <v/>
      </c>
      <c r="AC760" s="310" t="e">
        <f t="shared" ca="1" si="344"/>
        <v>#N/A</v>
      </c>
      <c r="AD760" s="323" t="e">
        <f t="shared" ca="1" si="345"/>
        <v>#N/A</v>
      </c>
      <c r="AE760" s="324" t="e">
        <f t="shared" ca="1" si="324"/>
        <v>#N/A</v>
      </c>
      <c r="AG760" s="306">
        <f t="shared" ca="1" si="346"/>
        <v>0.66962966702492999</v>
      </c>
      <c r="AH760" s="304">
        <f t="shared" ca="1" si="347"/>
        <v>-9.1192927331448921</v>
      </c>
    </row>
    <row r="761" spans="1:34" x14ac:dyDescent="0.2">
      <c r="A761" s="347">
        <f t="shared" ca="1" si="325"/>
        <v>0.1</v>
      </c>
      <c r="B761" s="304">
        <f t="shared" ca="1" si="326"/>
        <v>39.700000000000252</v>
      </c>
      <c r="D761" s="306">
        <f t="shared" ca="1" si="327"/>
        <v>-0.59372992074659592</v>
      </c>
      <c r="E761" s="307">
        <f t="shared" ca="1" si="328"/>
        <v>-0.68888890448868345</v>
      </c>
      <c r="F761" s="304">
        <f t="shared" ca="1" si="329"/>
        <v>0.90944111492574242</v>
      </c>
      <c r="G761" s="306">
        <f t="shared" ca="1" si="330"/>
        <v>7.3668485243089492</v>
      </c>
      <c r="H761" s="307">
        <f t="shared" ca="1" si="331"/>
        <v>-114.15340628454683</v>
      </c>
      <c r="I761" s="304">
        <f t="shared" ca="1" si="332"/>
        <v>114.3908677453971</v>
      </c>
      <c r="J761" s="306">
        <f t="shared" ca="1" si="333"/>
        <v>946.96267830770194</v>
      </c>
      <c r="K761" s="307">
        <f t="shared" ca="1" si="334"/>
        <v>553.56698084711479</v>
      </c>
      <c r="L761" s="304">
        <f t="shared" ca="1" si="319"/>
        <v>1096.893211024613</v>
      </c>
      <c r="M761" s="306">
        <f t="shared" ca="1" si="335"/>
        <v>-1.506351057122592</v>
      </c>
      <c r="N761" s="304">
        <f t="shared" ca="1" si="336"/>
        <v>-86.3075580381945</v>
      </c>
      <c r="P761" s="310">
        <f t="shared" ca="1" si="337"/>
        <v>23</v>
      </c>
      <c r="Q761" s="304">
        <f t="shared" ca="1" si="338"/>
        <v>0</v>
      </c>
      <c r="R761" s="306">
        <f t="shared" ca="1" si="339"/>
        <v>0</v>
      </c>
      <c r="S761" s="307">
        <f t="shared" ca="1" si="340"/>
        <v>5.0829999999999913</v>
      </c>
      <c r="T761" s="304">
        <f t="shared" ca="1" si="320"/>
        <v>49.864229999999914</v>
      </c>
      <c r="U761" s="311">
        <f t="shared" ca="1" si="321"/>
        <v>0</v>
      </c>
      <c r="V761" s="306">
        <f t="shared" ca="1" si="322"/>
        <v>1.1590144168484604</v>
      </c>
      <c r="W761" s="304">
        <f t="shared" ca="1" si="323"/>
        <v>46.566648884526991</v>
      </c>
      <c r="Y761" s="314" t="str">
        <f t="shared" ca="1" si="341"/>
        <v/>
      </c>
      <c r="Z761" s="315" t="str">
        <f t="shared" ca="1" si="342"/>
        <v/>
      </c>
      <c r="AA761" s="316" t="str">
        <f t="shared" ca="1" si="343"/>
        <v/>
      </c>
      <c r="AC761" s="310" t="e">
        <f t="shared" ca="1" si="344"/>
        <v>#N/A</v>
      </c>
      <c r="AD761" s="323" t="e">
        <f t="shared" ca="1" si="345"/>
        <v>#N/A</v>
      </c>
      <c r="AE761" s="324" t="e">
        <f t="shared" ca="1" si="324"/>
        <v>#N/A</v>
      </c>
      <c r="AG761" s="306">
        <f t="shared" ca="1" si="346"/>
        <v>0.64886738042554803</v>
      </c>
      <c r="AH761" s="304">
        <f t="shared" ca="1" si="347"/>
        <v>-9.1404148065309059</v>
      </c>
    </row>
    <row r="762" spans="1:34" x14ac:dyDescent="0.2">
      <c r="A762" s="347">
        <f t="shared" ca="1" si="325"/>
        <v>0.1</v>
      </c>
      <c r="B762" s="304">
        <f t="shared" ca="1" si="326"/>
        <v>39.800000000000253</v>
      </c>
      <c r="D762" s="306">
        <f t="shared" ca="1" si="327"/>
        <v>-0.58999082975904571</v>
      </c>
      <c r="E762" s="307">
        <f t="shared" ca="1" si="328"/>
        <v>-0.66776466403468682</v>
      </c>
      <c r="F762" s="304">
        <f t="shared" ca="1" si="329"/>
        <v>0.89106611748687059</v>
      </c>
      <c r="G762" s="306">
        <f t="shared" ca="1" si="330"/>
        <v>7.3078494413330448</v>
      </c>
      <c r="H762" s="307">
        <f t="shared" ca="1" si="331"/>
        <v>-114.2201827509503</v>
      </c>
      <c r="I762" s="304">
        <f t="shared" ca="1" si="332"/>
        <v>114.45372344802801</v>
      </c>
      <c r="J762" s="306">
        <f t="shared" ca="1" si="333"/>
        <v>947.69641320598407</v>
      </c>
      <c r="K762" s="307">
        <f t="shared" ca="1" si="334"/>
        <v>542.1483013953399</v>
      </c>
      <c r="L762" s="304">
        <f t="shared" ca="1" si="319"/>
        <v>1091.811921673939</v>
      </c>
      <c r="M762" s="306">
        <f t="shared" ca="1" si="335"/>
        <v>-1.5069030449354106</v>
      </c>
      <c r="N762" s="304">
        <f t="shared" ca="1" si="336"/>
        <v>-86.339184610211674</v>
      </c>
      <c r="P762" s="310">
        <f t="shared" ca="1" si="337"/>
        <v>23</v>
      </c>
      <c r="Q762" s="304">
        <f t="shared" ca="1" si="338"/>
        <v>0</v>
      </c>
      <c r="R762" s="306">
        <f t="shared" ca="1" si="339"/>
        <v>0</v>
      </c>
      <c r="S762" s="307">
        <f t="shared" ca="1" si="340"/>
        <v>5.0829999999999913</v>
      </c>
      <c r="T762" s="304">
        <f t="shared" ca="1" si="320"/>
        <v>49.864229999999914</v>
      </c>
      <c r="U762" s="311">
        <f t="shared" ca="1" si="321"/>
        <v>0</v>
      </c>
      <c r="V762" s="306">
        <f t="shared" ca="1" si="322"/>
        <v>1.1603396091328793</v>
      </c>
      <c r="W762" s="304">
        <f t="shared" ca="1" si="323"/>
        <v>46.671139837190367</v>
      </c>
      <c r="Y762" s="314" t="str">
        <f t="shared" ca="1" si="341"/>
        <v/>
      </c>
      <c r="Z762" s="315" t="str">
        <f t="shared" ca="1" si="342"/>
        <v/>
      </c>
      <c r="AA762" s="316" t="str">
        <f t="shared" ca="1" si="343"/>
        <v/>
      </c>
      <c r="AC762" s="310" t="e">
        <f t="shared" ca="1" si="344"/>
        <v>#N/A</v>
      </c>
      <c r="AD762" s="323" t="e">
        <f t="shared" ca="1" si="345"/>
        <v>#N/A</v>
      </c>
      <c r="AE762" s="324" t="e">
        <f t="shared" ca="1" si="324"/>
        <v>#N/A</v>
      </c>
      <c r="AG762" s="306">
        <f t="shared" ca="1" si="346"/>
        <v>0.62838266147641519</v>
      </c>
      <c r="AH762" s="304">
        <f t="shared" ca="1" si="347"/>
        <v>-9.1612529774792577</v>
      </c>
    </row>
    <row r="763" spans="1:34" x14ac:dyDescent="0.2">
      <c r="A763" s="347">
        <f t="shared" ca="1" si="325"/>
        <v>0.1</v>
      </c>
      <c r="B763" s="304">
        <f t="shared" ca="1" si="326"/>
        <v>39.900000000000254</v>
      </c>
      <c r="D763" s="306">
        <f t="shared" ca="1" si="327"/>
        <v>-0.58625689486328691</v>
      </c>
      <c r="E763" s="307">
        <f t="shared" ca="1" si="328"/>
        <v>-0.64692538990314574</v>
      </c>
      <c r="F763" s="304">
        <f t="shared" ca="1" si="329"/>
        <v>0.87304616537505064</v>
      </c>
      <c r="G763" s="306">
        <f t="shared" ca="1" si="330"/>
        <v>7.2492237518467162</v>
      </c>
      <c r="H763" s="307">
        <f t="shared" ca="1" si="331"/>
        <v>-114.28487528994062</v>
      </c>
      <c r="I763" s="304">
        <f t="shared" ca="1" si="332"/>
        <v>114.51455787384248</v>
      </c>
      <c r="J763" s="306">
        <f t="shared" ca="1" si="333"/>
        <v>948.42426686564306</v>
      </c>
      <c r="K763" s="307">
        <f t="shared" ca="1" si="334"/>
        <v>530.72304849329532</v>
      </c>
      <c r="L763" s="304">
        <f t="shared" ca="1" si="319"/>
        <v>1086.8190024938142</v>
      </c>
      <c r="M763" s="306">
        <f t="shared" ca="1" si="335"/>
        <v>-1.5074500205863608</v>
      </c>
      <c r="N763" s="304">
        <f t="shared" ca="1" si="336"/>
        <v>-86.370524006507537</v>
      </c>
      <c r="P763" s="310">
        <f t="shared" ca="1" si="337"/>
        <v>23</v>
      </c>
      <c r="Q763" s="304">
        <f t="shared" ca="1" si="338"/>
        <v>0</v>
      </c>
      <c r="R763" s="306">
        <f t="shared" ca="1" si="339"/>
        <v>0</v>
      </c>
      <c r="S763" s="307">
        <f t="shared" ca="1" si="340"/>
        <v>5.0829999999999913</v>
      </c>
      <c r="T763" s="304">
        <f t="shared" ca="1" si="320"/>
        <v>49.864229999999914</v>
      </c>
      <c r="U763" s="311">
        <f t="shared" ca="1" si="321"/>
        <v>0</v>
      </c>
      <c r="V763" s="306">
        <f t="shared" ca="1" si="322"/>
        <v>1.1616670396489521</v>
      </c>
      <c r="W763" s="304">
        <f t="shared" ca="1" si="323"/>
        <v>46.7742149341192</v>
      </c>
      <c r="Y763" s="314" t="str">
        <f t="shared" ca="1" si="341"/>
        <v/>
      </c>
      <c r="Z763" s="315" t="str">
        <f t="shared" ca="1" si="342"/>
        <v/>
      </c>
      <c r="AA763" s="316" t="str">
        <f t="shared" ca="1" si="343"/>
        <v/>
      </c>
      <c r="AC763" s="310" t="e">
        <f t="shared" ca="1" si="344"/>
        <v>#N/A</v>
      </c>
      <c r="AD763" s="323" t="e">
        <f t="shared" ca="1" si="345"/>
        <v>#N/A</v>
      </c>
      <c r="AE763" s="324" t="e">
        <f t="shared" ca="1" si="324"/>
        <v>#N/A</v>
      </c>
      <c r="AG763" s="306">
        <f t="shared" ca="1" si="346"/>
        <v>0.60817295446897823</v>
      </c>
      <c r="AH763" s="304">
        <f t="shared" ca="1" si="347"/>
        <v>-9.1818099227209213</v>
      </c>
    </row>
    <row r="764" spans="1:34" x14ac:dyDescent="0.2">
      <c r="A764" s="347">
        <f t="shared" ca="1" si="325"/>
        <v>0.1</v>
      </c>
      <c r="B764" s="304">
        <f t="shared" ca="1" si="326"/>
        <v>40.000000000000256</v>
      </c>
      <c r="D764" s="306">
        <f t="shared" ca="1" si="327"/>
        <v>-0.58252853138988492</v>
      </c>
      <c r="E764" s="307">
        <f t="shared" ca="1" si="328"/>
        <v>-0.62636836692126607</v>
      </c>
      <c r="F764" s="304">
        <f t="shared" ca="1" si="329"/>
        <v>0.85538109691696473</v>
      </c>
      <c r="G764" s="306">
        <f t="shared" ca="1" si="330"/>
        <v>7.1909708987077279</v>
      </c>
      <c r="H764" s="307">
        <f t="shared" ca="1" si="331"/>
        <v>-114.34751212663274</v>
      </c>
      <c r="I764" s="304">
        <f t="shared" ca="1" si="332"/>
        <v>114.57339827384227</v>
      </c>
      <c r="J764" s="306">
        <f t="shared" ca="1" si="333"/>
        <v>949.14627659817074</v>
      </c>
      <c r="K764" s="307">
        <f t="shared" ca="1" si="334"/>
        <v>519.29142912246664</v>
      </c>
      <c r="L764" s="304">
        <f t="shared" ca="1" si="319"/>
        <v>1081.9160053997839</v>
      </c>
      <c r="M764" s="306">
        <f t="shared" ca="1" si="335"/>
        <v>-1.5079920414927885</v>
      </c>
      <c r="N764" s="304">
        <f t="shared" ca="1" si="336"/>
        <v>-86.401579516853701</v>
      </c>
      <c r="P764" s="310">
        <f t="shared" ca="1" si="337"/>
        <v>23</v>
      </c>
      <c r="Q764" s="304">
        <f t="shared" ca="1" si="338"/>
        <v>0</v>
      </c>
      <c r="R764" s="306">
        <f t="shared" ca="1" si="339"/>
        <v>0</v>
      </c>
      <c r="S764" s="307">
        <f t="shared" ca="1" si="340"/>
        <v>5.0829999999999913</v>
      </c>
      <c r="T764" s="304">
        <f t="shared" ca="1" si="320"/>
        <v>49.864229999999914</v>
      </c>
      <c r="U764" s="311">
        <f t="shared" ca="1" si="321"/>
        <v>0</v>
      </c>
      <c r="V764" s="306">
        <f t="shared" ca="1" si="322"/>
        <v>1.162996689323085</v>
      </c>
      <c r="W764" s="304">
        <f t="shared" ca="1" si="323"/>
        <v>46.875887793868102</v>
      </c>
      <c r="Y764" s="314" t="str">
        <f t="shared" ca="1" si="341"/>
        <v/>
      </c>
      <c r="Z764" s="315" t="str">
        <f t="shared" ca="1" si="342"/>
        <v/>
      </c>
      <c r="AA764" s="316" t="str">
        <f t="shared" ca="1" si="343"/>
        <v/>
      </c>
      <c r="AC764" s="310">
        <f t="shared" ca="1" si="344"/>
        <v>40.000000000000256</v>
      </c>
      <c r="AD764" s="323">
        <f t="shared" ca="1" si="345"/>
        <v>949.14627659817074</v>
      </c>
      <c r="AE764" s="324" t="e">
        <f t="shared" ca="1" si="324"/>
        <v>#N/A</v>
      </c>
      <c r="AG764" s="306">
        <f t="shared" ca="1" si="346"/>
        <v>0.58823569932035191</v>
      </c>
      <c r="AH764" s="304">
        <f t="shared" ca="1" si="347"/>
        <v>-9.2020883207002324</v>
      </c>
    </row>
    <row r="765" spans="1:34" x14ac:dyDescent="0.2">
      <c r="A765" s="347">
        <f t="shared" ca="1" si="325"/>
        <v>0.1</v>
      </c>
      <c r="B765" s="304">
        <f t="shared" ca="1" si="326"/>
        <v>40.100000000000257</v>
      </c>
      <c r="D765" s="306">
        <f t="shared" ca="1" si="327"/>
        <v>-0.57880614463211943</v>
      </c>
      <c r="E765" s="307">
        <f t="shared" ca="1" si="328"/>
        <v>-0.60609087916280124</v>
      </c>
      <c r="F765" s="304">
        <f t="shared" ca="1" si="329"/>
        <v>0.83807082449410875</v>
      </c>
      <c r="G765" s="306">
        <f t="shared" ca="1" si="330"/>
        <v>7.1330902842445161</v>
      </c>
      <c r="H765" s="307">
        <f t="shared" ca="1" si="331"/>
        <v>-114.40812121454901</v>
      </c>
      <c r="I765" s="304">
        <f t="shared" ca="1" si="332"/>
        <v>114.63027164255577</v>
      </c>
      <c r="J765" s="306">
        <f t="shared" ca="1" si="333"/>
        <v>949.86247965731832</v>
      </c>
      <c r="K765" s="307">
        <f t="shared" ca="1" si="334"/>
        <v>507.85364745540755</v>
      </c>
      <c r="L765" s="304">
        <f t="shared" ca="1" si="319"/>
        <v>1077.1044784488229</v>
      </c>
      <c r="M765" s="306">
        <f t="shared" ca="1" si="335"/>
        <v>-1.5085291641140313</v>
      </c>
      <c r="N765" s="304">
        <f t="shared" ca="1" si="336"/>
        <v>-86.432354376131912</v>
      </c>
      <c r="P765" s="310">
        <f t="shared" ca="1" si="337"/>
        <v>23</v>
      </c>
      <c r="Q765" s="304">
        <f t="shared" ca="1" si="338"/>
        <v>0</v>
      </c>
      <c r="R765" s="306">
        <f t="shared" ca="1" si="339"/>
        <v>0</v>
      </c>
      <c r="S765" s="307">
        <f t="shared" ca="1" si="340"/>
        <v>5.0829999999999913</v>
      </c>
      <c r="T765" s="304">
        <f t="shared" ca="1" si="320"/>
        <v>49.864229999999914</v>
      </c>
      <c r="U765" s="311">
        <f t="shared" ca="1" si="321"/>
        <v>0</v>
      </c>
      <c r="V765" s="306">
        <f t="shared" ca="1" si="322"/>
        <v>1.16432853931693</v>
      </c>
      <c r="W765" s="304">
        <f t="shared" ca="1" si="323"/>
        <v>46.97617203446795</v>
      </c>
      <c r="Y765" s="314" t="str">
        <f t="shared" ca="1" si="341"/>
        <v/>
      </c>
      <c r="Z765" s="315" t="str">
        <f t="shared" ca="1" si="342"/>
        <v/>
      </c>
      <c r="AA765" s="316" t="str">
        <f t="shared" ca="1" si="343"/>
        <v/>
      </c>
      <c r="AC765" s="310" t="e">
        <f t="shared" ca="1" si="344"/>
        <v>#N/A</v>
      </c>
      <c r="AD765" s="323" t="e">
        <f t="shared" ca="1" si="345"/>
        <v>#N/A</v>
      </c>
      <c r="AE765" s="324" t="e">
        <f t="shared" ca="1" si="324"/>
        <v>#N/A</v>
      </c>
      <c r="AG765" s="306">
        <f t="shared" ca="1" si="346"/>
        <v>0.56856833256502526</v>
      </c>
      <c r="AH765" s="304">
        <f t="shared" ca="1" si="347"/>
        <v>-9.2220908506527994</v>
      </c>
    </row>
    <row r="766" spans="1:34" x14ac:dyDescent="0.2">
      <c r="A766" s="347">
        <f t="shared" ca="1" si="325"/>
        <v>0.1</v>
      </c>
      <c r="B766" s="304">
        <f t="shared" ca="1" si="326"/>
        <v>40.200000000000259</v>
      </c>
      <c r="D766" s="306">
        <f t="shared" ca="1" si="327"/>
        <v>-0.5750901299771205</v>
      </c>
      <c r="E766" s="307">
        <f t="shared" ca="1" si="328"/>
        <v>-0.58609021085289825</v>
      </c>
      <c r="F766" s="304">
        <f t="shared" ca="1" si="329"/>
        <v>0.8211153346849005</v>
      </c>
      <c r="G766" s="306">
        <f t="shared" ca="1" si="330"/>
        <v>7.0755812712468042</v>
      </c>
      <c r="H766" s="307">
        <f t="shared" ca="1" si="331"/>
        <v>-114.4667302356343</v>
      </c>
      <c r="I766" s="304">
        <f t="shared" ca="1" si="332"/>
        <v>114.68520471779912</v>
      </c>
      <c r="J766" s="306">
        <f t="shared" ca="1" si="333"/>
        <v>950.57291323509287</v>
      </c>
      <c r="K766" s="307">
        <f t="shared" ca="1" si="334"/>
        <v>496.40990488289839</v>
      </c>
      <c r="L766" s="304">
        <f t="shared" ca="1" si="319"/>
        <v>1072.3859645864914</v>
      </c>
      <c r="M766" s="306">
        <f t="shared" ca="1" si="335"/>
        <v>-1.5090614439729892</v>
      </c>
      <c r="N766" s="304">
        <f t="shared" ca="1" si="336"/>
        <v>-86.462851765570022</v>
      </c>
      <c r="P766" s="310">
        <f t="shared" ca="1" si="337"/>
        <v>23</v>
      </c>
      <c r="Q766" s="304">
        <f t="shared" ca="1" si="338"/>
        <v>0</v>
      </c>
      <c r="R766" s="306">
        <f t="shared" ca="1" si="339"/>
        <v>0</v>
      </c>
      <c r="S766" s="307">
        <f t="shared" ca="1" si="340"/>
        <v>5.0829999999999913</v>
      </c>
      <c r="T766" s="304">
        <f t="shared" ca="1" si="320"/>
        <v>49.864229999999914</v>
      </c>
      <c r="U766" s="311">
        <f t="shared" ca="1" si="321"/>
        <v>0</v>
      </c>
      <c r="V766" s="306">
        <f t="shared" ca="1" si="322"/>
        <v>1.1656625710255062</v>
      </c>
      <c r="W766" s="304">
        <f t="shared" ca="1" si="323"/>
        <v>47.075081269018924</v>
      </c>
      <c r="Y766" s="314" t="str">
        <f t="shared" ca="1" si="341"/>
        <v/>
      </c>
      <c r="Z766" s="315" t="str">
        <f t="shared" ca="1" si="342"/>
        <v/>
      </c>
      <c r="AA766" s="316" t="str">
        <f t="shared" ca="1" si="343"/>
        <v/>
      </c>
      <c r="AC766" s="310" t="e">
        <f t="shared" ca="1" si="344"/>
        <v>#N/A</v>
      </c>
      <c r="AD766" s="323" t="e">
        <f t="shared" ca="1" si="345"/>
        <v>#N/A</v>
      </c>
      <c r="AE766" s="324" t="e">
        <f t="shared" ca="1" si="324"/>
        <v>#N/A</v>
      </c>
      <c r="AG766" s="306">
        <f t="shared" ca="1" si="346"/>
        <v>0.54916828831664333</v>
      </c>
      <c r="AH766" s="304">
        <f t="shared" ca="1" si="347"/>
        <v>-9.2418201917112004</v>
      </c>
    </row>
    <row r="767" spans="1:34" x14ac:dyDescent="0.2">
      <c r="A767" s="347">
        <f t="shared" ca="1" si="325"/>
        <v>0.1</v>
      </c>
      <c r="B767" s="304">
        <f t="shared" ca="1" si="326"/>
        <v>40.30000000000026</v>
      </c>
      <c r="D767" s="306">
        <f t="shared" ca="1" si="327"/>
        <v>-0.57138087303734619</v>
      </c>
      <c r="E767" s="307">
        <f t="shared" ca="1" si="328"/>
        <v>-0.56636364724533017</v>
      </c>
      <c r="F767" s="304">
        <f t="shared" ca="1" si="329"/>
        <v>0.80451468786713443</v>
      </c>
      <c r="G767" s="306">
        <f t="shared" ca="1" si="330"/>
        <v>7.0184431839430692</v>
      </c>
      <c r="H767" s="307">
        <f t="shared" ca="1" si="331"/>
        <v>-114.52336660035884</v>
      </c>
      <c r="I767" s="304">
        <f t="shared" ca="1" si="332"/>
        <v>114.73822398053068</v>
      </c>
      <c r="J767" s="306">
        <f t="shared" ca="1" si="333"/>
        <v>951.27761445785234</v>
      </c>
      <c r="K767" s="307">
        <f t="shared" ca="1" si="334"/>
        <v>484.96040004109875</v>
      </c>
      <c r="L767" s="304">
        <f t="shared" ca="1" si="319"/>
        <v>1067.762000343075</v>
      </c>
      <c r="M767" s="306">
        <f t="shared" ca="1" si="335"/>
        <v>-1.5095889356771182</v>
      </c>
      <c r="N767" s="304">
        <f t="shared" ca="1" si="336"/>
        <v>-86.493074813944773</v>
      </c>
      <c r="P767" s="310">
        <f t="shared" ca="1" si="337"/>
        <v>23</v>
      </c>
      <c r="Q767" s="304">
        <f t="shared" ca="1" si="338"/>
        <v>0</v>
      </c>
      <c r="R767" s="306">
        <f t="shared" ca="1" si="339"/>
        <v>0</v>
      </c>
      <c r="S767" s="307">
        <f t="shared" ca="1" si="340"/>
        <v>5.0829999999999913</v>
      </c>
      <c r="T767" s="304">
        <f t="shared" ca="1" si="320"/>
        <v>49.864229999999914</v>
      </c>
      <c r="U767" s="311">
        <f t="shared" ca="1" si="321"/>
        <v>0</v>
      </c>
      <c r="V767" s="306">
        <f t="shared" ca="1" si="322"/>
        <v>1.1669987660753152</v>
      </c>
      <c r="W767" s="304">
        <f t="shared" ca="1" si="323"/>
        <v>47.172629101420128</v>
      </c>
      <c r="Y767" s="314" t="str">
        <f t="shared" ca="1" si="341"/>
        <v/>
      </c>
      <c r="Z767" s="315" t="str">
        <f t="shared" ca="1" si="342"/>
        <v/>
      </c>
      <c r="AA767" s="316" t="str">
        <f t="shared" ca="1" si="343"/>
        <v/>
      </c>
      <c r="AC767" s="310" t="e">
        <f t="shared" ca="1" si="344"/>
        <v>#N/A</v>
      </c>
      <c r="AD767" s="323" t="e">
        <f t="shared" ca="1" si="345"/>
        <v>#N/A</v>
      </c>
      <c r="AE767" s="324" t="e">
        <f t="shared" ca="1" si="324"/>
        <v>#N/A</v>
      </c>
      <c r="AG767" s="306">
        <f t="shared" ca="1" si="346"/>
        <v>0.53003299920042224</v>
      </c>
      <c r="AH767" s="304">
        <f t="shared" ca="1" si="347"/>
        <v>-9.2612790220379697</v>
      </c>
    </row>
    <row r="768" spans="1:34" x14ac:dyDescent="0.2">
      <c r="A768" s="347">
        <f t="shared" ca="1" si="325"/>
        <v>0.1</v>
      </c>
      <c r="B768" s="304">
        <f t="shared" ca="1" si="326"/>
        <v>40.400000000000261</v>
      </c>
      <c r="D768" s="306">
        <f t="shared" ca="1" si="327"/>
        <v>-0.5676787497823792</v>
      </c>
      <c r="E768" s="307">
        <f t="shared" ca="1" si="328"/>
        <v>-0.54690847547251309</v>
      </c>
      <c r="F768" s="304">
        <f t="shared" ca="1" si="329"/>
        <v>0.78826901721312981</v>
      </c>
      <c r="G768" s="306">
        <f t="shared" ca="1" si="330"/>
        <v>6.9616753089648311</v>
      </c>
      <c r="H768" s="307">
        <f t="shared" ca="1" si="331"/>
        <v>-114.57805744790609</v>
      </c>
      <c r="I768" s="304">
        <f t="shared" ca="1" si="332"/>
        <v>114.78935565479544</v>
      </c>
      <c r="J768" s="306">
        <f t="shared" ca="1" si="333"/>
        <v>951.97662038249769</v>
      </c>
      <c r="K768" s="307">
        <f t="shared" ca="1" si="334"/>
        <v>473.5053288386855</v>
      </c>
      <c r="L768" s="304">
        <f t="shared" ca="1" si="319"/>
        <v>1063.2341144797385</v>
      </c>
      <c r="M768" s="306">
        <f t="shared" ca="1" si="335"/>
        <v>-1.5101116929388656</v>
      </c>
      <c r="N768" s="304">
        <f t="shared" ca="1" si="336"/>
        <v>-86.523026598752722</v>
      </c>
      <c r="P768" s="310">
        <f t="shared" ca="1" si="337"/>
        <v>23</v>
      </c>
      <c r="Q768" s="304">
        <f t="shared" ca="1" si="338"/>
        <v>0</v>
      </c>
      <c r="R768" s="306">
        <f t="shared" ca="1" si="339"/>
        <v>0</v>
      </c>
      <c r="S768" s="307">
        <f t="shared" ca="1" si="340"/>
        <v>5.0829999999999913</v>
      </c>
      <c r="T768" s="304">
        <f t="shared" ca="1" si="320"/>
        <v>49.864229999999914</v>
      </c>
      <c r="U768" s="311">
        <f t="shared" ca="1" si="321"/>
        <v>0</v>
      </c>
      <c r="V768" s="306">
        <f t="shared" ca="1" si="322"/>
        <v>1.1683371063224484</v>
      </c>
      <c r="W768" s="304">
        <f t="shared" ca="1" si="323"/>
        <v>47.268829122233427</v>
      </c>
      <c r="Y768" s="314" t="str">
        <f t="shared" ca="1" si="341"/>
        <v/>
      </c>
      <c r="Z768" s="315" t="str">
        <f t="shared" ca="1" si="342"/>
        <v/>
      </c>
      <c r="AA768" s="316" t="str">
        <f t="shared" ca="1" si="343"/>
        <v/>
      </c>
      <c r="AC768" s="310" t="e">
        <f t="shared" ca="1" si="344"/>
        <v>#N/A</v>
      </c>
      <c r="AD768" s="323" t="e">
        <f t="shared" ca="1" si="345"/>
        <v>#N/A</v>
      </c>
      <c r="AE768" s="324" t="e">
        <f t="shared" ca="1" si="324"/>
        <v>#N/A</v>
      </c>
      <c r="AG768" s="306">
        <f t="shared" ca="1" si="346"/>
        <v>0.51115989725668243</v>
      </c>
      <c r="AH768" s="304">
        <f t="shared" ca="1" si="347"/>
        <v>-9.2804700179854827</v>
      </c>
    </row>
    <row r="769" spans="1:34" x14ac:dyDescent="0.2">
      <c r="A769" s="347">
        <f t="shared" ca="1" si="325"/>
        <v>0.1</v>
      </c>
      <c r="B769" s="304">
        <f t="shared" ca="1" si="326"/>
        <v>40.500000000000263</v>
      </c>
      <c r="D769" s="306">
        <f t="shared" ca="1" si="327"/>
        <v>-0.56398412667089715</v>
      </c>
      <c r="E769" s="307">
        <f t="shared" ca="1" si="328"/>
        <v>-0.52772198536879955</v>
      </c>
      <c r="F769" s="304">
        <f t="shared" ca="1" si="329"/>
        <v>0.77237852700494081</v>
      </c>
      <c r="G769" s="306">
        <f t="shared" ca="1" si="330"/>
        <v>6.9052768962977416</v>
      </c>
      <c r="H769" s="307">
        <f t="shared" ca="1" si="331"/>
        <v>-114.63082964644298</v>
      </c>
      <c r="I769" s="304">
        <f t="shared" ca="1" si="332"/>
        <v>114.83862570775729</v>
      </c>
      <c r="J769" s="306">
        <f t="shared" ca="1" si="333"/>
        <v>952.6699679927608</v>
      </c>
      <c r="K769" s="307">
        <f t="shared" ca="1" si="334"/>
        <v>462.04488448396808</v>
      </c>
      <c r="L769" s="304">
        <f t="shared" ca="1" si="319"/>
        <v>1058.8038265859882</v>
      </c>
      <c r="M769" s="306">
        <f t="shared" ca="1" si="335"/>
        <v>-1.5106297685955656</v>
      </c>
      <c r="N769" s="304">
        <f t="shared" ca="1" si="336"/>
        <v>-86.552710147350098</v>
      </c>
      <c r="P769" s="310">
        <f t="shared" ca="1" si="337"/>
        <v>23</v>
      </c>
      <c r="Q769" s="304">
        <f t="shared" ca="1" si="338"/>
        <v>0</v>
      </c>
      <c r="R769" s="306">
        <f t="shared" ca="1" si="339"/>
        <v>0</v>
      </c>
      <c r="S769" s="307">
        <f t="shared" ca="1" si="340"/>
        <v>5.0829999999999913</v>
      </c>
      <c r="T769" s="304">
        <f t="shared" ca="1" si="320"/>
        <v>49.864229999999914</v>
      </c>
      <c r="U769" s="311">
        <f t="shared" ca="1" si="321"/>
        <v>0</v>
      </c>
      <c r="V769" s="306">
        <f t="shared" ca="1" si="322"/>
        <v>1.1696775738506906</v>
      </c>
      <c r="W769" s="304">
        <f t="shared" ca="1" si="323"/>
        <v>47.363694904679619</v>
      </c>
      <c r="Y769" s="314" t="str">
        <f t="shared" ca="1" si="341"/>
        <v/>
      </c>
      <c r="Z769" s="315" t="str">
        <f t="shared" ca="1" si="342"/>
        <v/>
      </c>
      <c r="AA769" s="316" t="str">
        <f t="shared" ca="1" si="343"/>
        <v/>
      </c>
      <c r="AC769" s="310" t="e">
        <f t="shared" ca="1" si="344"/>
        <v>#N/A</v>
      </c>
      <c r="AD769" s="323" t="e">
        <f t="shared" ca="1" si="345"/>
        <v>#N/A</v>
      </c>
      <c r="AE769" s="324" t="e">
        <f t="shared" ca="1" si="324"/>
        <v>#N/A</v>
      </c>
      <c r="AG769" s="306">
        <f t="shared" ca="1" si="346"/>
        <v>0.49254641481607031</v>
      </c>
      <c r="AH769" s="304">
        <f t="shared" ca="1" si="347"/>
        <v>-9.299395853282217</v>
      </c>
    </row>
    <row r="770" spans="1:34" x14ac:dyDescent="0.2">
      <c r="A770" s="347">
        <f t="shared" ca="1" si="325"/>
        <v>0.1</v>
      </c>
      <c r="B770" s="304">
        <f t="shared" ca="1" si="326"/>
        <v>40.600000000000264</v>
      </c>
      <c r="D770" s="306">
        <f t="shared" ca="1" si="327"/>
        <v>-0.56029736078276726</v>
      </c>
      <c r="E770" s="307">
        <f t="shared" ca="1" si="328"/>
        <v>-0.50880147026742328</v>
      </c>
      <c r="F770" s="304">
        <f t="shared" ca="1" si="329"/>
        <v>0.75684349019227615</v>
      </c>
      <c r="G770" s="306">
        <f t="shared" ca="1" si="330"/>
        <v>6.8492471602194644</v>
      </c>
      <c r="H770" s="307">
        <f t="shared" ca="1" si="331"/>
        <v>-114.68170979346972</v>
      </c>
      <c r="I770" s="304">
        <f t="shared" ca="1" si="332"/>
        <v>114.88605984981548</v>
      </c>
      <c r="J770" s="306">
        <f t="shared" ca="1" si="333"/>
        <v>953.35769419558665</v>
      </c>
      <c r="K770" s="307">
        <f t="shared" ca="1" si="334"/>
        <v>450.57925751197246</v>
      </c>
      <c r="L770" s="304">
        <f t="shared" ca="1" si="319"/>
        <v>1054.4726456300164</v>
      </c>
      <c r="M770" s="306">
        <f t="shared" ca="1" si="335"/>
        <v>-1.511143214628808</v>
      </c>
      <c r="N770" s="304">
        <f t="shared" ca="1" si="336"/>
        <v>-86.582128438062625</v>
      </c>
      <c r="P770" s="310">
        <f t="shared" ca="1" si="337"/>
        <v>23</v>
      </c>
      <c r="Q770" s="304">
        <f t="shared" ca="1" si="338"/>
        <v>0</v>
      </c>
      <c r="R770" s="306">
        <f t="shared" ca="1" si="339"/>
        <v>0</v>
      </c>
      <c r="S770" s="307">
        <f t="shared" ca="1" si="340"/>
        <v>5.0829999999999913</v>
      </c>
      <c r="T770" s="304">
        <f t="shared" ca="1" si="320"/>
        <v>49.864229999999914</v>
      </c>
      <c r="U770" s="311">
        <f t="shared" ca="1" si="321"/>
        <v>0</v>
      </c>
      <c r="V770" s="306">
        <f t="shared" ca="1" si="322"/>
        <v>1.1710201509696192</v>
      </c>
      <c r="W770" s="304">
        <f t="shared" ca="1" si="323"/>
        <v>47.457240000764266</v>
      </c>
      <c r="Y770" s="314" t="str">
        <f t="shared" ca="1" si="341"/>
        <v/>
      </c>
      <c r="Z770" s="315" t="str">
        <f t="shared" ca="1" si="342"/>
        <v/>
      </c>
      <c r="AA770" s="316" t="str">
        <f t="shared" ca="1" si="343"/>
        <v/>
      </c>
      <c r="AC770" s="310" t="e">
        <f t="shared" ca="1" si="344"/>
        <v>#N/A</v>
      </c>
      <c r="AD770" s="323" t="e">
        <f t="shared" ca="1" si="345"/>
        <v>#N/A</v>
      </c>
      <c r="AE770" s="324" t="e">
        <f t="shared" ca="1" si="324"/>
        <v>#N/A</v>
      </c>
      <c r="AG770" s="306">
        <f t="shared" ca="1" si="346"/>
        <v>0.47418998534685919</v>
      </c>
      <c r="AH770" s="304">
        <f t="shared" ca="1" si="347"/>
        <v>-9.3180591982450718</v>
      </c>
    </row>
    <row r="771" spans="1:34" x14ac:dyDescent="0.2">
      <c r="A771" s="347">
        <f t="shared" ca="1" si="325"/>
        <v>0.1</v>
      </c>
      <c r="B771" s="304">
        <f t="shared" ca="1" si="326"/>
        <v>40.700000000000266</v>
      </c>
      <c r="D771" s="306">
        <f t="shared" ca="1" si="327"/>
        <v>-0.55661879995117747</v>
      </c>
      <c r="E771" s="307">
        <f t="shared" ca="1" si="328"/>
        <v>-0.49014422777161926</v>
      </c>
      <c r="F771" s="304">
        <f t="shared" ca="1" si="329"/>
        <v>0.74166424511157736</v>
      </c>
      <c r="G771" s="306">
        <f t="shared" ca="1" si="330"/>
        <v>6.793585280224347</v>
      </c>
      <c r="H771" s="307">
        <f t="shared" ca="1" si="331"/>
        <v>-114.73072421624688</v>
      </c>
      <c r="I771" s="304">
        <f t="shared" ca="1" si="332"/>
        <v>114.93168353480331</v>
      </c>
      <c r="J771" s="306">
        <f t="shared" ca="1" si="333"/>
        <v>954.03983581760883</v>
      </c>
      <c r="K771" s="307">
        <f t="shared" ca="1" si="334"/>
        <v>439.10863581148664</v>
      </c>
      <c r="L771" s="304">
        <f t="shared" ca="1" si="319"/>
        <v>1050.2420684637971</v>
      </c>
      <c r="M771" s="306">
        <f t="shared" ca="1" si="335"/>
        <v>-1.5116520821832977</v>
      </c>
      <c r="N771" s="304">
        <f t="shared" ca="1" si="336"/>
        <v>-86.611284401266019</v>
      </c>
      <c r="P771" s="310">
        <f t="shared" ca="1" si="337"/>
        <v>23</v>
      </c>
      <c r="Q771" s="304">
        <f t="shared" ca="1" si="338"/>
        <v>0</v>
      </c>
      <c r="R771" s="306">
        <f t="shared" ca="1" si="339"/>
        <v>0</v>
      </c>
      <c r="S771" s="307">
        <f t="shared" ca="1" si="340"/>
        <v>5.0829999999999913</v>
      </c>
      <c r="T771" s="304">
        <f t="shared" ca="1" si="320"/>
        <v>49.864229999999914</v>
      </c>
      <c r="U771" s="311">
        <f t="shared" ca="1" si="321"/>
        <v>0</v>
      </c>
      <c r="V771" s="306">
        <f t="shared" ca="1" si="322"/>
        <v>1.1723648202126975</v>
      </c>
      <c r="W771" s="304">
        <f t="shared" ca="1" si="323"/>
        <v>47.549477937531108</v>
      </c>
      <c r="Y771" s="314" t="str">
        <f t="shared" ca="1" si="341"/>
        <v/>
      </c>
      <c r="Z771" s="315" t="str">
        <f t="shared" ca="1" si="342"/>
        <v/>
      </c>
      <c r="AA771" s="316" t="str">
        <f t="shared" ca="1" si="343"/>
        <v/>
      </c>
      <c r="AC771" s="310" t="e">
        <f t="shared" ca="1" si="344"/>
        <v>#N/A</v>
      </c>
      <c r="AD771" s="323" t="e">
        <f t="shared" ca="1" si="345"/>
        <v>#N/A</v>
      </c>
      <c r="AE771" s="324" t="e">
        <f t="shared" ca="1" si="324"/>
        <v>#N/A</v>
      </c>
      <c r="AG771" s="306">
        <f t="shared" ca="1" si="346"/>
        <v>0.4560880442749653</v>
      </c>
      <c r="AH771" s="304">
        <f t="shared" ca="1" si="347"/>
        <v>-9.3364627190171845</v>
      </c>
    </row>
    <row r="772" spans="1:34" x14ac:dyDescent="0.2">
      <c r="A772" s="347">
        <f t="shared" ca="1" si="325"/>
        <v>0.1</v>
      </c>
      <c r="B772" s="304">
        <f t="shared" ca="1" si="326"/>
        <v>40.800000000000267</v>
      </c>
      <c r="D772" s="306">
        <f t="shared" ca="1" si="327"/>
        <v>-0.55294878289472416</v>
      </c>
      <c r="E772" s="307">
        <f t="shared" ca="1" si="328"/>
        <v>-0.47174756050034361</v>
      </c>
      <c r="F772" s="304">
        <f t="shared" ca="1" si="329"/>
        <v>0.72684119128099922</v>
      </c>
      <c r="G772" s="306">
        <f t="shared" ca="1" si="330"/>
        <v>6.7382904019348748</v>
      </c>
      <c r="H772" s="307">
        <f t="shared" ca="1" si="331"/>
        <v>-114.77789897229692</v>
      </c>
      <c r="I772" s="304">
        <f t="shared" ca="1" si="332"/>
        <v>114.97552196026599</v>
      </c>
      <c r="J772" s="306">
        <f t="shared" ca="1" si="333"/>
        <v>954.71642960171675</v>
      </c>
      <c r="K772" s="307">
        <f t="shared" ca="1" si="334"/>
        <v>427.63320465205942</v>
      </c>
      <c r="L772" s="304">
        <f t="shared" ref="L772:L835" ca="1" si="348">SQRT(pos_x^2+pos_z^2)</f>
        <v>1046.1135782850922</v>
      </c>
      <c r="M772" s="306">
        <f t="shared" ca="1" si="335"/>
        <v>-1.512156421585221</v>
      </c>
      <c r="N772" s="304">
        <f t="shared" ca="1" si="336"/>
        <v>-86.640180920438382</v>
      </c>
      <c r="P772" s="310">
        <f t="shared" ca="1" si="337"/>
        <v>23</v>
      </c>
      <c r="Q772" s="304">
        <f t="shared" ca="1" si="338"/>
        <v>0</v>
      </c>
      <c r="R772" s="306">
        <f t="shared" ca="1" si="339"/>
        <v>0</v>
      </c>
      <c r="S772" s="307">
        <f t="shared" ca="1" si="340"/>
        <v>5.0829999999999913</v>
      </c>
      <c r="T772" s="304">
        <f t="shared" ref="T772:T835" ca="1" si="349">m*g</f>
        <v>49.864229999999914</v>
      </c>
      <c r="U772" s="311">
        <f t="shared" ref="U772:U835" ca="1" si="350">IF(pos_xz&lt;L_rampe,Poids*COS(Beta),0)</f>
        <v>0</v>
      </c>
      <c r="V772" s="306">
        <f t="shared" ref="V772:V835" ca="1" si="351">Rho_moyen*(20000-Alt_rampe-pos_z)/(20000+Alt_rampe+pos_z)</f>
        <v>1.1737115643353659</v>
      </c>
      <c r="W772" s="304">
        <f t="shared" ref="W772:W835" ca="1" si="352">1/2*Rho*Sref*Cx*vit_xz^2</f>
        <v>47.6404222134409</v>
      </c>
      <c r="Y772" s="314" t="str">
        <f t="shared" ca="1" si="341"/>
        <v/>
      </c>
      <c r="Z772" s="315" t="str">
        <f t="shared" ca="1" si="342"/>
        <v/>
      </c>
      <c r="AA772" s="316" t="str">
        <f t="shared" ca="1" si="343"/>
        <v/>
      </c>
      <c r="AC772" s="310" t="e">
        <f t="shared" ca="1" si="344"/>
        <v>#N/A</v>
      </c>
      <c r="AD772" s="323" t="e">
        <f t="shared" ca="1" si="345"/>
        <v>#N/A</v>
      </c>
      <c r="AE772" s="324" t="e">
        <f t="shared" ref="AE772:AE835" ca="1" si="353">IF(t&lt;T_para, pos_z, NA())</f>
        <v>#N/A</v>
      </c>
      <c r="AG772" s="306">
        <f t="shared" ca="1" si="346"/>
        <v>0.43823802977712845</v>
      </c>
      <c r="AH772" s="304">
        <f t="shared" ca="1" si="347"/>
        <v>-9.3546090768308456</v>
      </c>
    </row>
    <row r="773" spans="1:34" x14ac:dyDescent="0.2">
      <c r="A773" s="347">
        <f t="shared" ref="A773:A836" ca="1" si="354">IF(B772+0.01&lt;=T_ini+ROUNDUP(Temps_fin_propu,0), 0.01, IF(K772&gt;0, 0.1, 0.0001))</f>
        <v>0.1</v>
      </c>
      <c r="B773" s="304">
        <f t="shared" ref="B773:B836" ca="1" si="355">B772+pas</f>
        <v>40.900000000000269</v>
      </c>
      <c r="D773" s="306">
        <f t="shared" ref="D773:D836" ca="1" si="356">IF(AND(L772&lt;L_rampe,Poussee&lt;Poids*SIN(M772)),0,(-W772+Poussee)/m*COS(M772)-U772/m*SIN(M772))</f>
        <v>-0.54928763934938751</v>
      </c>
      <c r="E773" s="307">
        <f t="shared" ref="E773:E836" ca="1" si="357">IF(AND(L772&lt;L_rampe,Poussee&lt;Poids*SIN(M772)),0,(-W772+Poussee)/m*SIN(M772)+U772/m*COS(M772)-Poids/m)</f>
        <v>-0.45360877680900735</v>
      </c>
      <c r="F773" s="304">
        <f t="shared" ref="F773:F836" ca="1" si="358">SQRT(acc_x^2+acc_z^2)</f>
        <v>0.71237478418328826</v>
      </c>
      <c r="G773" s="306">
        <f t="shared" ref="G773:G836" ca="1" si="359">G772+acc_x*pas</f>
        <v>6.6833616379999361</v>
      </c>
      <c r="H773" s="307">
        <f t="shared" ref="H773:H836" ca="1" si="360">H772+acc_z*pas</f>
        <v>-114.82325984997783</v>
      </c>
      <c r="I773" s="304">
        <f t="shared" ref="I773:I836" ca="1" si="361">SQRT(vit_x^2+vit_z^2)</f>
        <v>115.01760006781493</v>
      </c>
      <c r="J773" s="306">
        <f t="shared" ref="J773:J836" ca="1" si="362">J772+0.5*(vit_x+G772)*pas*(K772&gt;=0)</f>
        <v>955.38751220371353</v>
      </c>
      <c r="K773" s="307">
        <f t="shared" ref="K773:K836" ca="1" si="363">K772+0.5*(vit_z+H772)*pas</f>
        <v>416.15314671094569</v>
      </c>
      <c r="L773" s="304">
        <f t="shared" ca="1" si="348"/>
        <v>1042.0886430588439</v>
      </c>
      <c r="M773" s="306">
        <f t="shared" ref="M773:M836" ca="1" si="364">IF(AND(L772&gt;L_rampe,G773&gt;0),ATAN2(G773,H773),$M$4)</f>
        <v>-1.5126562823601308</v>
      </c>
      <c r="N773" s="304">
        <f t="shared" ref="N773:N836" ca="1" si="365">DEGREES(Beta)</f>
        <v>-86.668820833184853</v>
      </c>
      <c r="P773" s="310">
        <f t="shared" ref="P773:P836" ca="1" si="366">MATCH(t-pas/2-T_ini,CdP_t)</f>
        <v>23</v>
      </c>
      <c r="Q773" s="304">
        <f t="shared" ref="Q773:Q836" ca="1" si="367">(INDEX(CdP,2,i_P+1)-INDEX(CdP,2,i_P+0))/(INDEX(CdP,1,i_P+1)-INDEX(CdP,1,i_P+0))*(t-pas/2-T_ini-INDEX(CdP,1,i_P+0))+INDEX(CdP,2,i_P+0)</f>
        <v>0</v>
      </c>
      <c r="R773" s="306">
        <f t="shared" ref="R773:R836" ca="1" si="368">Poussee/(g*ISP)</f>
        <v>0</v>
      </c>
      <c r="S773" s="307">
        <f t="shared" ref="S773:S836" ca="1" si="369">S772-Débit*pas</f>
        <v>5.0829999999999913</v>
      </c>
      <c r="T773" s="304">
        <f t="shared" ca="1" si="349"/>
        <v>49.864229999999914</v>
      </c>
      <c r="U773" s="311">
        <f t="shared" ca="1" si="350"/>
        <v>0</v>
      </c>
      <c r="V773" s="306">
        <f t="shared" ca="1" si="351"/>
        <v>1.1750603663131285</v>
      </c>
      <c r="W773" s="304">
        <f t="shared" ca="1" si="352"/>
        <v>47.730086294872912</v>
      </c>
      <c r="Y773" s="314" t="str">
        <f t="shared" ref="Y773:Y836" ca="1" si="370">IF(AND(pos_z&lt;=0,K772&gt;0),"Impact balistique","") &amp; IF(AND(H774&lt;0,vit_z&gt;=0),"Apogée","") &amp; IF(AND(Poussee=0,Q772&gt;0),"Fin de propulsion","") &amp; IF(AND(L774&gt;L_rampe,pos_xz&lt;=L_rampe),"Sortie de rampe","")</f>
        <v/>
      </c>
      <c r="Z773" s="315" t="str">
        <f t="shared" ref="Z773:Z836" ca="1" si="371">IF(ABS(t-T_para)&lt;pas/2,"Para","")</f>
        <v/>
      </c>
      <c r="AA773" s="316" t="str">
        <f t="shared" ref="AA773:AA836" ca="1" si="372">IF(ABS(t-T_satellite)&lt;pas/2,"Satellite","")</f>
        <v/>
      </c>
      <c r="AC773" s="310" t="e">
        <f t="shared" ref="AC773:AC836" ca="1" si="373">IF(ABS(t-ROUND(t,0))&lt;0.001,t,NA())</f>
        <v>#N/A</v>
      </c>
      <c r="AD773" s="323" t="e">
        <f t="shared" ref="AD773:AD836" ca="1" si="374">IF(ABS(t-ROUND(t,0))&lt;0.001,pos_x,NA())</f>
        <v>#N/A</v>
      </c>
      <c r="AE773" s="324" t="e">
        <f t="shared" ca="1" si="353"/>
        <v>#N/A</v>
      </c>
      <c r="AG773" s="306">
        <f t="shared" ref="AG773:AG836" ca="1" si="375">IF(AND(L772&lt;L_rampe,Poussee&lt;Poids*SIN(M772)),0,(-W772+Poussee)/m-Poids*SIN(M772)/m)</f>
        <v>0.42063738354774038</v>
      </c>
      <c r="AH773" s="304">
        <f t="shared" ref="AH773:AH836" ca="1" si="376">IF(AND(L772&lt;L_rampe,Poussee&lt;Poids*SIN(M772)), g*SIN(M772), (-W772+Poussee)/m)</f>
        <v>-9.3725009272950981</v>
      </c>
    </row>
    <row r="774" spans="1:34" x14ac:dyDescent="0.2">
      <c r="A774" s="347">
        <f t="shared" ca="1" si="354"/>
        <v>0.1</v>
      </c>
      <c r="B774" s="304">
        <f t="shared" ca="1" si="355"/>
        <v>41.00000000000027</v>
      </c>
      <c r="D774" s="306">
        <f t="shared" ca="1" si="356"/>
        <v>-0.54563569020031666</v>
      </c>
      <c r="E774" s="307">
        <f t="shared" ca="1" si="357"/>
        <v>-0.43572519148579758</v>
      </c>
      <c r="F774" s="304">
        <f t="shared" ca="1" si="358"/>
        <v>0.69826552894705529</v>
      </c>
      <c r="G774" s="306">
        <f t="shared" ca="1" si="359"/>
        <v>6.6287980689799042</v>
      </c>
      <c r="H774" s="307">
        <f t="shared" ca="1" si="360"/>
        <v>-114.86683236912641</v>
      </c>
      <c r="I774" s="304">
        <f t="shared" ca="1" si="361"/>
        <v>115.05794254355628</v>
      </c>
      <c r="J774" s="306">
        <f t="shared" ca="1" si="362"/>
        <v>956.0531201890625</v>
      </c>
      <c r="K774" s="307">
        <f t="shared" ca="1" si="363"/>
        <v>404.66864209999051</v>
      </c>
      <c r="L774" s="304">
        <f t="shared" ca="1" si="348"/>
        <v>1038.1687139007283</v>
      </c>
      <c r="M774" s="306">
        <f t="shared" ca="1" si="364"/>
        <v>-1.5131517132503678</v>
      </c>
      <c r="N774" s="304">
        <f t="shared" ca="1" si="365"/>
        <v>-86.697206932235844</v>
      </c>
      <c r="P774" s="310">
        <f t="shared" ca="1" si="366"/>
        <v>23</v>
      </c>
      <c r="Q774" s="304">
        <f t="shared" ca="1" si="367"/>
        <v>0</v>
      </c>
      <c r="R774" s="306">
        <f t="shared" ca="1" si="368"/>
        <v>0</v>
      </c>
      <c r="S774" s="307">
        <f t="shared" ca="1" si="369"/>
        <v>5.0829999999999913</v>
      </c>
      <c r="T774" s="304">
        <f t="shared" ca="1" si="349"/>
        <v>49.864229999999914</v>
      </c>
      <c r="U774" s="311">
        <f t="shared" ca="1" si="350"/>
        <v>0</v>
      </c>
      <c r="V774" s="306">
        <f t="shared" ca="1" si="351"/>
        <v>1.1764112093396415</v>
      </c>
      <c r="W774" s="304">
        <f t="shared" ca="1" si="352"/>
        <v>47.818483612747663</v>
      </c>
      <c r="Y774" s="314" t="str">
        <f t="shared" ca="1" si="370"/>
        <v/>
      </c>
      <c r="Z774" s="315" t="str">
        <f t="shared" ca="1" si="371"/>
        <v/>
      </c>
      <c r="AA774" s="316" t="str">
        <f t="shared" ca="1" si="372"/>
        <v/>
      </c>
      <c r="AC774" s="310">
        <f t="shared" ca="1" si="373"/>
        <v>41.00000000000027</v>
      </c>
      <c r="AD774" s="323">
        <f t="shared" ca="1" si="374"/>
        <v>956.0531201890625</v>
      </c>
      <c r="AE774" s="324" t="e">
        <f t="shared" ca="1" si="353"/>
        <v>#N/A</v>
      </c>
      <c r="AG774" s="306">
        <f t="shared" ca="1" si="375"/>
        <v>0.40328355153991957</v>
      </c>
      <c r="AH774" s="304">
        <f t="shared" ca="1" si="376"/>
        <v>-9.3901409197074557</v>
      </c>
    </row>
    <row r="775" spans="1:34" x14ac:dyDescent="0.2">
      <c r="A775" s="347">
        <f t="shared" ca="1" si="354"/>
        <v>0.1</v>
      </c>
      <c r="B775" s="304">
        <f t="shared" ca="1" si="355"/>
        <v>41.100000000000271</v>
      </c>
      <c r="D775" s="306">
        <f t="shared" ca="1" si="356"/>
        <v>-0.54199324761336398</v>
      </c>
      <c r="E775" s="307">
        <f t="shared" ca="1" si="357"/>
        <v>-0.4180941264238438</v>
      </c>
      <c r="F775" s="304">
        <f t="shared" ca="1" si="358"/>
        <v>0.68451397283663862</v>
      </c>
      <c r="G775" s="306">
        <f t="shared" ca="1" si="359"/>
        <v>6.5745987442185676</v>
      </c>
      <c r="H775" s="307">
        <f t="shared" ca="1" si="360"/>
        <v>-114.90864178176879</v>
      </c>
      <c r="I775" s="304">
        <f t="shared" ca="1" si="361"/>
        <v>115.09657381859088</v>
      </c>
      <c r="J775" s="306">
        <f t="shared" ca="1" si="362"/>
        <v>956.71329002972243</v>
      </c>
      <c r="K775" s="307">
        <f t="shared" ca="1" si="363"/>
        <v>393.17986839244577</v>
      </c>
      <c r="L775" s="304">
        <f t="shared" ca="1" si="348"/>
        <v>1034.3552234259741</v>
      </c>
      <c r="M775" s="306">
        <f t="shared" ca="1" si="364"/>
        <v>-1.5136427622320288</v>
      </c>
      <c r="N775" s="304">
        <f t="shared" ca="1" si="365"/>
        <v>-86.725341966419208</v>
      </c>
      <c r="P775" s="310">
        <f t="shared" ca="1" si="366"/>
        <v>23</v>
      </c>
      <c r="Q775" s="304">
        <f t="shared" ca="1" si="367"/>
        <v>0</v>
      </c>
      <c r="R775" s="306">
        <f t="shared" ca="1" si="368"/>
        <v>0</v>
      </c>
      <c r="S775" s="307">
        <f t="shared" ca="1" si="369"/>
        <v>5.0829999999999913</v>
      </c>
      <c r="T775" s="304">
        <f t="shared" ca="1" si="349"/>
        <v>49.864229999999914</v>
      </c>
      <c r="U775" s="311">
        <f t="shared" ca="1" si="350"/>
        <v>0</v>
      </c>
      <c r="V775" s="306">
        <f t="shared" ca="1" si="351"/>
        <v>1.1777640768247966</v>
      </c>
      <c r="W775" s="304">
        <f t="shared" ca="1" si="352"/>
        <v>47.9056275592677</v>
      </c>
      <c r="Y775" s="314" t="str">
        <f t="shared" ca="1" si="370"/>
        <v/>
      </c>
      <c r="Z775" s="315" t="str">
        <f t="shared" ca="1" si="371"/>
        <v/>
      </c>
      <c r="AA775" s="316" t="str">
        <f t="shared" ca="1" si="372"/>
        <v/>
      </c>
      <c r="AC775" s="310" t="e">
        <f t="shared" ca="1" si="373"/>
        <v>#N/A</v>
      </c>
      <c r="AD775" s="323" t="e">
        <f t="shared" ca="1" si="374"/>
        <v>#N/A</v>
      </c>
      <c r="AE775" s="324" t="e">
        <f t="shared" ca="1" si="353"/>
        <v>#N/A</v>
      </c>
      <c r="AG775" s="306">
        <f t="shared" ca="1" si="375"/>
        <v>0.38617398468118935</v>
      </c>
      <c r="AH775" s="304">
        <f t="shared" ca="1" si="376"/>
        <v>-9.4075316963894835</v>
      </c>
    </row>
    <row r="776" spans="1:34" x14ac:dyDescent="0.2">
      <c r="A776" s="347">
        <f t="shared" ca="1" si="354"/>
        <v>0.1</v>
      </c>
      <c r="B776" s="304">
        <f t="shared" ca="1" si="355"/>
        <v>41.200000000000273</v>
      </c>
      <c r="D776" s="306">
        <f t="shared" ca="1" si="356"/>
        <v>-0.53836061516629974</v>
      </c>
      <c r="E776" s="307">
        <f t="shared" ca="1" si="357"/>
        <v>-0.40071291126988484</v>
      </c>
      <c r="F776" s="304">
        <f t="shared" ca="1" si="358"/>
        <v>0.67112069646273265</v>
      </c>
      <c r="G776" s="306">
        <f t="shared" ca="1" si="359"/>
        <v>6.520762682701938</v>
      </c>
      <c r="H776" s="307">
        <f t="shared" ca="1" si="360"/>
        <v>-114.94871307289579</v>
      </c>
      <c r="I776" s="304">
        <f t="shared" ca="1" si="361"/>
        <v>115.1335180695832</v>
      </c>
      <c r="J776" s="306">
        <f t="shared" ca="1" si="362"/>
        <v>957.36805810106841</v>
      </c>
      <c r="K776" s="307">
        <f t="shared" ca="1" si="363"/>
        <v>381.68700064971256</v>
      </c>
      <c r="L776" s="304">
        <f t="shared" ca="1" si="348"/>
        <v>1030.6495840668565</v>
      </c>
      <c r="M776" s="306">
        <f t="shared" ca="1" si="364"/>
        <v>-1.5141294765314965</v>
      </c>
      <c r="N776" s="304">
        <f t="shared" ca="1" si="365"/>
        <v>-86.753228641607379</v>
      </c>
      <c r="P776" s="310">
        <f t="shared" ca="1" si="366"/>
        <v>23</v>
      </c>
      <c r="Q776" s="304">
        <f t="shared" ca="1" si="367"/>
        <v>0</v>
      </c>
      <c r="R776" s="306">
        <f t="shared" ca="1" si="368"/>
        <v>0</v>
      </c>
      <c r="S776" s="307">
        <f t="shared" ca="1" si="369"/>
        <v>5.0829999999999913</v>
      </c>
      <c r="T776" s="304">
        <f t="shared" ca="1" si="349"/>
        <v>49.864229999999914</v>
      </c>
      <c r="U776" s="311">
        <f t="shared" ca="1" si="350"/>
        <v>0</v>
      </c>
      <c r="V776" s="306">
        <f t="shared" ca="1" si="351"/>
        <v>1.1791189523928032</v>
      </c>
      <c r="W776" s="304">
        <f t="shared" ca="1" si="352"/>
        <v>47.991531484774733</v>
      </c>
      <c r="Y776" s="314" t="str">
        <f t="shared" ca="1" si="370"/>
        <v/>
      </c>
      <c r="Z776" s="315" t="str">
        <f t="shared" ca="1" si="371"/>
        <v/>
      </c>
      <c r="AA776" s="316" t="str">
        <f t="shared" ca="1" si="372"/>
        <v/>
      </c>
      <c r="AC776" s="310" t="e">
        <f t="shared" ca="1" si="373"/>
        <v>#N/A</v>
      </c>
      <c r="AD776" s="323" t="e">
        <f t="shared" ca="1" si="374"/>
        <v>#N/A</v>
      </c>
      <c r="AE776" s="324" t="e">
        <f t="shared" ca="1" si="353"/>
        <v>#N/A</v>
      </c>
      <c r="AG776" s="306">
        <f t="shared" ca="1" si="375"/>
        <v>0.36930613956439018</v>
      </c>
      <c r="AH776" s="304">
        <f t="shared" ca="1" si="376"/>
        <v>-9.4246758920455989</v>
      </c>
    </row>
    <row r="777" spans="1:34" x14ac:dyDescent="0.2">
      <c r="A777" s="347">
        <f t="shared" ca="1" si="354"/>
        <v>0.1</v>
      </c>
      <c r="B777" s="304">
        <f t="shared" ca="1" si="355"/>
        <v>41.300000000000274</v>
      </c>
      <c r="D777" s="306">
        <f t="shared" ca="1" si="356"/>
        <v>-0.53473808797965094</v>
      </c>
      <c r="E777" s="307">
        <f t="shared" ca="1" si="357"/>
        <v>-0.38357888404975782</v>
      </c>
      <c r="F777" s="304">
        <f t="shared" ca="1" si="358"/>
        <v>0.65808630362969145</v>
      </c>
      <c r="G777" s="306">
        <f t="shared" ca="1" si="359"/>
        <v>6.4672888739039731</v>
      </c>
      <c r="H777" s="307">
        <f t="shared" ca="1" si="360"/>
        <v>-114.98707096130076</v>
      </c>
      <c r="I777" s="304">
        <f t="shared" ca="1" si="361"/>
        <v>115.16879921939683</v>
      </c>
      <c r="J777" s="306">
        <f t="shared" ca="1" si="362"/>
        <v>958.01746067889871</v>
      </c>
      <c r="K777" s="307">
        <f t="shared" ca="1" si="363"/>
        <v>370.19021144800274</v>
      </c>
      <c r="L777" s="304">
        <f t="shared" ca="1" si="348"/>
        <v>1027.0531863625965</v>
      </c>
      <c r="M777" s="306">
        <f t="shared" ca="1" si="364"/>
        <v>-1.5146119026415443</v>
      </c>
      <c r="N777" s="304">
        <f t="shared" ca="1" si="365"/>
        <v>-86.780869621640036</v>
      </c>
      <c r="P777" s="310">
        <f t="shared" ca="1" si="366"/>
        <v>23</v>
      </c>
      <c r="Q777" s="304">
        <f t="shared" ca="1" si="367"/>
        <v>0</v>
      </c>
      <c r="R777" s="306">
        <f t="shared" ca="1" si="368"/>
        <v>0</v>
      </c>
      <c r="S777" s="307">
        <f t="shared" ca="1" si="369"/>
        <v>5.0829999999999913</v>
      </c>
      <c r="T777" s="304">
        <f t="shared" ca="1" si="349"/>
        <v>49.864229999999914</v>
      </c>
      <c r="U777" s="311">
        <f t="shared" ca="1" si="350"/>
        <v>0</v>
      </c>
      <c r="V777" s="306">
        <f t="shared" ca="1" si="351"/>
        <v>1.1804758198802732</v>
      </c>
      <c r="W777" s="304">
        <f t="shared" ca="1" si="352"/>
        <v>48.076208694720627</v>
      </c>
      <c r="Y777" s="314" t="str">
        <f t="shared" ca="1" si="370"/>
        <v/>
      </c>
      <c r="Z777" s="315" t="str">
        <f t="shared" ca="1" si="371"/>
        <v/>
      </c>
      <c r="AA777" s="316" t="str">
        <f t="shared" ca="1" si="372"/>
        <v/>
      </c>
      <c r="AC777" s="310" t="e">
        <f t="shared" ca="1" si="373"/>
        <v>#N/A</v>
      </c>
      <c r="AD777" s="323" t="e">
        <f t="shared" ca="1" si="374"/>
        <v>#N/A</v>
      </c>
      <c r="AE777" s="324" t="e">
        <f t="shared" ca="1" si="353"/>
        <v>#N/A</v>
      </c>
      <c r="AG777" s="306">
        <f t="shared" ca="1" si="375"/>
        <v>0.35267747911428771</v>
      </c>
      <c r="AH777" s="304">
        <f t="shared" ca="1" si="376"/>
        <v>-9.4415761331447605</v>
      </c>
    </row>
    <row r="778" spans="1:34" x14ac:dyDescent="0.2">
      <c r="A778" s="347">
        <f t="shared" ca="1" si="354"/>
        <v>0.1</v>
      </c>
      <c r="B778" s="304">
        <f t="shared" ca="1" si="355"/>
        <v>41.400000000000276</v>
      </c>
      <c r="D778" s="306">
        <f t="shared" ca="1" si="356"/>
        <v>-0.53112595284709507</v>
      </c>
      <c r="E778" s="307">
        <f t="shared" ca="1" si="357"/>
        <v>-0.36668939177122795</v>
      </c>
      <c r="F778" s="304">
        <f t="shared" ca="1" si="358"/>
        <v>0.6454114097421022</v>
      </c>
      <c r="G778" s="306">
        <f t="shared" ca="1" si="359"/>
        <v>6.414176278619264</v>
      </c>
      <c r="H778" s="307">
        <f t="shared" ca="1" si="360"/>
        <v>-115.02373990047788</v>
      </c>
      <c r="I778" s="304">
        <f t="shared" ca="1" si="361"/>
        <v>115.20244093779432</v>
      </c>
      <c r="J778" s="306">
        <f t="shared" ca="1" si="362"/>
        <v>958.66153393652485</v>
      </c>
      <c r="K778" s="307">
        <f t="shared" ca="1" si="363"/>
        <v>358.68967090491378</v>
      </c>
      <c r="L778" s="304">
        <f t="shared" ca="1" si="348"/>
        <v>1023.5673972257059</v>
      </c>
      <c r="M778" s="306">
        <f t="shared" ca="1" si="364"/>
        <v>-1.515090086337028</v>
      </c>
      <c r="N778" s="304">
        <f t="shared" ca="1" si="365"/>
        <v>-86.808267529223215</v>
      </c>
      <c r="P778" s="310">
        <f t="shared" ca="1" si="366"/>
        <v>23</v>
      </c>
      <c r="Q778" s="304">
        <f t="shared" ca="1" si="367"/>
        <v>0</v>
      </c>
      <c r="R778" s="306">
        <f t="shared" ca="1" si="368"/>
        <v>0</v>
      </c>
      <c r="S778" s="307">
        <f t="shared" ca="1" si="369"/>
        <v>5.0829999999999913</v>
      </c>
      <c r="T778" s="304">
        <f t="shared" ca="1" si="349"/>
        <v>49.864229999999914</v>
      </c>
      <c r="U778" s="311">
        <f t="shared" ca="1" si="350"/>
        <v>0</v>
      </c>
      <c r="V778" s="306">
        <f t="shared" ca="1" si="351"/>
        <v>1.181834663334304</v>
      </c>
      <c r="W778" s="304">
        <f t="shared" ca="1" si="352"/>
        <v>48.159672446750179</v>
      </c>
      <c r="Y778" s="314" t="str">
        <f t="shared" ca="1" si="370"/>
        <v/>
      </c>
      <c r="Z778" s="315" t="str">
        <f t="shared" ca="1" si="371"/>
        <v/>
      </c>
      <c r="AA778" s="316" t="str">
        <f t="shared" ca="1" si="372"/>
        <v/>
      </c>
      <c r="AC778" s="310" t="e">
        <f t="shared" ca="1" si="373"/>
        <v>#N/A</v>
      </c>
      <c r="AD778" s="323" t="e">
        <f t="shared" ca="1" si="374"/>
        <v>#N/A</v>
      </c>
      <c r="AE778" s="324" t="e">
        <f t="shared" ca="1" si="353"/>
        <v>#N/A</v>
      </c>
      <c r="AG778" s="306">
        <f t="shared" ca="1" si="375"/>
        <v>0.33628547323033864</v>
      </c>
      <c r="AH778" s="304">
        <f t="shared" ca="1" si="376"/>
        <v>-9.4582350373245543</v>
      </c>
    </row>
    <row r="779" spans="1:34" x14ac:dyDescent="0.2">
      <c r="A779" s="347">
        <f t="shared" ca="1" si="354"/>
        <v>0.1</v>
      </c>
      <c r="B779" s="304">
        <f t="shared" ca="1" si="355"/>
        <v>41.500000000000277</v>
      </c>
      <c r="D779" s="306">
        <f t="shared" ca="1" si="356"/>
        <v>-0.5275244883653466</v>
      </c>
      <c r="E779" s="307">
        <f t="shared" ca="1" si="357"/>
        <v>-0.35004179100453747</v>
      </c>
      <c r="F779" s="304">
        <f t="shared" ca="1" si="358"/>
        <v>0.63309662870274785</v>
      </c>
      <c r="G779" s="306">
        <f t="shared" ca="1" si="359"/>
        <v>6.361423829782729</v>
      </c>
      <c r="H779" s="307">
        <f t="shared" ca="1" si="360"/>
        <v>-115.05874407957833</v>
      </c>
      <c r="I779" s="304">
        <f t="shared" ca="1" si="361"/>
        <v>115.2344666421988</v>
      </c>
      <c r="J779" s="306">
        <f t="shared" ca="1" si="362"/>
        <v>959.30031394194498</v>
      </c>
      <c r="K779" s="307">
        <f t="shared" ca="1" si="363"/>
        <v>347.18554670591095</v>
      </c>
      <c r="L779" s="304">
        <f t="shared" ca="1" si="348"/>
        <v>1020.1935581891294</v>
      </c>
      <c r="M779" s="306">
        <f t="shared" ca="1" si="364"/>
        <v>-1.515564072690174</v>
      </c>
      <c r="N779" s="304">
        <f t="shared" ca="1" si="365"/>
        <v>-86.835424946805276</v>
      </c>
      <c r="P779" s="310">
        <f t="shared" ca="1" si="366"/>
        <v>23</v>
      </c>
      <c r="Q779" s="304">
        <f t="shared" ca="1" si="367"/>
        <v>0</v>
      </c>
      <c r="R779" s="306">
        <f t="shared" ca="1" si="368"/>
        <v>0</v>
      </c>
      <c r="S779" s="307">
        <f t="shared" ca="1" si="369"/>
        <v>5.0829999999999913</v>
      </c>
      <c r="T779" s="304">
        <f t="shared" ca="1" si="349"/>
        <v>49.864229999999914</v>
      </c>
      <c r="U779" s="311">
        <f t="shared" ca="1" si="350"/>
        <v>0</v>
      </c>
      <c r="V779" s="306">
        <f t="shared" ca="1" si="351"/>
        <v>1.1831954670105622</v>
      </c>
      <c r="W779" s="304">
        <f t="shared" ca="1" si="352"/>
        <v>48.241935947893133</v>
      </c>
      <c r="Y779" s="314" t="str">
        <f t="shared" ca="1" si="370"/>
        <v/>
      </c>
      <c r="Z779" s="315" t="str">
        <f t="shared" ca="1" si="371"/>
        <v/>
      </c>
      <c r="AA779" s="316" t="str">
        <f t="shared" ca="1" si="372"/>
        <v/>
      </c>
      <c r="AC779" s="310" t="e">
        <f t="shared" ca="1" si="373"/>
        <v>#N/A</v>
      </c>
      <c r="AD779" s="323" t="e">
        <f t="shared" ca="1" si="374"/>
        <v>#N/A</v>
      </c>
      <c r="AE779" s="324" t="e">
        <f t="shared" ca="1" si="353"/>
        <v>#N/A</v>
      </c>
      <c r="AG779" s="306">
        <f t="shared" ca="1" si="375"/>
        <v>0.3201275994061028</v>
      </c>
      <c r="AH779" s="304">
        <f t="shared" ca="1" si="376"/>
        <v>-9.4746552128172858</v>
      </c>
    </row>
    <row r="780" spans="1:34" x14ac:dyDescent="0.2">
      <c r="A780" s="347">
        <f t="shared" ca="1" si="354"/>
        <v>0.1</v>
      </c>
      <c r="B780" s="304">
        <f t="shared" ca="1" si="355"/>
        <v>41.600000000000279</v>
      </c>
      <c r="D780" s="306">
        <f t="shared" ca="1" si="356"/>
        <v>-0.52393396506351853</v>
      </c>
      <c r="E780" s="307">
        <f t="shared" ca="1" si="357"/>
        <v>-0.33363344844122089</v>
      </c>
      <c r="F780" s="304">
        <f t="shared" ca="1" si="358"/>
        <v>0.62114255824726827</v>
      </c>
      <c r="G780" s="306">
        <f t="shared" ca="1" si="359"/>
        <v>6.3090304332763774</v>
      </c>
      <c r="H780" s="307">
        <f t="shared" ca="1" si="360"/>
        <v>-115.09210742442245</v>
      </c>
      <c r="I780" s="304">
        <f t="shared" ca="1" si="361"/>
        <v>115.26489949851518</v>
      </c>
      <c r="J780" s="306">
        <f t="shared" ca="1" si="362"/>
        <v>959.93383665509793</v>
      </c>
      <c r="K780" s="307">
        <f t="shared" ca="1" si="363"/>
        <v>335.67800413071092</v>
      </c>
      <c r="L780" s="304">
        <f t="shared" ca="1" si="348"/>
        <v>1016.9329836388207</v>
      </c>
      <c r="M780" s="306">
        <f t="shared" ca="1" si="364"/>
        <v>-1.5160339060854811</v>
      </c>
      <c r="N780" s="304">
        <f t="shared" ca="1" si="365"/>
        <v>-86.862344417430677</v>
      </c>
      <c r="P780" s="310">
        <f t="shared" ca="1" si="366"/>
        <v>23</v>
      </c>
      <c r="Q780" s="304">
        <f t="shared" ca="1" si="367"/>
        <v>0</v>
      </c>
      <c r="R780" s="306">
        <f t="shared" ca="1" si="368"/>
        <v>0</v>
      </c>
      <c r="S780" s="307">
        <f t="shared" ca="1" si="369"/>
        <v>5.0829999999999913</v>
      </c>
      <c r="T780" s="304">
        <f t="shared" ca="1" si="349"/>
        <v>49.864229999999914</v>
      </c>
      <c r="U780" s="311">
        <f t="shared" ca="1" si="350"/>
        <v>0</v>
      </c>
      <c r="V780" s="306">
        <f t="shared" ca="1" si="351"/>
        <v>1.1845582153713692</v>
      </c>
      <c r="W780" s="304">
        <f t="shared" ca="1" si="352"/>
        <v>48.323012351863483</v>
      </c>
      <c r="Y780" s="314" t="str">
        <f t="shared" ca="1" si="370"/>
        <v/>
      </c>
      <c r="Z780" s="315" t="str">
        <f t="shared" ca="1" si="371"/>
        <v/>
      </c>
      <c r="AA780" s="316" t="str">
        <f t="shared" ca="1" si="372"/>
        <v/>
      </c>
      <c r="AC780" s="310" t="e">
        <f t="shared" ca="1" si="373"/>
        <v>#N/A</v>
      </c>
      <c r="AD780" s="323" t="e">
        <f t="shared" ca="1" si="374"/>
        <v>#N/A</v>
      </c>
      <c r="AE780" s="324" t="e">
        <f t="shared" ca="1" si="353"/>
        <v>#N/A</v>
      </c>
      <c r="AG780" s="306">
        <f t="shared" ca="1" si="375"/>
        <v>0.304201343325877</v>
      </c>
      <c r="AH780" s="304">
        <f t="shared" ca="1" si="376"/>
        <v>-9.4908392578975445</v>
      </c>
    </row>
    <row r="781" spans="1:34" x14ac:dyDescent="0.2">
      <c r="A781" s="347">
        <f t="shared" ca="1" si="354"/>
        <v>0.1</v>
      </c>
      <c r="B781" s="304">
        <f t="shared" ca="1" si="355"/>
        <v>41.70000000000028</v>
      </c>
      <c r="D781" s="306">
        <f t="shared" ca="1" si="356"/>
        <v>-0.52035464553184752</v>
      </c>
      <c r="E781" s="307">
        <f t="shared" ca="1" si="357"/>
        <v>-0.31746174143154171</v>
      </c>
      <c r="F781" s="304">
        <f t="shared" ca="1" si="358"/>
        <v>0.60954976367752101</v>
      </c>
      <c r="G781" s="306">
        <f t="shared" ca="1" si="359"/>
        <v>6.2569949687231929</v>
      </c>
      <c r="H781" s="307">
        <f t="shared" ca="1" si="360"/>
        <v>-115.1238535985656</v>
      </c>
      <c r="I781" s="304">
        <f t="shared" ca="1" si="361"/>
        <v>115.29376242200873</v>
      </c>
      <c r="J781" s="306">
        <f t="shared" ca="1" si="362"/>
        <v>960.56213792519793</v>
      </c>
      <c r="K781" s="307">
        <f t="shared" ca="1" si="363"/>
        <v>324.16720607956154</v>
      </c>
      <c r="L781" s="304">
        <f t="shared" ca="1" si="348"/>
        <v>1013.7869590366882</v>
      </c>
      <c r="M781" s="306">
        <f t="shared" ca="1" si="364"/>
        <v>-1.5164996302342397</v>
      </c>
      <c r="N781" s="304">
        <f t="shared" ca="1" si="365"/>
        <v>-86.889028445571867</v>
      </c>
      <c r="P781" s="310">
        <f t="shared" ca="1" si="366"/>
        <v>23</v>
      </c>
      <c r="Q781" s="304">
        <f t="shared" ca="1" si="367"/>
        <v>0</v>
      </c>
      <c r="R781" s="306">
        <f t="shared" ca="1" si="368"/>
        <v>0</v>
      </c>
      <c r="S781" s="307">
        <f t="shared" ca="1" si="369"/>
        <v>5.0829999999999913</v>
      </c>
      <c r="T781" s="304">
        <f t="shared" ca="1" si="349"/>
        <v>49.864229999999914</v>
      </c>
      <c r="U781" s="311">
        <f t="shared" ca="1" si="350"/>
        <v>0</v>
      </c>
      <c r="V781" s="306">
        <f t="shared" ca="1" si="351"/>
        <v>1.1859228930837888</v>
      </c>
      <c r="W781" s="304">
        <f t="shared" ca="1" si="352"/>
        <v>48.402914756463652</v>
      </c>
      <c r="Y781" s="314" t="str">
        <f t="shared" ca="1" si="370"/>
        <v/>
      </c>
      <c r="Z781" s="315" t="str">
        <f t="shared" ca="1" si="371"/>
        <v/>
      </c>
      <c r="AA781" s="316" t="str">
        <f t="shared" ca="1" si="372"/>
        <v/>
      </c>
      <c r="AC781" s="310" t="e">
        <f t="shared" ca="1" si="373"/>
        <v>#N/A</v>
      </c>
      <c r="AD781" s="323" t="e">
        <f t="shared" ca="1" si="374"/>
        <v>#N/A</v>
      </c>
      <c r="AE781" s="324" t="e">
        <f t="shared" ca="1" si="353"/>
        <v>#N/A</v>
      </c>
      <c r="AG781" s="306">
        <f t="shared" ca="1" si="375"/>
        <v>0.28850419943891481</v>
      </c>
      <c r="AH781" s="304">
        <f t="shared" ca="1" si="376"/>
        <v>-9.5067897603508875</v>
      </c>
    </row>
    <row r="782" spans="1:34" x14ac:dyDescent="0.2">
      <c r="A782" s="347">
        <f t="shared" ca="1" si="354"/>
        <v>0.1</v>
      </c>
      <c r="B782" s="304">
        <f t="shared" ca="1" si="355"/>
        <v>41.800000000000281</v>
      </c>
      <c r="D782" s="306">
        <f t="shared" ca="1" si="356"/>
        <v>-0.51678678454979909</v>
      </c>
      <c r="E782" s="307">
        <f t="shared" ca="1" si="357"/>
        <v>-0.3015240585010428</v>
      </c>
      <c r="F782" s="304">
        <f t="shared" ca="1" si="358"/>
        <v>0.59831875997687112</v>
      </c>
      <c r="G782" s="306">
        <f t="shared" ca="1" si="359"/>
        <v>6.2053162902682129</v>
      </c>
      <c r="H782" s="307">
        <f t="shared" ca="1" si="360"/>
        <v>-115.15400600441571</v>
      </c>
      <c r="I782" s="304">
        <f t="shared" ca="1" si="361"/>
        <v>115.32107807823891</v>
      </c>
      <c r="J782" s="306">
        <f t="shared" ca="1" si="362"/>
        <v>961.18525348814751</v>
      </c>
      <c r="K782" s="307">
        <f t="shared" ca="1" si="363"/>
        <v>312.65331309941246</v>
      </c>
      <c r="L782" s="304">
        <f t="shared" ca="1" si="348"/>
        <v>1010.7567391391035</v>
      </c>
      <c r="M782" s="306">
        <f t="shared" ca="1" si="364"/>
        <v>-1.5169612881886883</v>
      </c>
      <c r="N782" s="304">
        <f t="shared" ca="1" si="365"/>
        <v>-86.91547949794041</v>
      </c>
      <c r="P782" s="310">
        <f t="shared" ca="1" si="366"/>
        <v>23</v>
      </c>
      <c r="Q782" s="304">
        <f t="shared" ca="1" si="367"/>
        <v>0</v>
      </c>
      <c r="R782" s="306">
        <f t="shared" ca="1" si="368"/>
        <v>0</v>
      </c>
      <c r="S782" s="307">
        <f t="shared" ca="1" si="369"/>
        <v>5.0829999999999913</v>
      </c>
      <c r="T782" s="304">
        <f t="shared" ca="1" si="349"/>
        <v>49.864229999999914</v>
      </c>
      <c r="U782" s="311">
        <f t="shared" ca="1" si="350"/>
        <v>0</v>
      </c>
      <c r="V782" s="306">
        <f t="shared" ca="1" si="351"/>
        <v>1.1872894850177167</v>
      </c>
      <c r="W782" s="304">
        <f t="shared" ca="1" si="352"/>
        <v>48.481656201091475</v>
      </c>
      <c r="Y782" s="314" t="str">
        <f t="shared" ca="1" si="370"/>
        <v/>
      </c>
      <c r="Z782" s="315" t="str">
        <f t="shared" ca="1" si="371"/>
        <v/>
      </c>
      <c r="AA782" s="316" t="str">
        <f t="shared" ca="1" si="372"/>
        <v/>
      </c>
      <c r="AC782" s="310" t="e">
        <f t="shared" ca="1" si="373"/>
        <v>#N/A</v>
      </c>
      <c r="AD782" s="323" t="e">
        <f t="shared" ca="1" si="374"/>
        <v>#N/A</v>
      </c>
      <c r="AE782" s="324" t="e">
        <f t="shared" ca="1" si="353"/>
        <v>#N/A</v>
      </c>
      <c r="AG782" s="306">
        <f t="shared" ca="1" si="375"/>
        <v>0.2730336715117847</v>
      </c>
      <c r="AH782" s="304">
        <f t="shared" ca="1" si="376"/>
        <v>-9.5225092969631593</v>
      </c>
    </row>
    <row r="783" spans="1:34" x14ac:dyDescent="0.2">
      <c r="A783" s="347">
        <f t="shared" ca="1" si="354"/>
        <v>0.1</v>
      </c>
      <c r="B783" s="304">
        <f t="shared" ca="1" si="355"/>
        <v>41.900000000000283</v>
      </c>
      <c r="D783" s="306">
        <f t="shared" ca="1" si="356"/>
        <v>-0.51323062921343676</v>
      </c>
      <c r="E783" s="307">
        <f t="shared" ca="1" si="357"/>
        <v>-0.28581779984664912</v>
      </c>
      <c r="F783" s="304">
        <f t="shared" ca="1" si="358"/>
        <v>0.58744999231594119</v>
      </c>
      <c r="G783" s="306">
        <f t="shared" ca="1" si="359"/>
        <v>6.1539932273468692</v>
      </c>
      <c r="H783" s="307">
        <f t="shared" ca="1" si="360"/>
        <v>-115.18258778440037</v>
      </c>
      <c r="I783" s="304">
        <f t="shared" ca="1" si="361"/>
        <v>115.34686888404612</v>
      </c>
      <c r="J783" s="306">
        <f t="shared" ca="1" si="362"/>
        <v>961.80321896402825</v>
      </c>
      <c r="K783" s="307">
        <f t="shared" ca="1" si="363"/>
        <v>301.13648340997167</v>
      </c>
      <c r="L783" s="304">
        <f t="shared" ca="1" si="348"/>
        <v>1007.8435462164208</v>
      </c>
      <c r="M783" s="306">
        <f t="shared" ca="1" si="364"/>
        <v>-1.5174189223558074</v>
      </c>
      <c r="N783" s="304">
        <f t="shared" ca="1" si="365"/>
        <v>-86.941700004277322</v>
      </c>
      <c r="P783" s="310">
        <f t="shared" ca="1" si="366"/>
        <v>23</v>
      </c>
      <c r="Q783" s="304">
        <f t="shared" ca="1" si="367"/>
        <v>0</v>
      </c>
      <c r="R783" s="306">
        <f t="shared" ca="1" si="368"/>
        <v>0</v>
      </c>
      <c r="S783" s="307">
        <f t="shared" ca="1" si="369"/>
        <v>5.0829999999999913</v>
      </c>
      <c r="T783" s="304">
        <f t="shared" ca="1" si="349"/>
        <v>49.864229999999914</v>
      </c>
      <c r="U783" s="311">
        <f t="shared" ca="1" si="350"/>
        <v>0</v>
      </c>
      <c r="V783" s="306">
        <f t="shared" ca="1" si="351"/>
        <v>1.1886579762439728</v>
      </c>
      <c r="W783" s="304">
        <f t="shared" ca="1" si="352"/>
        <v>48.559249664347661</v>
      </c>
      <c r="Y783" s="314" t="str">
        <f t="shared" ca="1" si="370"/>
        <v/>
      </c>
      <c r="Z783" s="315" t="str">
        <f t="shared" ca="1" si="371"/>
        <v/>
      </c>
      <c r="AA783" s="316" t="str">
        <f t="shared" ca="1" si="372"/>
        <v/>
      </c>
      <c r="AC783" s="310" t="e">
        <f t="shared" ca="1" si="373"/>
        <v>#N/A</v>
      </c>
      <c r="AD783" s="323" t="e">
        <f t="shared" ca="1" si="374"/>
        <v>#N/A</v>
      </c>
      <c r="AE783" s="324" t="e">
        <f t="shared" ca="1" si="353"/>
        <v>#N/A</v>
      </c>
      <c r="AG783" s="306">
        <f t="shared" ca="1" si="375"/>
        <v>0.25778727315936401</v>
      </c>
      <c r="AH783" s="304">
        <f t="shared" ca="1" si="376"/>
        <v>-9.5380004330300139</v>
      </c>
    </row>
    <row r="784" spans="1:34" x14ac:dyDescent="0.2">
      <c r="A784" s="347">
        <f t="shared" ca="1" si="354"/>
        <v>0.1</v>
      </c>
      <c r="B784" s="304">
        <f t="shared" ca="1" si="355"/>
        <v>42.000000000000284</v>
      </c>
      <c r="D784" s="306">
        <f t="shared" ca="1" si="356"/>
        <v>-0.5096864190620809</v>
      </c>
      <c r="E784" s="307">
        <f t="shared" ca="1" si="357"/>
        <v>-0.27034037781272602</v>
      </c>
      <c r="F784" s="304">
        <f t="shared" ca="1" si="358"/>
        <v>0.57694381498743408</v>
      </c>
      <c r="G784" s="306">
        <f t="shared" ca="1" si="359"/>
        <v>6.1030245854406608</v>
      </c>
      <c r="H784" s="307">
        <f t="shared" ca="1" si="360"/>
        <v>-115.20962182218165</v>
      </c>
      <c r="I784" s="304">
        <f t="shared" ca="1" si="361"/>
        <v>115.37115700858948</v>
      </c>
      <c r="J784" s="306">
        <f t="shared" ca="1" si="362"/>
        <v>962.41606985466763</v>
      </c>
      <c r="K784" s="307">
        <f t="shared" ca="1" si="363"/>
        <v>289.61687292964257</v>
      </c>
      <c r="L784" s="304">
        <f t="shared" ca="1" si="348"/>
        <v>1005.0485682791898</v>
      </c>
      <c r="M784" s="306">
        <f t="shared" ca="1" si="364"/>
        <v>-1.5178725745107706</v>
      </c>
      <c r="N784" s="304">
        <f t="shared" ca="1" si="365"/>
        <v>-86.967692358123728</v>
      </c>
      <c r="P784" s="310">
        <f t="shared" ca="1" si="366"/>
        <v>23</v>
      </c>
      <c r="Q784" s="304">
        <f t="shared" ca="1" si="367"/>
        <v>0</v>
      </c>
      <c r="R784" s="306">
        <f t="shared" ca="1" si="368"/>
        <v>0</v>
      </c>
      <c r="S784" s="307">
        <f t="shared" ca="1" si="369"/>
        <v>5.0829999999999913</v>
      </c>
      <c r="T784" s="304">
        <f t="shared" ca="1" si="349"/>
        <v>49.864229999999914</v>
      </c>
      <c r="U784" s="311">
        <f t="shared" ca="1" si="350"/>
        <v>0</v>
      </c>
      <c r="V784" s="306">
        <f t="shared" ca="1" si="351"/>
        <v>1.1900283520323973</v>
      </c>
      <c r="W784" s="304">
        <f t="shared" ca="1" si="352"/>
        <v>48.635708061741596</v>
      </c>
      <c r="Y784" s="314" t="str">
        <f t="shared" ca="1" si="370"/>
        <v/>
      </c>
      <c r="Z784" s="315" t="str">
        <f t="shared" ca="1" si="371"/>
        <v/>
      </c>
      <c r="AA784" s="316" t="str">
        <f t="shared" ca="1" si="372"/>
        <v/>
      </c>
      <c r="AC784" s="310">
        <f t="shared" ca="1" si="373"/>
        <v>42.000000000000284</v>
      </c>
      <c r="AD784" s="323">
        <f t="shared" ca="1" si="374"/>
        <v>962.41606985466763</v>
      </c>
      <c r="AE784" s="324" t="e">
        <f t="shared" ca="1" si="353"/>
        <v>#N/A</v>
      </c>
      <c r="AG784" s="306">
        <f t="shared" ca="1" si="375"/>
        <v>0.24276252835482559</v>
      </c>
      <c r="AH784" s="304">
        <f t="shared" ca="1" si="376"/>
        <v>-9.5532657218862376</v>
      </c>
    </row>
    <row r="785" spans="1:34" x14ac:dyDescent="0.2">
      <c r="A785" s="347">
        <f t="shared" ca="1" si="354"/>
        <v>0.1</v>
      </c>
      <c r="B785" s="304">
        <f t="shared" ca="1" si="355"/>
        <v>42.100000000000286</v>
      </c>
      <c r="D785" s="306">
        <f t="shared" ca="1" si="356"/>
        <v>-0.50615438620416031</v>
      </c>
      <c r="E785" s="307">
        <f t="shared" ca="1" si="357"/>
        <v>-0.2550892173475745</v>
      </c>
      <c r="F785" s="304">
        <f t="shared" ca="1" si="358"/>
        <v>0.56680046884305624</v>
      </c>
      <c r="G785" s="306">
        <f t="shared" ca="1" si="359"/>
        <v>6.0524091468202448</v>
      </c>
      <c r="H785" s="307">
        <f t="shared" ca="1" si="360"/>
        <v>-115.2351307439164</v>
      </c>
      <c r="I785" s="304">
        <f t="shared" ca="1" si="361"/>
        <v>115.39396437443347</v>
      </c>
      <c r="J785" s="306">
        <f t="shared" ca="1" si="362"/>
        <v>963.02384154128072</v>
      </c>
      <c r="K785" s="307">
        <f t="shared" ca="1" si="363"/>
        <v>278.09463530133769</v>
      </c>
      <c r="L785" s="304">
        <f t="shared" ca="1" si="348"/>
        <v>1002.3729573169409</v>
      </c>
      <c r="M785" s="306">
        <f t="shared" ca="1" si="364"/>
        <v>-1.5183222858100562</v>
      </c>
      <c r="N785" s="304">
        <f t="shared" ca="1" si="365"/>
        <v>-86.993458917572141</v>
      </c>
      <c r="P785" s="310">
        <f t="shared" ca="1" si="366"/>
        <v>23</v>
      </c>
      <c r="Q785" s="304">
        <f t="shared" ca="1" si="367"/>
        <v>0</v>
      </c>
      <c r="R785" s="306">
        <f t="shared" ca="1" si="368"/>
        <v>0</v>
      </c>
      <c r="S785" s="307">
        <f t="shared" ca="1" si="369"/>
        <v>5.0829999999999913</v>
      </c>
      <c r="T785" s="304">
        <f t="shared" ca="1" si="349"/>
        <v>49.864229999999914</v>
      </c>
      <c r="U785" s="311">
        <f t="shared" ca="1" si="350"/>
        <v>0</v>
      </c>
      <c r="V785" s="306">
        <f t="shared" ca="1" si="351"/>
        <v>1.1914005978499491</v>
      </c>
      <c r="W785" s="304">
        <f t="shared" ca="1" si="352"/>
        <v>48.71104424349334</v>
      </c>
      <c r="Y785" s="314" t="str">
        <f t="shared" ca="1" si="370"/>
        <v/>
      </c>
      <c r="Z785" s="315" t="str">
        <f t="shared" ca="1" si="371"/>
        <v/>
      </c>
      <c r="AA785" s="316" t="str">
        <f t="shared" ca="1" si="372"/>
        <v/>
      </c>
      <c r="AC785" s="310" t="e">
        <f t="shared" ca="1" si="373"/>
        <v>#N/A</v>
      </c>
      <c r="AD785" s="323" t="e">
        <f t="shared" ca="1" si="374"/>
        <v>#N/A</v>
      </c>
      <c r="AE785" s="324" t="e">
        <f t="shared" ca="1" si="353"/>
        <v>#N/A</v>
      </c>
      <c r="AG785" s="306">
        <f t="shared" ca="1" si="375"/>
        <v>0.22795697191924447</v>
      </c>
      <c r="AH785" s="304">
        <f t="shared" ca="1" si="376"/>
        <v>-9.5683077044543925</v>
      </c>
    </row>
    <row r="786" spans="1:34" x14ac:dyDescent="0.2">
      <c r="A786" s="347">
        <f t="shared" ca="1" si="354"/>
        <v>0.1</v>
      </c>
      <c r="B786" s="304">
        <f t="shared" ca="1" si="355"/>
        <v>42.200000000000287</v>
      </c>
      <c r="D786" s="306">
        <f t="shared" ca="1" si="356"/>
        <v>-0.5026347554422379</v>
      </c>
      <c r="E786" s="307">
        <f t="shared" ca="1" si="357"/>
        <v>-0.24006175644077565</v>
      </c>
      <c r="F786" s="304">
        <f t="shared" ca="1" si="358"/>
        <v>0.557020057344355</v>
      </c>
      <c r="G786" s="306">
        <f t="shared" ca="1" si="359"/>
        <v>6.0021456712760211</v>
      </c>
      <c r="H786" s="307">
        <f t="shared" ca="1" si="360"/>
        <v>-115.25913691956048</v>
      </c>
      <c r="I786" s="304">
        <f t="shared" ca="1" si="361"/>
        <v>115.4153126586815</v>
      </c>
      <c r="J786" s="306">
        <f t="shared" ca="1" si="362"/>
        <v>963.62656928218553</v>
      </c>
      <c r="K786" s="307">
        <f t="shared" ca="1" si="363"/>
        <v>266.56992191816386</v>
      </c>
      <c r="L786" s="304">
        <f t="shared" ca="1" si="348"/>
        <v>999.81782755560562</v>
      </c>
      <c r="M786" s="306">
        <f t="shared" ca="1" si="364"/>
        <v>-1.5187680968042321</v>
      </c>
      <c r="N786" s="304">
        <f t="shared" ca="1" si="365"/>
        <v>-87.019002005998956</v>
      </c>
      <c r="P786" s="310">
        <f t="shared" ca="1" si="366"/>
        <v>23</v>
      </c>
      <c r="Q786" s="304">
        <f t="shared" ca="1" si="367"/>
        <v>0</v>
      </c>
      <c r="R786" s="306">
        <f t="shared" ca="1" si="368"/>
        <v>0</v>
      </c>
      <c r="S786" s="307">
        <f t="shared" ca="1" si="369"/>
        <v>5.0829999999999913</v>
      </c>
      <c r="T786" s="304">
        <f t="shared" ca="1" si="349"/>
        <v>49.864229999999914</v>
      </c>
      <c r="U786" s="311">
        <f t="shared" ca="1" si="350"/>
        <v>0</v>
      </c>
      <c r="V786" s="306">
        <f t="shared" ca="1" si="351"/>
        <v>1.1927746993588106</v>
      </c>
      <c r="W786" s="304">
        <f t="shared" ca="1" si="352"/>
        <v>48.785270992429673</v>
      </c>
      <c r="Y786" s="314" t="str">
        <f t="shared" ca="1" si="370"/>
        <v/>
      </c>
      <c r="Z786" s="315" t="str">
        <f t="shared" ca="1" si="371"/>
        <v/>
      </c>
      <c r="AA786" s="316" t="str">
        <f t="shared" ca="1" si="372"/>
        <v/>
      </c>
      <c r="AC786" s="310" t="e">
        <f t="shared" ca="1" si="373"/>
        <v>#N/A</v>
      </c>
      <c r="AD786" s="323" t="e">
        <f t="shared" ca="1" si="374"/>
        <v>#N/A</v>
      </c>
      <c r="AE786" s="324" t="e">
        <f t="shared" ca="1" si="353"/>
        <v>#N/A</v>
      </c>
      <c r="AG786" s="306">
        <f t="shared" ca="1" si="375"/>
        <v>0.21336814999115994</v>
      </c>
      <c r="AH786" s="304">
        <f t="shared" ca="1" si="376"/>
        <v>-9.5831289088123981</v>
      </c>
    </row>
    <row r="787" spans="1:34" x14ac:dyDescent="0.2">
      <c r="A787" s="347">
        <f t="shared" ca="1" si="354"/>
        <v>0.1</v>
      </c>
      <c r="B787" s="304">
        <f t="shared" ca="1" si="355"/>
        <v>42.300000000000288</v>
      </c>
      <c r="D787" s="306">
        <f t="shared" ca="1" si="356"/>
        <v>-0.49912774439717833</v>
      </c>
      <c r="E787" s="307">
        <f t="shared" ca="1" si="357"/>
        <v>-0.22525544654178553</v>
      </c>
      <c r="F787" s="304">
        <f t="shared" ca="1" si="358"/>
        <v>0.54760252138184518</v>
      </c>
      <c r="G787" s="306">
        <f t="shared" ca="1" si="359"/>
        <v>5.9522328968363034</v>
      </c>
      <c r="H787" s="307">
        <f t="shared" ca="1" si="360"/>
        <v>-115.28166246421465</v>
      </c>
      <c r="I787" s="304">
        <f t="shared" ca="1" si="361"/>
        <v>115.43522329415444</v>
      </c>
      <c r="J787" s="306">
        <f t="shared" ca="1" si="362"/>
        <v>964.22428821059111</v>
      </c>
      <c r="K787" s="307">
        <f t="shared" ca="1" si="363"/>
        <v>255.04288194897509</v>
      </c>
      <c r="L787" s="304">
        <f t="shared" ca="1" si="348"/>
        <v>997.38425373978112</v>
      </c>
      <c r="M787" s="306">
        <f t="shared" ca="1" si="364"/>
        <v>-1.519210047450422</v>
      </c>
      <c r="N787" s="304">
        <f t="shared" ca="1" si="365"/>
        <v>-87.044323912778708</v>
      </c>
      <c r="P787" s="310">
        <f t="shared" ca="1" si="366"/>
        <v>23</v>
      </c>
      <c r="Q787" s="304">
        <f t="shared" ca="1" si="367"/>
        <v>0</v>
      </c>
      <c r="R787" s="306">
        <f t="shared" ca="1" si="368"/>
        <v>0</v>
      </c>
      <c r="S787" s="307">
        <f t="shared" ca="1" si="369"/>
        <v>5.0829999999999913</v>
      </c>
      <c r="T787" s="304">
        <f t="shared" ca="1" si="349"/>
        <v>49.864229999999914</v>
      </c>
      <c r="U787" s="311">
        <f t="shared" ca="1" si="350"/>
        <v>0</v>
      </c>
      <c r="V787" s="306">
        <f t="shared" ca="1" si="351"/>
        <v>1.1941506424144948</v>
      </c>
      <c r="W787" s="304">
        <f t="shared" ca="1" si="352"/>
        <v>48.858401021972035</v>
      </c>
      <c r="Y787" s="314" t="str">
        <f t="shared" ca="1" si="370"/>
        <v/>
      </c>
      <c r="Z787" s="315" t="str">
        <f t="shared" ca="1" si="371"/>
        <v/>
      </c>
      <c r="AA787" s="316" t="str">
        <f t="shared" ca="1" si="372"/>
        <v/>
      </c>
      <c r="AC787" s="310" t="e">
        <f t="shared" ca="1" si="373"/>
        <v>#N/A</v>
      </c>
      <c r="AD787" s="323" t="e">
        <f t="shared" ca="1" si="374"/>
        <v>#N/A</v>
      </c>
      <c r="AE787" s="324" t="e">
        <f t="shared" ca="1" si="353"/>
        <v>#N/A</v>
      </c>
      <c r="AG787" s="306">
        <f t="shared" ca="1" si="375"/>
        <v>0.1989936204765943</v>
      </c>
      <c r="AH787" s="304">
        <f t="shared" ca="1" si="376"/>
        <v>-9.5977318497796098</v>
      </c>
    </row>
    <row r="788" spans="1:34" x14ac:dyDescent="0.2">
      <c r="A788" s="347">
        <f t="shared" ca="1" si="354"/>
        <v>0.1</v>
      </c>
      <c r="B788" s="304">
        <f t="shared" ca="1" si="355"/>
        <v>42.40000000000029</v>
      </c>
      <c r="D788" s="306">
        <f t="shared" ca="1" si="356"/>
        <v>-0.49563356363140515</v>
      </c>
      <c r="E788" s="307">
        <f t="shared" ca="1" si="357"/>
        <v>-0.21066775296025853</v>
      </c>
      <c r="F788" s="304">
        <f t="shared" ca="1" si="358"/>
        <v>0.53854761306247623</v>
      </c>
      <c r="G788" s="306">
        <f t="shared" ca="1" si="359"/>
        <v>5.9026695404731626</v>
      </c>
      <c r="H788" s="307">
        <f t="shared" ca="1" si="360"/>
        <v>-115.30272923951067</v>
      </c>
      <c r="I788" s="304">
        <f t="shared" ca="1" si="361"/>
        <v>115.45371747061218</v>
      </c>
      <c r="J788" s="306">
        <f t="shared" ca="1" si="362"/>
        <v>964.81703333245662</v>
      </c>
      <c r="K788" s="307">
        <f t="shared" ca="1" si="363"/>
        <v>243.51366236378882</v>
      </c>
      <c r="L788" s="304">
        <f t="shared" ca="1" si="348"/>
        <v>995.07326944615897</v>
      </c>
      <c r="M788" s="306">
        <f t="shared" ca="1" si="364"/>
        <v>-1.5196481771244617</v>
      </c>
      <c r="N788" s="304">
        <f t="shared" ca="1" si="365"/>
        <v>-87.069426893980634</v>
      </c>
      <c r="P788" s="310">
        <f t="shared" ca="1" si="366"/>
        <v>23</v>
      </c>
      <c r="Q788" s="304">
        <f t="shared" ca="1" si="367"/>
        <v>0</v>
      </c>
      <c r="R788" s="306">
        <f t="shared" ca="1" si="368"/>
        <v>0</v>
      </c>
      <c r="S788" s="307">
        <f t="shared" ca="1" si="369"/>
        <v>5.0829999999999913</v>
      </c>
      <c r="T788" s="304">
        <f t="shared" ca="1" si="349"/>
        <v>49.864229999999914</v>
      </c>
      <c r="U788" s="311">
        <f t="shared" ca="1" si="350"/>
        <v>0</v>
      </c>
      <c r="V788" s="306">
        <f t="shared" ca="1" si="351"/>
        <v>1.1955284130639594</v>
      </c>
      <c r="W788" s="304">
        <f t="shared" ca="1" si="352"/>
        <v>48.930446974214291</v>
      </c>
      <c r="Y788" s="314" t="str">
        <f t="shared" ca="1" si="370"/>
        <v/>
      </c>
      <c r="Z788" s="315" t="str">
        <f t="shared" ca="1" si="371"/>
        <v/>
      </c>
      <c r="AA788" s="316" t="str">
        <f t="shared" ca="1" si="372"/>
        <v/>
      </c>
      <c r="AC788" s="310" t="e">
        <f t="shared" ca="1" si="373"/>
        <v>#N/A</v>
      </c>
      <c r="AD788" s="323" t="e">
        <f t="shared" ca="1" si="374"/>
        <v>#N/A</v>
      </c>
      <c r="AE788" s="324" t="e">
        <f t="shared" ca="1" si="353"/>
        <v>#N/A</v>
      </c>
      <c r="AG788" s="306">
        <f t="shared" ca="1" si="375"/>
        <v>0.18483095348000589</v>
      </c>
      <c r="AH788" s="304">
        <f t="shared" ca="1" si="376"/>
        <v>-9.6121190285209757</v>
      </c>
    </row>
    <row r="789" spans="1:34" x14ac:dyDescent="0.2">
      <c r="A789" s="347">
        <f t="shared" ca="1" si="354"/>
        <v>0.1</v>
      </c>
      <c r="B789" s="304">
        <f t="shared" ca="1" si="355"/>
        <v>42.500000000000291</v>
      </c>
      <c r="D789" s="306">
        <f t="shared" ca="1" si="356"/>
        <v>-0.49215241677123517</v>
      </c>
      <c r="E789" s="307">
        <f t="shared" ca="1" si="357"/>
        <v>-0.19629615524845789</v>
      </c>
      <c r="F789" s="304">
        <f t="shared" ca="1" si="358"/>
        <v>0.52985486871321119</v>
      </c>
      <c r="G789" s="306">
        <f t="shared" ca="1" si="359"/>
        <v>5.8534542987960387</v>
      </c>
      <c r="H789" s="307">
        <f t="shared" ca="1" si="360"/>
        <v>-115.32235885503552</v>
      </c>
      <c r="I789" s="304">
        <f t="shared" ca="1" si="361"/>
        <v>115.4708161360163</v>
      </c>
      <c r="J789" s="306">
        <f t="shared" ca="1" si="362"/>
        <v>965.40483952442003</v>
      </c>
      <c r="K789" s="307">
        <f t="shared" ca="1" si="363"/>
        <v>231.9824079590615</v>
      </c>
      <c r="L789" s="304">
        <f t="shared" ca="1" si="348"/>
        <v>992.88586543451993</v>
      </c>
      <c r="M789" s="306">
        <f t="shared" ca="1" si="364"/>
        <v>-1.520082524632755</v>
      </c>
      <c r="N789" s="304">
        <f t="shared" ca="1" si="365"/>
        <v>-87.094313173047851</v>
      </c>
      <c r="P789" s="310">
        <f t="shared" ca="1" si="366"/>
        <v>23</v>
      </c>
      <c r="Q789" s="304">
        <f t="shared" ca="1" si="367"/>
        <v>0</v>
      </c>
      <c r="R789" s="306">
        <f t="shared" ca="1" si="368"/>
        <v>0</v>
      </c>
      <c r="S789" s="307">
        <f t="shared" ca="1" si="369"/>
        <v>5.0829999999999913</v>
      </c>
      <c r="T789" s="304">
        <f t="shared" ca="1" si="349"/>
        <v>49.864229999999914</v>
      </c>
      <c r="U789" s="311">
        <f t="shared" ca="1" si="350"/>
        <v>0</v>
      </c>
      <c r="V789" s="306">
        <f t="shared" ca="1" si="351"/>
        <v>1.1969079975437249</v>
      </c>
      <c r="W789" s="304">
        <f t="shared" ca="1" si="352"/>
        <v>49.001421418088121</v>
      </c>
      <c r="Y789" s="314" t="str">
        <f t="shared" ca="1" si="370"/>
        <v/>
      </c>
      <c r="Z789" s="315" t="str">
        <f t="shared" ca="1" si="371"/>
        <v/>
      </c>
      <c r="AA789" s="316" t="str">
        <f t="shared" ca="1" si="372"/>
        <v/>
      </c>
      <c r="AC789" s="310" t="e">
        <f t="shared" ca="1" si="373"/>
        <v>#N/A</v>
      </c>
      <c r="AD789" s="323" t="e">
        <f t="shared" ca="1" si="374"/>
        <v>#N/A</v>
      </c>
      <c r="AE789" s="324" t="e">
        <f t="shared" ca="1" si="353"/>
        <v>#N/A</v>
      </c>
      <c r="AG789" s="306">
        <f t="shared" ca="1" si="375"/>
        <v>0.17087773171657084</v>
      </c>
      <c r="AH789" s="304">
        <f t="shared" ca="1" si="376"/>
        <v>-9.6262929321688713</v>
      </c>
    </row>
    <row r="790" spans="1:34" x14ac:dyDescent="0.2">
      <c r="A790" s="347">
        <f t="shared" ca="1" si="354"/>
        <v>0.1</v>
      </c>
      <c r="B790" s="304">
        <f t="shared" ca="1" si="355"/>
        <v>42.600000000000293</v>
      </c>
      <c r="D790" s="306">
        <f t="shared" ca="1" si="356"/>
        <v>-0.48868450062823293</v>
      </c>
      <c r="E790" s="307">
        <f t="shared" ca="1" si="357"/>
        <v>-0.18213814756622781</v>
      </c>
      <c r="F790" s="304">
        <f t="shared" ca="1" si="358"/>
        <v>0.52152358139697041</v>
      </c>
      <c r="G790" s="306">
        <f t="shared" ca="1" si="359"/>
        <v>5.8045858487332156</v>
      </c>
      <c r="H790" s="307">
        <f t="shared" ca="1" si="360"/>
        <v>-115.34057266979214</v>
      </c>
      <c r="I790" s="304">
        <f t="shared" ca="1" si="361"/>
        <v>115.48653999783228</v>
      </c>
      <c r="J790" s="306">
        <f t="shared" ca="1" si="362"/>
        <v>965.98774153179647</v>
      </c>
      <c r="K790" s="307">
        <f t="shared" ca="1" si="363"/>
        <v>220.44926138282011</v>
      </c>
      <c r="L790" s="304">
        <f t="shared" ca="1" si="348"/>
        <v>990.82298804273398</v>
      </c>
      <c r="M790" s="306">
        <f t="shared" ca="1" si="364"/>
        <v>-1.520513128223838</v>
      </c>
      <c r="N790" s="304">
        <f t="shared" ca="1" si="365"/>
        <v>-87.118984941460099</v>
      </c>
      <c r="P790" s="310">
        <f t="shared" ca="1" si="366"/>
        <v>23</v>
      </c>
      <c r="Q790" s="304">
        <f t="shared" ca="1" si="367"/>
        <v>0</v>
      </c>
      <c r="R790" s="306">
        <f t="shared" ca="1" si="368"/>
        <v>0</v>
      </c>
      <c r="S790" s="307">
        <f t="shared" ca="1" si="369"/>
        <v>5.0829999999999913</v>
      </c>
      <c r="T790" s="304">
        <f t="shared" ca="1" si="349"/>
        <v>49.864229999999914</v>
      </c>
      <c r="U790" s="311">
        <f t="shared" ca="1" si="350"/>
        <v>0</v>
      </c>
      <c r="V790" s="306">
        <f t="shared" ca="1" si="351"/>
        <v>1.1982893822779994</v>
      </c>
      <c r="W790" s="304">
        <f t="shared" ca="1" si="352"/>
        <v>49.07133684761417</v>
      </c>
      <c r="Y790" s="314" t="str">
        <f t="shared" ca="1" si="370"/>
        <v/>
      </c>
      <c r="Z790" s="315" t="str">
        <f t="shared" ca="1" si="371"/>
        <v/>
      </c>
      <c r="AA790" s="316" t="str">
        <f t="shared" ca="1" si="372"/>
        <v/>
      </c>
      <c r="AC790" s="310" t="e">
        <f t="shared" ca="1" si="373"/>
        <v>#N/A</v>
      </c>
      <c r="AD790" s="323" t="e">
        <f t="shared" ca="1" si="374"/>
        <v>#N/A</v>
      </c>
      <c r="AE790" s="324" t="e">
        <f t="shared" ca="1" si="353"/>
        <v>#N/A</v>
      </c>
      <c r="AG790" s="306">
        <f t="shared" ca="1" si="375"/>
        <v>0.15713155090628383</v>
      </c>
      <c r="AH790" s="304">
        <f t="shared" ca="1" si="376"/>
        <v>-9.640256033462169</v>
      </c>
    </row>
    <row r="791" spans="1:34" x14ac:dyDescent="0.2">
      <c r="A791" s="347">
        <f t="shared" ca="1" si="354"/>
        <v>0.1</v>
      </c>
      <c r="B791" s="304">
        <f t="shared" ca="1" si="355"/>
        <v>42.700000000000294</v>
      </c>
      <c r="D791" s="306">
        <f t="shared" ca="1" si="356"/>
        <v>-0.48523000531956417</v>
      </c>
      <c r="E791" s="307">
        <f t="shared" ca="1" si="357"/>
        <v>-0.16819123902889288</v>
      </c>
      <c r="F791" s="304">
        <f t="shared" ca="1" si="358"/>
        <v>0.51355277328478954</v>
      </c>
      <c r="G791" s="306">
        <f t="shared" ca="1" si="359"/>
        <v>5.7560628482012595</v>
      </c>
      <c r="H791" s="307">
        <f t="shared" ca="1" si="360"/>
        <v>-115.35739179369503</v>
      </c>
      <c r="I791" s="304">
        <f t="shared" ca="1" si="361"/>
        <v>115.50090952436911</v>
      </c>
      <c r="J791" s="306">
        <f t="shared" ca="1" si="362"/>
        <v>966.56577396664318</v>
      </c>
      <c r="K791" s="307">
        <f t="shared" ca="1" si="363"/>
        <v>208.91436315964575</v>
      </c>
      <c r="L791" s="304">
        <f t="shared" ca="1" si="348"/>
        <v>988.88553763220557</v>
      </c>
      <c r="M791" s="306">
        <f t="shared" ca="1" si="364"/>
        <v>-1.5209400255996568</v>
      </c>
      <c r="N791" s="304">
        <f t="shared" ca="1" si="365"/>
        <v>-87.143444359379714</v>
      </c>
      <c r="P791" s="310">
        <f t="shared" ca="1" si="366"/>
        <v>23</v>
      </c>
      <c r="Q791" s="304">
        <f t="shared" ca="1" si="367"/>
        <v>0</v>
      </c>
      <c r="R791" s="306">
        <f t="shared" ca="1" si="368"/>
        <v>0</v>
      </c>
      <c r="S791" s="307">
        <f t="shared" ca="1" si="369"/>
        <v>5.0829999999999913</v>
      </c>
      <c r="T791" s="304">
        <f t="shared" ca="1" si="349"/>
        <v>49.864229999999914</v>
      </c>
      <c r="U791" s="311">
        <f t="shared" ca="1" si="350"/>
        <v>0</v>
      </c>
      <c r="V791" s="306">
        <f t="shared" ca="1" si="351"/>
        <v>1.199672553876808</v>
      </c>
      <c r="W791" s="304">
        <f t="shared" ca="1" si="352"/>
        <v>49.140205680236654</v>
      </c>
      <c r="Y791" s="314" t="str">
        <f t="shared" ca="1" si="370"/>
        <v/>
      </c>
      <c r="Z791" s="315" t="str">
        <f t="shared" ca="1" si="371"/>
        <v/>
      </c>
      <c r="AA791" s="316" t="str">
        <f t="shared" ca="1" si="372"/>
        <v/>
      </c>
      <c r="AC791" s="310" t="e">
        <f t="shared" ca="1" si="373"/>
        <v>#N/A</v>
      </c>
      <c r="AD791" s="323" t="e">
        <f t="shared" ca="1" si="374"/>
        <v>#N/A</v>
      </c>
      <c r="AE791" s="324" t="e">
        <f t="shared" ca="1" si="353"/>
        <v>#N/A</v>
      </c>
      <c r="AG791" s="306">
        <f t="shared" ca="1" si="375"/>
        <v>0.14359002015028643</v>
      </c>
      <c r="AH791" s="304">
        <f t="shared" ca="1" si="376"/>
        <v>-9.6540107904021752</v>
      </c>
    </row>
    <row r="792" spans="1:34" x14ac:dyDescent="0.2">
      <c r="A792" s="347">
        <f t="shared" ca="1" si="354"/>
        <v>0.1</v>
      </c>
      <c r="B792" s="304">
        <f t="shared" ca="1" si="355"/>
        <v>42.800000000000296</v>
      </c>
      <c r="D792" s="306">
        <f t="shared" ca="1" si="356"/>
        <v>-0.48178911438734423</v>
      </c>
      <c r="E792" s="307">
        <f t="shared" ca="1" si="357"/>
        <v>-0.15445295403853265</v>
      </c>
      <c r="F792" s="304">
        <f t="shared" ca="1" si="358"/>
        <v>0.50594116827292335</v>
      </c>
      <c r="G792" s="306">
        <f t="shared" ca="1" si="359"/>
        <v>5.7078839367625251</v>
      </c>
      <c r="H792" s="307">
        <f t="shared" ca="1" si="360"/>
        <v>-115.37283708909888</v>
      </c>
      <c r="I792" s="304">
        <f t="shared" ca="1" si="361"/>
        <v>115.51394494615489</v>
      </c>
      <c r="J792" s="306">
        <f t="shared" ca="1" si="362"/>
        <v>967.13897130589135</v>
      </c>
      <c r="K792" s="307">
        <f t="shared" ca="1" si="363"/>
        <v>197.37785171550604</v>
      </c>
      <c r="L792" s="304">
        <f t="shared" ca="1" si="348"/>
        <v>987.07436709016315</v>
      </c>
      <c r="M792" s="306">
        <f t="shared" ca="1" si="364"/>
        <v>-1.5213632539265709</v>
      </c>
      <c r="N792" s="304">
        <f t="shared" ca="1" si="365"/>
        <v>-87.167693556282288</v>
      </c>
      <c r="P792" s="310">
        <f t="shared" ca="1" si="366"/>
        <v>23</v>
      </c>
      <c r="Q792" s="304">
        <f t="shared" ca="1" si="367"/>
        <v>0</v>
      </c>
      <c r="R792" s="306">
        <f t="shared" ca="1" si="368"/>
        <v>0</v>
      </c>
      <c r="S792" s="307">
        <f t="shared" ca="1" si="369"/>
        <v>5.0829999999999913</v>
      </c>
      <c r="T792" s="304">
        <f t="shared" ca="1" si="349"/>
        <v>49.864229999999914</v>
      </c>
      <c r="U792" s="311">
        <f t="shared" ca="1" si="350"/>
        <v>0</v>
      </c>
      <c r="V792" s="306">
        <f t="shared" ca="1" si="351"/>
        <v>1.2010574991341305</v>
      </c>
      <c r="W792" s="304">
        <f t="shared" ca="1" si="352"/>
        <v>49.208040255239766</v>
      </c>
      <c r="Y792" s="314" t="str">
        <f t="shared" ca="1" si="370"/>
        <v/>
      </c>
      <c r="Z792" s="315" t="str">
        <f t="shared" ca="1" si="371"/>
        <v/>
      </c>
      <c r="AA792" s="316" t="str">
        <f t="shared" ca="1" si="372"/>
        <v/>
      </c>
      <c r="AC792" s="310" t="e">
        <f t="shared" ca="1" si="373"/>
        <v>#N/A</v>
      </c>
      <c r="AD792" s="323" t="e">
        <f t="shared" ca="1" si="374"/>
        <v>#N/A</v>
      </c>
      <c r="AE792" s="324" t="e">
        <f t="shared" ca="1" si="353"/>
        <v>#N/A</v>
      </c>
      <c r="AG792" s="306">
        <f t="shared" ca="1" si="375"/>
        <v>0.13025076228988119</v>
      </c>
      <c r="AH792" s="304">
        <f t="shared" ca="1" si="376"/>
        <v>-9.6675596459249924</v>
      </c>
    </row>
    <row r="793" spans="1:34" x14ac:dyDescent="0.2">
      <c r="A793" s="347">
        <f t="shared" ca="1" si="354"/>
        <v>0.1</v>
      </c>
      <c r="B793" s="304">
        <f t="shared" ca="1" si="355"/>
        <v>42.900000000000297</v>
      </c>
      <c r="D793" s="306">
        <f t="shared" ca="1" si="356"/>
        <v>-0.47836200491691061</v>
      </c>
      <c r="E793" s="307">
        <f t="shared" ca="1" si="357"/>
        <v>-0.14092083259896349</v>
      </c>
      <c r="F793" s="304">
        <f t="shared" ca="1" si="358"/>
        <v>0.49868716527349233</v>
      </c>
      <c r="G793" s="306">
        <f t="shared" ca="1" si="359"/>
        <v>5.6600477362708341</v>
      </c>
      <c r="H793" s="307">
        <f t="shared" ca="1" si="360"/>
        <v>-115.38692917235878</v>
      </c>
      <c r="I793" s="304">
        <f t="shared" ca="1" si="361"/>
        <v>115.52566625734649</v>
      </c>
      <c r="J793" s="306">
        <f t="shared" ca="1" si="362"/>
        <v>967.70736788954298</v>
      </c>
      <c r="K793" s="307">
        <f t="shared" ca="1" si="363"/>
        <v>185.83986340243317</v>
      </c>
      <c r="L793" s="304">
        <f t="shared" ca="1" si="348"/>
        <v>985.39028039510436</v>
      </c>
      <c r="M793" s="306">
        <f t="shared" ca="1" si="364"/>
        <v>-1.5217828498460861</v>
      </c>
      <c r="N793" s="304">
        <f t="shared" ca="1" si="365"/>
        <v>-87.191734631571421</v>
      </c>
      <c r="P793" s="310">
        <f t="shared" ca="1" si="366"/>
        <v>23</v>
      </c>
      <c r="Q793" s="304">
        <f t="shared" ca="1" si="367"/>
        <v>0</v>
      </c>
      <c r="R793" s="306">
        <f t="shared" ca="1" si="368"/>
        <v>0</v>
      </c>
      <c r="S793" s="307">
        <f t="shared" ca="1" si="369"/>
        <v>5.0829999999999913</v>
      </c>
      <c r="T793" s="304">
        <f t="shared" ca="1" si="349"/>
        <v>49.864229999999914</v>
      </c>
      <c r="U793" s="311">
        <f t="shared" ca="1" si="350"/>
        <v>0</v>
      </c>
      <c r="V793" s="306">
        <f t="shared" ca="1" si="351"/>
        <v>1.2024442050260464</v>
      </c>
      <c r="W793" s="304">
        <f t="shared" ca="1" si="352"/>
        <v>49.274852832243397</v>
      </c>
      <c r="Y793" s="314" t="str">
        <f t="shared" ca="1" si="370"/>
        <v/>
      </c>
      <c r="Z793" s="315" t="str">
        <f t="shared" ca="1" si="371"/>
        <v/>
      </c>
      <c r="AA793" s="316" t="str">
        <f t="shared" ca="1" si="372"/>
        <v/>
      </c>
      <c r="AC793" s="310" t="e">
        <f t="shared" ca="1" si="373"/>
        <v>#N/A</v>
      </c>
      <c r="AD793" s="323" t="e">
        <f t="shared" ca="1" si="374"/>
        <v>#N/A</v>
      </c>
      <c r="AE793" s="324" t="e">
        <f t="shared" ca="1" si="353"/>
        <v>#N/A</v>
      </c>
      <c r="AG793" s="306">
        <f t="shared" ca="1" si="375"/>
        <v>0.11711141424858518</v>
      </c>
      <c r="AH793" s="304">
        <f t="shared" ca="1" si="376"/>
        <v>-9.6809050275899757</v>
      </c>
    </row>
    <row r="794" spans="1:34" x14ac:dyDescent="0.2">
      <c r="A794" s="347">
        <f t="shared" ca="1" si="354"/>
        <v>0.1</v>
      </c>
      <c r="B794" s="304">
        <f t="shared" ca="1" si="355"/>
        <v>43.000000000000298</v>
      </c>
      <c r="D794" s="306">
        <f t="shared" ca="1" si="356"/>
        <v>-0.47494884765403589</v>
      </c>
      <c r="E794" s="307">
        <f t="shared" ca="1" si="357"/>
        <v>-0.12759243061493208</v>
      </c>
      <c r="F794" s="304">
        <f t="shared" ca="1" si="358"/>
        <v>0.49178881264026619</v>
      </c>
      <c r="G794" s="306">
        <f t="shared" ca="1" si="359"/>
        <v>5.6125528515054306</v>
      </c>
      <c r="H794" s="307">
        <f t="shared" ca="1" si="360"/>
        <v>-115.39968841542027</v>
      </c>
      <c r="I794" s="304">
        <f t="shared" ca="1" si="361"/>
        <v>115.53609321717185</v>
      </c>
      <c r="J794" s="306">
        <f t="shared" ca="1" si="362"/>
        <v>968.27099791893181</v>
      </c>
      <c r="K794" s="307">
        <f t="shared" ca="1" si="363"/>
        <v>174.30053252304421</v>
      </c>
      <c r="L794" s="304">
        <f t="shared" ca="1" si="348"/>
        <v>983.83403125158304</v>
      </c>
      <c r="M794" s="306">
        <f t="shared" ca="1" si="364"/>
        <v>-1.5221988494853282</v>
      </c>
      <c r="N794" s="304">
        <f t="shared" ca="1" si="365"/>
        <v>-87.215569655178953</v>
      </c>
      <c r="P794" s="310">
        <f t="shared" ca="1" si="366"/>
        <v>23</v>
      </c>
      <c r="Q794" s="304">
        <f t="shared" ca="1" si="367"/>
        <v>0</v>
      </c>
      <c r="R794" s="306">
        <f t="shared" ca="1" si="368"/>
        <v>0</v>
      </c>
      <c r="S794" s="307">
        <f t="shared" ca="1" si="369"/>
        <v>5.0829999999999913</v>
      </c>
      <c r="T794" s="304">
        <f t="shared" ca="1" si="349"/>
        <v>49.864229999999914</v>
      </c>
      <c r="U794" s="311">
        <f t="shared" ca="1" si="350"/>
        <v>0</v>
      </c>
      <c r="V794" s="306">
        <f t="shared" ca="1" si="351"/>
        <v>1.2038326587088841</v>
      </c>
      <c r="W794" s="304">
        <f t="shared" ca="1" si="352"/>
        <v>49.340655589776752</v>
      </c>
      <c r="Y794" s="314" t="str">
        <f t="shared" ca="1" si="370"/>
        <v/>
      </c>
      <c r="Z794" s="315" t="str">
        <f t="shared" ca="1" si="371"/>
        <v/>
      </c>
      <c r="AA794" s="316" t="str">
        <f t="shared" ca="1" si="372"/>
        <v/>
      </c>
      <c r="AC794" s="310">
        <f t="shared" ca="1" si="373"/>
        <v>43.000000000000298</v>
      </c>
      <c r="AD794" s="323">
        <f t="shared" ca="1" si="374"/>
        <v>968.27099791893181</v>
      </c>
      <c r="AE794" s="324" t="e">
        <f t="shared" ca="1" si="353"/>
        <v>#N/A</v>
      </c>
      <c r="AG794" s="306">
        <f t="shared" ca="1" si="375"/>
        <v>0.10416962735776636</v>
      </c>
      <c r="AH794" s="304">
        <f t="shared" ca="1" si="376"/>
        <v>-9.6940493472837854</v>
      </c>
    </row>
    <row r="795" spans="1:34" x14ac:dyDescent="0.2">
      <c r="A795" s="347">
        <f t="shared" ca="1" si="354"/>
        <v>0.1</v>
      </c>
      <c r="B795" s="304">
        <f t="shared" ca="1" si="355"/>
        <v>43.1000000000003</v>
      </c>
      <c r="D795" s="306">
        <f t="shared" ca="1" si="356"/>
        <v>-0.47154980712101968</v>
      </c>
      <c r="E795" s="307">
        <f t="shared" ca="1" si="357"/>
        <v>-0.11446532017580147</v>
      </c>
      <c r="F795" s="304">
        <f t="shared" ca="1" si="358"/>
        <v>0.48524378421451175</v>
      </c>
      <c r="G795" s="306">
        <f t="shared" ca="1" si="359"/>
        <v>5.5653978707933289</v>
      </c>
      <c r="H795" s="307">
        <f t="shared" ca="1" si="360"/>
        <v>-115.41113494743786</v>
      </c>
      <c r="I795" s="304">
        <f t="shared" ca="1" si="361"/>
        <v>115.54524535140311</v>
      </c>
      <c r="J795" s="306">
        <f t="shared" ca="1" si="362"/>
        <v>968.82989545504677</v>
      </c>
      <c r="K795" s="307">
        <f t="shared" ca="1" si="363"/>
        <v>162.7599913549013</v>
      </c>
      <c r="L795" s="304">
        <f t="shared" ca="1" si="348"/>
        <v>982.40632180034572</v>
      </c>
      <c r="M795" s="306">
        <f t="shared" ca="1" si="364"/>
        <v>-1.5226112884672593</v>
      </c>
      <c r="N795" s="304">
        <f t="shared" ca="1" si="365"/>
        <v>-87.239200668150275</v>
      </c>
      <c r="P795" s="310">
        <f t="shared" ca="1" si="366"/>
        <v>23</v>
      </c>
      <c r="Q795" s="304">
        <f t="shared" ca="1" si="367"/>
        <v>0</v>
      </c>
      <c r="R795" s="306">
        <f t="shared" ca="1" si="368"/>
        <v>0</v>
      </c>
      <c r="S795" s="307">
        <f t="shared" ca="1" si="369"/>
        <v>5.0829999999999913</v>
      </c>
      <c r="T795" s="304">
        <f t="shared" ca="1" si="349"/>
        <v>49.864229999999914</v>
      </c>
      <c r="U795" s="311">
        <f t="shared" ca="1" si="350"/>
        <v>0</v>
      </c>
      <c r="V795" s="306">
        <f t="shared" ca="1" si="351"/>
        <v>1.2052228475173794</v>
      </c>
      <c r="W795" s="304">
        <f t="shared" ca="1" si="352"/>
        <v>49.405460623927375</v>
      </c>
      <c r="Y795" s="314" t="str">
        <f t="shared" ca="1" si="370"/>
        <v/>
      </c>
      <c r="Z795" s="315" t="str">
        <f t="shared" ca="1" si="371"/>
        <v/>
      </c>
      <c r="AA795" s="316" t="str">
        <f t="shared" ca="1" si="372"/>
        <v/>
      </c>
      <c r="AC795" s="310" t="e">
        <f t="shared" ca="1" si="373"/>
        <v>#N/A</v>
      </c>
      <c r="AD795" s="323" t="e">
        <f t="shared" ca="1" si="374"/>
        <v>#N/A</v>
      </c>
      <c r="AE795" s="324" t="e">
        <f t="shared" ca="1" si="353"/>
        <v>#N/A</v>
      </c>
      <c r="AG795" s="306">
        <f t="shared" ca="1" si="375"/>
        <v>9.142306766613828E-2</v>
      </c>
      <c r="AH795" s="304">
        <f t="shared" ca="1" si="376"/>
        <v>-9.7069950009397665</v>
      </c>
    </row>
    <row r="796" spans="1:34" x14ac:dyDescent="0.2">
      <c r="A796" s="347">
        <f t="shared" ca="1" si="354"/>
        <v>0.1</v>
      </c>
      <c r="B796" s="304">
        <f t="shared" ca="1" si="355"/>
        <v>43.200000000000301</v>
      </c>
      <c r="D796" s="306">
        <f t="shared" ca="1" si="356"/>
        <v>-0.46816504173168494</v>
      </c>
      <c r="E796" s="307">
        <f t="shared" ca="1" si="357"/>
        <v>-0.10153708982420895</v>
      </c>
      <c r="F796" s="304">
        <f t="shared" ca="1" si="358"/>
        <v>0.47904935748793126</v>
      </c>
      <c r="G796" s="306">
        <f t="shared" ca="1" si="359"/>
        <v>5.5185813666201602</v>
      </c>
      <c r="H796" s="307">
        <f t="shared" ca="1" si="360"/>
        <v>-115.42128865642027</v>
      </c>
      <c r="I796" s="304">
        <f t="shared" ca="1" si="361"/>
        <v>115.55314195385904</v>
      </c>
      <c r="J796" s="306">
        <f t="shared" ca="1" si="362"/>
        <v>969.38409441691749</v>
      </c>
      <c r="K796" s="307">
        <f t="shared" ca="1" si="363"/>
        <v>151.21837017470838</v>
      </c>
      <c r="L796" s="304">
        <f t="shared" ca="1" si="348"/>
        <v>981.10780140961185</v>
      </c>
      <c r="M796" s="306">
        <f t="shared" ca="1" si="364"/>
        <v>-1.5230202019206491</v>
      </c>
      <c r="N796" s="304">
        <f t="shared" ca="1" si="365"/>
        <v>-87.262629683215636</v>
      </c>
      <c r="P796" s="310">
        <f t="shared" ca="1" si="366"/>
        <v>23</v>
      </c>
      <c r="Q796" s="304">
        <f t="shared" ca="1" si="367"/>
        <v>0</v>
      </c>
      <c r="R796" s="306">
        <f t="shared" ca="1" si="368"/>
        <v>0</v>
      </c>
      <c r="S796" s="307">
        <f t="shared" ca="1" si="369"/>
        <v>5.0829999999999913</v>
      </c>
      <c r="T796" s="304">
        <f t="shared" ca="1" si="349"/>
        <v>49.864229999999914</v>
      </c>
      <c r="U796" s="311">
        <f t="shared" ca="1" si="350"/>
        <v>0</v>
      </c>
      <c r="V796" s="306">
        <f t="shared" ca="1" si="351"/>
        <v>1.2066147589628435</v>
      </c>
      <c r="W796" s="304">
        <f t="shared" ca="1" si="352"/>
        <v>49.469279947064116</v>
      </c>
      <c r="Y796" s="314" t="str">
        <f t="shared" ca="1" si="370"/>
        <v/>
      </c>
      <c r="Z796" s="315" t="str">
        <f t="shared" ca="1" si="371"/>
        <v/>
      </c>
      <c r="AA796" s="316" t="str">
        <f t="shared" ca="1" si="372"/>
        <v/>
      </c>
      <c r="AC796" s="310" t="e">
        <f t="shared" ca="1" si="373"/>
        <v>#N/A</v>
      </c>
      <c r="AD796" s="323" t="e">
        <f t="shared" ca="1" si="374"/>
        <v>#N/A</v>
      </c>
      <c r="AE796" s="324" t="e">
        <f t="shared" ca="1" si="353"/>
        <v>#N/A</v>
      </c>
      <c r="AG796" s="306">
        <f t="shared" ca="1" si="375"/>
        <v>7.8869416233644074E-2</v>
      </c>
      <c r="AH796" s="304">
        <f t="shared" ca="1" si="376"/>
        <v>-9.719744368272174</v>
      </c>
    </row>
    <row r="797" spans="1:34" x14ac:dyDescent="0.2">
      <c r="A797" s="347">
        <f t="shared" ca="1" si="354"/>
        <v>0.1</v>
      </c>
      <c r="B797" s="304">
        <f t="shared" ca="1" si="355"/>
        <v>43.300000000000303</v>
      </c>
      <c r="D797" s="306">
        <f t="shared" ca="1" si="356"/>
        <v>-0.46479470390521316</v>
      </c>
      <c r="E797" s="307">
        <f t="shared" ca="1" si="357"/>
        <v>-8.8805344810012343E-2</v>
      </c>
      <c r="F797" s="304">
        <f t="shared" ca="1" si="358"/>
        <v>0.47320239437809269</v>
      </c>
      <c r="G797" s="306">
        <f t="shared" ca="1" si="359"/>
        <v>5.4721018962296393</v>
      </c>
      <c r="H797" s="307">
        <f t="shared" ca="1" si="360"/>
        <v>-115.43016919090127</v>
      </c>
      <c r="I797" s="304">
        <f t="shared" ca="1" si="361"/>
        <v>115.55980208793545</v>
      </c>
      <c r="J797" s="306">
        <f t="shared" ca="1" si="362"/>
        <v>969.93362858006003</v>
      </c>
      <c r="K797" s="307">
        <f t="shared" ca="1" si="363"/>
        <v>139.6757972823423</v>
      </c>
      <c r="L797" s="304">
        <f t="shared" ca="1" si="348"/>
        <v>979.93906555302704</v>
      </c>
      <c r="M797" s="306">
        <f t="shared" ca="1" si="364"/>
        <v>-1.5234256244898052</v>
      </c>
      <c r="N797" s="304">
        <f t="shared" ca="1" si="365"/>
        <v>-87.28585868534762</v>
      </c>
      <c r="P797" s="310">
        <f t="shared" ca="1" si="366"/>
        <v>23</v>
      </c>
      <c r="Q797" s="304">
        <f t="shared" ca="1" si="367"/>
        <v>0</v>
      </c>
      <c r="R797" s="306">
        <f t="shared" ca="1" si="368"/>
        <v>0</v>
      </c>
      <c r="S797" s="307">
        <f t="shared" ca="1" si="369"/>
        <v>5.0829999999999913</v>
      </c>
      <c r="T797" s="304">
        <f t="shared" ca="1" si="349"/>
        <v>49.864229999999914</v>
      </c>
      <c r="U797" s="311">
        <f t="shared" ca="1" si="350"/>
        <v>0</v>
      </c>
      <c r="V797" s="306">
        <f t="shared" ca="1" si="351"/>
        <v>1.2080083807313364</v>
      </c>
      <c r="W797" s="304">
        <f t="shared" ca="1" si="352"/>
        <v>49.532125486631877</v>
      </c>
      <c r="Y797" s="314" t="str">
        <f t="shared" ca="1" si="370"/>
        <v/>
      </c>
      <c r="Z797" s="315" t="str">
        <f t="shared" ca="1" si="371"/>
        <v/>
      </c>
      <c r="AA797" s="316" t="str">
        <f t="shared" ca="1" si="372"/>
        <v/>
      </c>
      <c r="AC797" s="310" t="e">
        <f t="shared" ca="1" si="373"/>
        <v>#N/A</v>
      </c>
      <c r="AD797" s="323" t="e">
        <f t="shared" ca="1" si="374"/>
        <v>#N/A</v>
      </c>
      <c r="AE797" s="324" t="e">
        <f t="shared" ca="1" si="353"/>
        <v>#N/A</v>
      </c>
      <c r="AG797" s="306">
        <f t="shared" ca="1" si="375"/>
        <v>6.6506369410040733E-2</v>
      </c>
      <c r="AH797" s="304">
        <f t="shared" ca="1" si="376"/>
        <v>-9.7322998125249267</v>
      </c>
    </row>
    <row r="798" spans="1:34" x14ac:dyDescent="0.2">
      <c r="A798" s="347">
        <f t="shared" ca="1" si="354"/>
        <v>0.1</v>
      </c>
      <c r="B798" s="304">
        <f t="shared" ca="1" si="355"/>
        <v>43.400000000000304</v>
      </c>
      <c r="D798" s="306">
        <f t="shared" ca="1" si="356"/>
        <v>-0.46143894017882064</v>
      </c>
      <c r="E798" s="307">
        <f t="shared" ca="1" si="357"/>
        <v>-7.6267707329936485E-2</v>
      </c>
      <c r="F798" s="304">
        <f t="shared" ca="1" si="358"/>
        <v>0.46769932509542717</v>
      </c>
      <c r="G798" s="306">
        <f t="shared" ca="1" si="359"/>
        <v>5.4259580022117575</v>
      </c>
      <c r="H798" s="307">
        <f t="shared" ca="1" si="360"/>
        <v>-115.43779596163427</v>
      </c>
      <c r="I798" s="304">
        <f t="shared" ca="1" si="361"/>
        <v>115.56524458816185</v>
      </c>
      <c r="J798" s="306">
        <f t="shared" ca="1" si="362"/>
        <v>970.47853157498207</v>
      </c>
      <c r="K798" s="307">
        <f t="shared" ca="1" si="363"/>
        <v>128.13239902471554</v>
      </c>
      <c r="L798" s="304">
        <f t="shared" ca="1" si="348"/>
        <v>978.90065477951464</v>
      </c>
      <c r="M798" s="306">
        <f t="shared" ca="1" si="364"/>
        <v>-1.5238275903440681</v>
      </c>
      <c r="N798" s="304">
        <f t="shared" ca="1" si="365"/>
        <v>-87.308889632305267</v>
      </c>
      <c r="P798" s="310">
        <f t="shared" ca="1" si="366"/>
        <v>23</v>
      </c>
      <c r="Q798" s="304">
        <f t="shared" ca="1" si="367"/>
        <v>0</v>
      </c>
      <c r="R798" s="306">
        <f t="shared" ca="1" si="368"/>
        <v>0</v>
      </c>
      <c r="S798" s="307">
        <f t="shared" ca="1" si="369"/>
        <v>5.0829999999999913</v>
      </c>
      <c r="T798" s="304">
        <f t="shared" ca="1" si="349"/>
        <v>49.864229999999914</v>
      </c>
      <c r="U798" s="311">
        <f t="shared" ca="1" si="350"/>
        <v>0</v>
      </c>
      <c r="V798" s="306">
        <f t="shared" ca="1" si="351"/>
        <v>1.2094037006818497</v>
      </c>
      <c r="W798" s="304">
        <f t="shared" ca="1" si="352"/>
        <v>49.594009084016442</v>
      </c>
      <c r="Y798" s="314" t="str">
        <f t="shared" ca="1" si="370"/>
        <v/>
      </c>
      <c r="Z798" s="315" t="str">
        <f t="shared" ca="1" si="371"/>
        <v/>
      </c>
      <c r="AA798" s="316" t="str">
        <f t="shared" ca="1" si="372"/>
        <v/>
      </c>
      <c r="AC798" s="310" t="e">
        <f t="shared" ca="1" si="373"/>
        <v>#N/A</v>
      </c>
      <c r="AD798" s="323" t="e">
        <f t="shared" ca="1" si="374"/>
        <v>#N/A</v>
      </c>
      <c r="AE798" s="324" t="e">
        <f t="shared" ca="1" si="353"/>
        <v>#N/A</v>
      </c>
      <c r="AG798" s="306">
        <f t="shared" ca="1" si="375"/>
        <v>5.4331639098622375E-2</v>
      </c>
      <c r="AH798" s="304">
        <f t="shared" ca="1" si="376"/>
        <v>-9.744663680234499</v>
      </c>
    </row>
    <row r="799" spans="1:34" x14ac:dyDescent="0.2">
      <c r="A799" s="347">
        <f t="shared" ca="1" si="354"/>
        <v>0.1</v>
      </c>
      <c r="B799" s="304">
        <f t="shared" ca="1" si="355"/>
        <v>43.500000000000306</v>
      </c>
      <c r="D799" s="306">
        <f t="shared" ca="1" si="356"/>
        <v>-0.45809789131927264</v>
      </c>
      <c r="E799" s="307">
        <f t="shared" ca="1" si="357"/>
        <v>-6.3921816753259364E-2</v>
      </c>
      <c r="F799" s="304">
        <f t="shared" ca="1" si="358"/>
        <v>0.46253613554856599</v>
      </c>
      <c r="G799" s="306">
        <f t="shared" ca="1" si="359"/>
        <v>5.3801482130798304</v>
      </c>
      <c r="H799" s="307">
        <f t="shared" ca="1" si="360"/>
        <v>-115.44418814330959</v>
      </c>
      <c r="I799" s="304">
        <f t="shared" ca="1" si="361"/>
        <v>115.56948806178285</v>
      </c>
      <c r="J799" s="306">
        <f t="shared" ca="1" si="362"/>
        <v>971.01883688574662</v>
      </c>
      <c r="K799" s="307">
        <f t="shared" ca="1" si="363"/>
        <v>116.58829981946835</v>
      </c>
      <c r="L799" s="304">
        <f t="shared" ca="1" si="348"/>
        <v>977.99305377990413</v>
      </c>
      <c r="M799" s="306">
        <f t="shared" ca="1" si="364"/>
        <v>-1.5242261331870806</v>
      </c>
      <c r="N799" s="304">
        <f t="shared" ca="1" si="365"/>
        <v>-87.331724455165016</v>
      </c>
      <c r="P799" s="310">
        <f t="shared" ca="1" si="366"/>
        <v>23</v>
      </c>
      <c r="Q799" s="304">
        <f t="shared" ca="1" si="367"/>
        <v>0</v>
      </c>
      <c r="R799" s="306">
        <f t="shared" ca="1" si="368"/>
        <v>0</v>
      </c>
      <c r="S799" s="307">
        <f t="shared" ca="1" si="369"/>
        <v>5.0829999999999913</v>
      </c>
      <c r="T799" s="304">
        <f t="shared" ca="1" si="349"/>
        <v>49.864229999999914</v>
      </c>
      <c r="U799" s="311">
        <f t="shared" ca="1" si="350"/>
        <v>0</v>
      </c>
      <c r="V799" s="306">
        <f t="shared" ca="1" si="351"/>
        <v>1.210800706844497</v>
      </c>
      <c r="W799" s="304">
        <f t="shared" ca="1" si="352"/>
        <v>49.654942493477144</v>
      </c>
      <c r="Y799" s="314" t="str">
        <f t="shared" ca="1" si="370"/>
        <v/>
      </c>
      <c r="Z799" s="315" t="str">
        <f t="shared" ca="1" si="371"/>
        <v/>
      </c>
      <c r="AA799" s="316" t="str">
        <f t="shared" ca="1" si="372"/>
        <v/>
      </c>
      <c r="AC799" s="310" t="e">
        <f t="shared" ca="1" si="373"/>
        <v>#N/A</v>
      </c>
      <c r="AD799" s="323" t="e">
        <f t="shared" ca="1" si="374"/>
        <v>#N/A</v>
      </c>
      <c r="AE799" s="324" t="e">
        <f t="shared" ca="1" si="353"/>
        <v>#N/A</v>
      </c>
      <c r="AG799" s="306">
        <f t="shared" ca="1" si="375"/>
        <v>4.234295300544666E-2</v>
      </c>
      <c r="AH799" s="304">
        <f t="shared" ca="1" si="376"/>
        <v>-9.7568383010065958</v>
      </c>
    </row>
    <row r="800" spans="1:34" x14ac:dyDescent="0.2">
      <c r="A800" s="347">
        <f t="shared" ca="1" si="354"/>
        <v>0.1</v>
      </c>
      <c r="B800" s="304">
        <f t="shared" ca="1" si="355"/>
        <v>43.600000000000307</v>
      </c>
      <c r="D800" s="306">
        <f t="shared" ca="1" si="356"/>
        <v>-0.45477169243317894</v>
      </c>
      <c r="E800" s="307">
        <f t="shared" ca="1" si="357"/>
        <v>-5.1765329834003282E-2</v>
      </c>
      <c r="F800" s="304">
        <f t="shared" ca="1" si="358"/>
        <v>0.4577083586863594</v>
      </c>
      <c r="G800" s="306">
        <f t="shared" ca="1" si="359"/>
        <v>5.3346710438365124</v>
      </c>
      <c r="H800" s="307">
        <f t="shared" ca="1" si="360"/>
        <v>-115.44936467629299</v>
      </c>
      <c r="I800" s="304">
        <f t="shared" ca="1" si="361"/>
        <v>115.57255089036339</v>
      </c>
      <c r="J800" s="306">
        <f t="shared" ca="1" si="362"/>
        <v>971.55457784859243</v>
      </c>
      <c r="K800" s="307">
        <f t="shared" ca="1" si="363"/>
        <v>105.04362217848822</v>
      </c>
      <c r="L800" s="304">
        <f t="shared" ca="1" si="348"/>
        <v>977.2166905548296</v>
      </c>
      <c r="M800" s="306">
        <f t="shared" ca="1" si="364"/>
        <v>-1.5246212862658328</v>
      </c>
      <c r="N800" s="304">
        <f t="shared" ca="1" si="365"/>
        <v>-87.354365058839122</v>
      </c>
      <c r="P800" s="310">
        <f t="shared" ca="1" si="366"/>
        <v>23</v>
      </c>
      <c r="Q800" s="304">
        <f t="shared" ca="1" si="367"/>
        <v>0</v>
      </c>
      <c r="R800" s="306">
        <f t="shared" ca="1" si="368"/>
        <v>0</v>
      </c>
      <c r="S800" s="307">
        <f t="shared" ca="1" si="369"/>
        <v>5.0829999999999913</v>
      </c>
      <c r="T800" s="304">
        <f t="shared" ca="1" si="349"/>
        <v>49.864229999999914</v>
      </c>
      <c r="U800" s="311">
        <f t="shared" ca="1" si="350"/>
        <v>0</v>
      </c>
      <c r="V800" s="306">
        <f t="shared" ca="1" si="351"/>
        <v>1.2121993874187176</v>
      </c>
      <c r="W800" s="304">
        <f t="shared" ca="1" si="352"/>
        <v>49.714937381146441</v>
      </c>
      <c r="Y800" s="314" t="str">
        <f t="shared" ca="1" si="370"/>
        <v/>
      </c>
      <c r="Z800" s="315" t="str">
        <f t="shared" ca="1" si="371"/>
        <v/>
      </c>
      <c r="AA800" s="316" t="str">
        <f t="shared" ca="1" si="372"/>
        <v/>
      </c>
      <c r="AC800" s="310" t="e">
        <f t="shared" ca="1" si="373"/>
        <v>#N/A</v>
      </c>
      <c r="AD800" s="323" t="e">
        <f t="shared" ca="1" si="374"/>
        <v>#N/A</v>
      </c>
      <c r="AE800" s="324" t="e">
        <f t="shared" ca="1" si="353"/>
        <v>#N/A</v>
      </c>
      <c r="AG800" s="306">
        <f t="shared" ca="1" si="375"/>
        <v>3.0538054874540421E-2</v>
      </c>
      <c r="AH800" s="304">
        <f t="shared" ca="1" si="376"/>
        <v>-9.7688259873061636</v>
      </c>
    </row>
    <row r="801" spans="1:34" x14ac:dyDescent="0.2">
      <c r="A801" s="347">
        <f t="shared" ca="1" si="354"/>
        <v>0.1</v>
      </c>
      <c r="B801" s="304">
        <f t="shared" ca="1" si="355"/>
        <v>43.700000000000308</v>
      </c>
      <c r="D801" s="306">
        <f t="shared" ca="1" si="356"/>
        <v>-0.45146047307611298</v>
      </c>
      <c r="E801" s="307">
        <f t="shared" ca="1" si="357"/>
        <v>-3.979592090979267E-2</v>
      </c>
      <c r="F801" s="304">
        <f t="shared" ca="1" si="358"/>
        <v>0.45321107011100931</v>
      </c>
      <c r="G801" s="306">
        <f t="shared" ca="1" si="359"/>
        <v>5.2895249965289013</v>
      </c>
      <c r="H801" s="307">
        <f t="shared" ca="1" si="360"/>
        <v>-115.45334426838397</v>
      </c>
      <c r="I801" s="304">
        <f t="shared" ca="1" si="361"/>
        <v>115.57445123141574</v>
      </c>
      <c r="J801" s="306">
        <f t="shared" ca="1" si="362"/>
        <v>972.08578765061065</v>
      </c>
      <c r="K801" s="307">
        <f t="shared" ca="1" si="363"/>
        <v>93.498486731254374</v>
      </c>
      <c r="L801" s="304">
        <f t="shared" ca="1" si="348"/>
        <v>976.57193568796697</v>
      </c>
      <c r="M801" s="306">
        <f t="shared" ca="1" si="364"/>
        <v>-1.5250130823794943</v>
      </c>
      <c r="N801" s="304">
        <f t="shared" ca="1" si="365"/>
        <v>-87.376813322581555</v>
      </c>
      <c r="P801" s="310">
        <f t="shared" ca="1" si="366"/>
        <v>23</v>
      </c>
      <c r="Q801" s="304">
        <f t="shared" ca="1" si="367"/>
        <v>0</v>
      </c>
      <c r="R801" s="306">
        <f t="shared" ca="1" si="368"/>
        <v>0</v>
      </c>
      <c r="S801" s="307">
        <f t="shared" ca="1" si="369"/>
        <v>5.0829999999999913</v>
      </c>
      <c r="T801" s="304">
        <f t="shared" ca="1" si="349"/>
        <v>49.864229999999914</v>
      </c>
      <c r="U801" s="311">
        <f t="shared" ca="1" si="350"/>
        <v>0</v>
      </c>
      <c r="V801" s="306">
        <f t="shared" ca="1" si="351"/>
        <v>1.213599730771481</v>
      </c>
      <c r="W801" s="304">
        <f t="shared" ca="1" si="352"/>
        <v>49.774005324093352</v>
      </c>
      <c r="Y801" s="314" t="str">
        <f t="shared" ca="1" si="370"/>
        <v/>
      </c>
      <c r="Z801" s="315" t="str">
        <f t="shared" ca="1" si="371"/>
        <v/>
      </c>
      <c r="AA801" s="316" t="str">
        <f t="shared" ca="1" si="372"/>
        <v/>
      </c>
      <c r="AC801" s="310" t="e">
        <f t="shared" ca="1" si="373"/>
        <v>#N/A</v>
      </c>
      <c r="AD801" s="323" t="e">
        <f t="shared" ca="1" si="374"/>
        <v>#N/A</v>
      </c>
      <c r="AE801" s="324" t="e">
        <f t="shared" ca="1" si="353"/>
        <v>#N/A</v>
      </c>
      <c r="AG801" s="306">
        <f t="shared" ca="1" si="375"/>
        <v>1.891470470926393E-2</v>
      </c>
      <c r="AH801" s="304">
        <f t="shared" ca="1" si="376"/>
        <v>-9.7806290342605795</v>
      </c>
    </row>
    <row r="802" spans="1:34" x14ac:dyDescent="0.2">
      <c r="A802" s="347">
        <f t="shared" ca="1" si="354"/>
        <v>0.1</v>
      </c>
      <c r="B802" s="304">
        <f t="shared" ca="1" si="355"/>
        <v>43.80000000000031</v>
      </c>
      <c r="D802" s="306">
        <f t="shared" ca="1" si="356"/>
        <v>-0.44816435736048654</v>
      </c>
      <c r="E802" s="307">
        <f t="shared" ca="1" si="357"/>
        <v>-2.80112820880003E-2</v>
      </c>
      <c r="F802" s="304">
        <f t="shared" ca="1" si="358"/>
        <v>0.44903888821854998</v>
      </c>
      <c r="G802" s="306">
        <f t="shared" ca="1" si="359"/>
        <v>5.2447085607928523</v>
      </c>
      <c r="H802" s="307">
        <f t="shared" ca="1" si="360"/>
        <v>-115.45614539659277</v>
      </c>
      <c r="I802" s="304">
        <f t="shared" ca="1" si="361"/>
        <v>115.57520702004744</v>
      </c>
      <c r="J802" s="306">
        <f t="shared" ca="1" si="362"/>
        <v>972.6124993284767</v>
      </c>
      <c r="K802" s="307">
        <f t="shared" ca="1" si="363"/>
        <v>81.953012248005535</v>
      </c>
      <c r="L802" s="304">
        <f t="shared" ca="1" si="348"/>
        <v>976.05910172822416</v>
      </c>
      <c r="M802" s="306">
        <f t="shared" ca="1" si="364"/>
        <v>-1.5254015538880343</v>
      </c>
      <c r="N802" s="304">
        <f t="shared" ca="1" si="365"/>
        <v>-87.399071100481976</v>
      </c>
      <c r="P802" s="310">
        <f t="shared" ca="1" si="366"/>
        <v>23</v>
      </c>
      <c r="Q802" s="304">
        <f t="shared" ca="1" si="367"/>
        <v>0</v>
      </c>
      <c r="R802" s="306">
        <f t="shared" ca="1" si="368"/>
        <v>0</v>
      </c>
      <c r="S802" s="307">
        <f t="shared" ca="1" si="369"/>
        <v>5.0829999999999913</v>
      </c>
      <c r="T802" s="304">
        <f t="shared" ca="1" si="349"/>
        <v>49.864229999999914</v>
      </c>
      <c r="U802" s="311">
        <f t="shared" ca="1" si="350"/>
        <v>0</v>
      </c>
      <c r="V802" s="306">
        <f t="shared" ca="1" si="351"/>
        <v>1.2150017254355114</v>
      </c>
      <c r="W802" s="304">
        <f t="shared" ca="1" si="352"/>
        <v>49.832157809450401</v>
      </c>
      <c r="Y802" s="314" t="str">
        <f t="shared" ca="1" si="370"/>
        <v/>
      </c>
      <c r="Z802" s="315" t="str">
        <f t="shared" ca="1" si="371"/>
        <v/>
      </c>
      <c r="AA802" s="316" t="str">
        <f t="shared" ca="1" si="372"/>
        <v/>
      </c>
      <c r="AC802" s="310" t="e">
        <f t="shared" ca="1" si="373"/>
        <v>#N/A</v>
      </c>
      <c r="AD802" s="323" t="e">
        <f t="shared" ca="1" si="374"/>
        <v>#N/A</v>
      </c>
      <c r="AE802" s="324" t="e">
        <f t="shared" ca="1" si="353"/>
        <v>#N/A</v>
      </c>
      <c r="AG802" s="306">
        <f t="shared" ca="1" si="375"/>
        <v>7.4706789804643847E-3</v>
      </c>
      <c r="AH802" s="304">
        <f t="shared" ca="1" si="376"/>
        <v>-9.7922497194753966</v>
      </c>
    </row>
    <row r="803" spans="1:34" x14ac:dyDescent="0.2">
      <c r="A803" s="347">
        <f t="shared" ca="1" si="354"/>
        <v>0.1</v>
      </c>
      <c r="B803" s="304">
        <f t="shared" ca="1" si="355"/>
        <v>43.900000000000311</v>
      </c>
      <c r="D803" s="306">
        <f t="shared" ca="1" si="356"/>
        <v>-0.44488346406220636</v>
      </c>
      <c r="E803" s="307">
        <f t="shared" ca="1" si="357"/>
        <v>-1.6409123419247607E-2</v>
      </c>
      <c r="F803" s="304">
        <f t="shared" ca="1" si="358"/>
        <v>0.44518597903278195</v>
      </c>
      <c r="G803" s="306">
        <f t="shared" ca="1" si="359"/>
        <v>5.2002202143866318</v>
      </c>
      <c r="H803" s="307">
        <f t="shared" ca="1" si="360"/>
        <v>-115.4577863089347</v>
      </c>
      <c r="I803" s="304">
        <f t="shared" ca="1" si="361"/>
        <v>115.57483597062877</v>
      </c>
      <c r="J803" s="306">
        <f t="shared" ca="1" si="362"/>
        <v>973.1347457672357</v>
      </c>
      <c r="K803" s="307">
        <f t="shared" ca="1" si="363"/>
        <v>70.407315662729161</v>
      </c>
      <c r="L803" s="304">
        <f t="shared" ca="1" si="348"/>
        <v>975.67844268400927</v>
      </c>
      <c r="M803" s="306">
        <f t="shared" ca="1" si="364"/>
        <v>-1.5257867327206387</v>
      </c>
      <c r="N803" s="304">
        <f t="shared" ca="1" si="365"/>
        <v>-87.421140221947979</v>
      </c>
      <c r="P803" s="310">
        <f t="shared" ca="1" si="366"/>
        <v>23</v>
      </c>
      <c r="Q803" s="304">
        <f t="shared" ca="1" si="367"/>
        <v>0</v>
      </c>
      <c r="R803" s="306">
        <f t="shared" ca="1" si="368"/>
        <v>0</v>
      </c>
      <c r="S803" s="307">
        <f t="shared" ca="1" si="369"/>
        <v>5.0829999999999913</v>
      </c>
      <c r="T803" s="304">
        <f t="shared" ca="1" si="349"/>
        <v>49.864229999999914</v>
      </c>
      <c r="U803" s="311">
        <f t="shared" ca="1" si="350"/>
        <v>0</v>
      </c>
      <c r="V803" s="306">
        <f t="shared" ca="1" si="351"/>
        <v>1.2164053601075118</v>
      </c>
      <c r="W803" s="304">
        <f t="shared" ca="1" si="352"/>
        <v>49.889406233600958</v>
      </c>
      <c r="Y803" s="314" t="str">
        <f t="shared" ca="1" si="370"/>
        <v/>
      </c>
      <c r="Z803" s="315" t="str">
        <f t="shared" ca="1" si="371"/>
        <v/>
      </c>
      <c r="AA803" s="316" t="str">
        <f t="shared" ca="1" si="372"/>
        <v/>
      </c>
      <c r="AC803" s="310" t="e">
        <f t="shared" ca="1" si="373"/>
        <v>#N/A</v>
      </c>
      <c r="AD803" s="323" t="e">
        <f t="shared" ca="1" si="374"/>
        <v>#N/A</v>
      </c>
      <c r="AE803" s="324" t="e">
        <f t="shared" ca="1" si="353"/>
        <v>#N/A</v>
      </c>
      <c r="AG803" s="306">
        <f t="shared" ca="1" si="375"/>
        <v>-3.7962291784872093E-3</v>
      </c>
      <c r="AH803" s="304">
        <f t="shared" ca="1" si="376"/>
        <v>-9.803690302862579</v>
      </c>
    </row>
    <row r="804" spans="1:34" x14ac:dyDescent="0.2">
      <c r="A804" s="347">
        <f t="shared" ca="1" si="354"/>
        <v>0.1</v>
      </c>
      <c r="B804" s="304">
        <f t="shared" ca="1" si="355"/>
        <v>44.000000000000313</v>
      </c>
      <c r="D804" s="306">
        <f t="shared" ca="1" si="356"/>
        <v>-0.44161790672608642</v>
      </c>
      <c r="E804" s="307">
        <f t="shared" ca="1" si="357"/>
        <v>-4.9871730588666452E-3</v>
      </c>
      <c r="F804" s="304">
        <f t="shared" ca="1" si="358"/>
        <v>0.44164606579958282</v>
      </c>
      <c r="G804" s="306">
        <f t="shared" ca="1" si="359"/>
        <v>5.1560584237140228</v>
      </c>
      <c r="H804" s="307">
        <f t="shared" ca="1" si="360"/>
        <v>-115.45828502624059</v>
      </c>
      <c r="I804" s="304">
        <f t="shared" ca="1" si="361"/>
        <v>115.57335557847821</v>
      </c>
      <c r="J804" s="306">
        <f t="shared" ca="1" si="362"/>
        <v>973.65255969914074</v>
      </c>
      <c r="K804" s="307">
        <f t="shared" ca="1" si="363"/>
        <v>58.861512095970397</v>
      </c>
      <c r="L804" s="304">
        <f t="shared" ca="1" si="348"/>
        <v>975.43015363218751</v>
      </c>
      <c r="M804" s="306">
        <f t="shared" ca="1" si="364"/>
        <v>-1.5261686503839276</v>
      </c>
      <c r="N804" s="304">
        <f t="shared" ca="1" si="365"/>
        <v>-87.443022492175942</v>
      </c>
      <c r="P804" s="310">
        <f t="shared" ca="1" si="366"/>
        <v>23</v>
      </c>
      <c r="Q804" s="304">
        <f t="shared" ca="1" si="367"/>
        <v>0</v>
      </c>
      <c r="R804" s="306">
        <f t="shared" ca="1" si="368"/>
        <v>0</v>
      </c>
      <c r="S804" s="307">
        <f t="shared" ca="1" si="369"/>
        <v>5.0829999999999913</v>
      </c>
      <c r="T804" s="304">
        <f t="shared" ca="1" si="349"/>
        <v>49.864229999999914</v>
      </c>
      <c r="U804" s="311">
        <f t="shared" ca="1" si="350"/>
        <v>0</v>
      </c>
      <c r="V804" s="306">
        <f t="shared" ca="1" si="351"/>
        <v>1.2178106236464037</v>
      </c>
      <c r="W804" s="304">
        <f t="shared" ca="1" si="352"/>
        <v>49.945761901426373</v>
      </c>
      <c r="Y804" s="314" t="str">
        <f t="shared" ca="1" si="370"/>
        <v/>
      </c>
      <c r="Z804" s="315" t="str">
        <f t="shared" ca="1" si="371"/>
        <v/>
      </c>
      <c r="AA804" s="316" t="str">
        <f t="shared" ca="1" si="372"/>
        <v/>
      </c>
      <c r="AC804" s="310">
        <f t="shared" ca="1" si="373"/>
        <v>44.000000000000313</v>
      </c>
      <c r="AD804" s="323">
        <f t="shared" ca="1" si="374"/>
        <v>973.65255969914074</v>
      </c>
      <c r="AE804" s="324" t="e">
        <f t="shared" ca="1" si="353"/>
        <v>#N/A</v>
      </c>
      <c r="AG804" s="306">
        <f t="shared" ca="1" si="375"/>
        <v>-1.4888209789138074E-2</v>
      </c>
      <c r="AH804" s="304">
        <f t="shared" ca="1" si="376"/>
        <v>-9.8149530264806302</v>
      </c>
    </row>
    <row r="805" spans="1:34" x14ac:dyDescent="0.2">
      <c r="A805" s="347">
        <f t="shared" ca="1" si="354"/>
        <v>0.1</v>
      </c>
      <c r="B805" s="304">
        <f t="shared" ca="1" si="355"/>
        <v>44.100000000000314</v>
      </c>
      <c r="D805" s="306">
        <f t="shared" ca="1" si="356"/>
        <v>-0.43836779377000862</v>
      </c>
      <c r="E805" s="307">
        <f t="shared" ca="1" si="357"/>
        <v>6.2568225835146762E-3</v>
      </c>
      <c r="F805" s="304">
        <f t="shared" ca="1" si="358"/>
        <v>0.43841244330382134</v>
      </c>
      <c r="G805" s="306">
        <f t="shared" ca="1" si="359"/>
        <v>5.1122216443370219</v>
      </c>
      <c r="H805" s="307">
        <f t="shared" ca="1" si="360"/>
        <v>-115.45765934398224</v>
      </c>
      <c r="I805" s="304">
        <f t="shared" ca="1" si="361"/>
        <v>115.57078312156527</v>
      </c>
      <c r="J805" s="306">
        <f t="shared" ca="1" si="362"/>
        <v>974.16597370254328</v>
      </c>
      <c r="K805" s="307">
        <f t="shared" ca="1" si="363"/>
        <v>47.315714877459257</v>
      </c>
      <c r="L805" s="304">
        <f t="shared" ca="1" si="348"/>
        <v>975.31437044380175</v>
      </c>
      <c r="M805" s="306">
        <f t="shared" ca="1" si="364"/>
        <v>-1.5265473379699794</v>
      </c>
      <c r="N805" s="304">
        <f t="shared" ca="1" si="365"/>
        <v>-87.4647196926107</v>
      </c>
      <c r="P805" s="310">
        <f t="shared" ca="1" si="366"/>
        <v>23</v>
      </c>
      <c r="Q805" s="304">
        <f t="shared" ca="1" si="367"/>
        <v>0</v>
      </c>
      <c r="R805" s="306">
        <f t="shared" ca="1" si="368"/>
        <v>0</v>
      </c>
      <c r="S805" s="307">
        <f t="shared" ca="1" si="369"/>
        <v>5.0829999999999913</v>
      </c>
      <c r="T805" s="304">
        <f t="shared" ca="1" si="349"/>
        <v>49.864229999999914</v>
      </c>
      <c r="U805" s="311">
        <f t="shared" ca="1" si="350"/>
        <v>0</v>
      </c>
      <c r="V805" s="306">
        <f t="shared" ca="1" si="351"/>
        <v>1.2192175050715772</v>
      </c>
      <c r="W805" s="304">
        <f t="shared" ca="1" si="352"/>
        <v>50.001236025610801</v>
      </c>
      <c r="Y805" s="314" t="str">
        <f t="shared" ca="1" si="370"/>
        <v/>
      </c>
      <c r="Z805" s="315" t="str">
        <f t="shared" ca="1" si="371"/>
        <v/>
      </c>
      <c r="AA805" s="316" t="str">
        <f t="shared" ca="1" si="372"/>
        <v/>
      </c>
      <c r="AC805" s="310" t="e">
        <f t="shared" ca="1" si="373"/>
        <v>#N/A</v>
      </c>
      <c r="AD805" s="323" t="e">
        <f t="shared" ca="1" si="374"/>
        <v>#N/A</v>
      </c>
      <c r="AE805" s="324" t="e">
        <f t="shared" ca="1" si="353"/>
        <v>#N/A</v>
      </c>
      <c r="AG805" s="306">
        <f t="shared" ca="1" si="375"/>
        <v>-2.5807435857771566E-2</v>
      </c>
      <c r="AH805" s="304">
        <f t="shared" ca="1" si="376"/>
        <v>-9.8260401143864762</v>
      </c>
    </row>
    <row r="806" spans="1:34" x14ac:dyDescent="0.2">
      <c r="A806" s="347">
        <f t="shared" ca="1" si="354"/>
        <v>0.1</v>
      </c>
      <c r="B806" s="304">
        <f t="shared" ca="1" si="355"/>
        <v>44.200000000000315</v>
      </c>
      <c r="D806" s="306">
        <f t="shared" ca="1" si="356"/>
        <v>-0.43513322858783082</v>
      </c>
      <c r="E806" s="307">
        <f t="shared" ca="1" si="357"/>
        <v>1.7325098705908815E-2</v>
      </c>
      <c r="F806" s="304">
        <f t="shared" ca="1" si="358"/>
        <v>0.43547799676497878</v>
      </c>
      <c r="G806" s="306">
        <f t="shared" ca="1" si="359"/>
        <v>5.0687083214782387</v>
      </c>
      <c r="H806" s="307">
        <f t="shared" ca="1" si="360"/>
        <v>-115.45592683411165</v>
      </c>
      <c r="I806" s="304">
        <f t="shared" ca="1" si="361"/>
        <v>115.56713566222868</v>
      </c>
      <c r="J806" s="306">
        <f t="shared" ca="1" si="362"/>
        <v>974.67502020083407</v>
      </c>
      <c r="K806" s="307">
        <f t="shared" ca="1" si="363"/>
        <v>35.770035568554562</v>
      </c>
      <c r="L806" s="304">
        <f t="shared" ca="1" si="348"/>
        <v>975.33116962807662</v>
      </c>
      <c r="M806" s="306">
        <f t="shared" ca="1" si="364"/>
        <v>-1.5269228261641681</v>
      </c>
      <c r="N806" s="304">
        <f t="shared" ca="1" si="365"/>
        <v>-87.4862335813947</v>
      </c>
      <c r="P806" s="310">
        <f t="shared" ca="1" si="366"/>
        <v>23</v>
      </c>
      <c r="Q806" s="304">
        <f t="shared" ca="1" si="367"/>
        <v>0</v>
      </c>
      <c r="R806" s="306">
        <f t="shared" ca="1" si="368"/>
        <v>0</v>
      </c>
      <c r="S806" s="307">
        <f t="shared" ca="1" si="369"/>
        <v>5.0829999999999913</v>
      </c>
      <c r="T806" s="304">
        <f t="shared" ca="1" si="349"/>
        <v>49.864229999999914</v>
      </c>
      <c r="U806" s="311">
        <f t="shared" ca="1" si="350"/>
        <v>0</v>
      </c>
      <c r="V806" s="306">
        <f t="shared" ca="1" si="351"/>
        <v>1.2206259935611468</v>
      </c>
      <c r="W806" s="304">
        <f t="shared" ca="1" si="352"/>
        <v>50.055839726001743</v>
      </c>
      <c r="Y806" s="314" t="str">
        <f t="shared" ca="1" si="370"/>
        <v/>
      </c>
      <c r="Z806" s="315" t="str">
        <f t="shared" ca="1" si="371"/>
        <v/>
      </c>
      <c r="AA806" s="316" t="str">
        <f t="shared" ca="1" si="372"/>
        <v/>
      </c>
      <c r="AC806" s="310" t="e">
        <f t="shared" ca="1" si="373"/>
        <v>#N/A</v>
      </c>
      <c r="AD806" s="323" t="e">
        <f t="shared" ca="1" si="374"/>
        <v>#N/A</v>
      </c>
      <c r="AE806" s="324" t="e">
        <f t="shared" ca="1" si="353"/>
        <v>#N/A</v>
      </c>
      <c r="AG806" s="306">
        <f t="shared" ca="1" si="375"/>
        <v>-3.6556063217126678E-2</v>
      </c>
      <c r="AH806" s="304">
        <f t="shared" ca="1" si="376"/>
        <v>-9.8369537724986991</v>
      </c>
    </row>
    <row r="807" spans="1:34" x14ac:dyDescent="0.2">
      <c r="A807" s="347">
        <f t="shared" ca="1" si="354"/>
        <v>0.1</v>
      </c>
      <c r="B807" s="304">
        <f t="shared" ca="1" si="355"/>
        <v>44.300000000000317</v>
      </c>
      <c r="D807" s="306">
        <f t="shared" ca="1" si="356"/>
        <v>-0.43191430965101141</v>
      </c>
      <c r="E807" s="307">
        <f t="shared" ca="1" si="357"/>
        <v>2.8219871986975065E-2</v>
      </c>
      <c r="F807" s="304">
        <f t="shared" ca="1" si="358"/>
        <v>0.43283522506407796</v>
      </c>
      <c r="G807" s="306">
        <f t="shared" ca="1" si="359"/>
        <v>5.0255168905131375</v>
      </c>
      <c r="H807" s="307">
        <f t="shared" ca="1" si="360"/>
        <v>-115.45310484691295</v>
      </c>
      <c r="I807" s="304">
        <f t="shared" ca="1" si="361"/>
        <v>115.56243004890953</v>
      </c>
      <c r="J807" s="306">
        <f t="shared" ca="1" si="362"/>
        <v>975.17973146143368</v>
      </c>
      <c r="K807" s="307">
        <f t="shared" ca="1" si="363"/>
        <v>24.224583984503333</v>
      </c>
      <c r="L807" s="304">
        <f t="shared" ca="1" si="348"/>
        <v>975.4805682956561</v>
      </c>
      <c r="M807" s="306">
        <f t="shared" ca="1" si="364"/>
        <v>-1.5272951452528134</v>
      </c>
      <c r="N807" s="304">
        <f t="shared" ca="1" si="365"/>
        <v>-87.50756589380623</v>
      </c>
      <c r="P807" s="310">
        <f t="shared" ca="1" si="366"/>
        <v>23</v>
      </c>
      <c r="Q807" s="304">
        <f t="shared" ca="1" si="367"/>
        <v>0</v>
      </c>
      <c r="R807" s="306">
        <f t="shared" ca="1" si="368"/>
        <v>0</v>
      </c>
      <c r="S807" s="307">
        <f t="shared" ca="1" si="369"/>
        <v>5.0829999999999913</v>
      </c>
      <c r="T807" s="304">
        <f t="shared" ca="1" si="349"/>
        <v>49.864229999999914</v>
      </c>
      <c r="U807" s="311">
        <f t="shared" ca="1" si="350"/>
        <v>0</v>
      </c>
      <c r="V807" s="306">
        <f t="shared" ca="1" si="351"/>
        <v>1.2220360784502238</v>
      </c>
      <c r="W807" s="304">
        <f t="shared" ca="1" si="352"/>
        <v>50.109584029025342</v>
      </c>
      <c r="Y807" s="314" t="str">
        <f t="shared" ca="1" si="370"/>
        <v/>
      </c>
      <c r="Z807" s="315" t="str">
        <f t="shared" ca="1" si="371"/>
        <v/>
      </c>
      <c r="AA807" s="316" t="str">
        <f t="shared" ca="1" si="372"/>
        <v/>
      </c>
      <c r="AC807" s="310" t="e">
        <f t="shared" ca="1" si="373"/>
        <v>#N/A</v>
      </c>
      <c r="AD807" s="323" t="e">
        <f t="shared" ca="1" si="374"/>
        <v>#N/A</v>
      </c>
      <c r="AE807" s="324" t="e">
        <f t="shared" ca="1" si="353"/>
        <v>#N/A</v>
      </c>
      <c r="AG807" s="306">
        <f t="shared" ca="1" si="375"/>
        <v>-4.7136230379640764E-2</v>
      </c>
      <c r="AH807" s="304">
        <f t="shared" ca="1" si="376"/>
        <v>-9.8476961884717351</v>
      </c>
    </row>
    <row r="808" spans="1:34" x14ac:dyDescent="0.2">
      <c r="A808" s="347">
        <f t="shared" ca="1" si="354"/>
        <v>0.1</v>
      </c>
      <c r="B808" s="304">
        <f t="shared" ca="1" si="355"/>
        <v>44.400000000000318</v>
      </c>
      <c r="D808" s="306">
        <f t="shared" ca="1" si="356"/>
        <v>-0.42871113060899263</v>
      </c>
      <c r="E808" s="307">
        <f t="shared" ca="1" si="357"/>
        <v>3.8943340469936416E-2</v>
      </c>
      <c r="F808" s="304">
        <f t="shared" ca="1" si="358"/>
        <v>0.4304762679579423</v>
      </c>
      <c r="G808" s="306">
        <f t="shared" ca="1" si="359"/>
        <v>4.9826457774522384</v>
      </c>
      <c r="H808" s="307">
        <f t="shared" ca="1" si="360"/>
        <v>-115.44921051286596</v>
      </c>
      <c r="I808" s="304">
        <f t="shared" ca="1" si="361"/>
        <v>115.55668291789792</v>
      </c>
      <c r="J808" s="306">
        <f t="shared" ca="1" si="362"/>
        <v>975.68013959483199</v>
      </c>
      <c r="K808" s="307">
        <f t="shared" ca="1" si="363"/>
        <v>12.679468216514387</v>
      </c>
      <c r="L808" s="304">
        <f t="shared" ca="1" si="348"/>
        <v>975.762524241449</v>
      </c>
      <c r="M808" s="306">
        <f t="shared" ca="1" si="364"/>
        <v>-1.5276643251306563</v>
      </c>
      <c r="N808" s="304">
        <f t="shared" ca="1" si="365"/>
        <v>-87.528718342687796</v>
      </c>
      <c r="P808" s="310">
        <f t="shared" ca="1" si="366"/>
        <v>23</v>
      </c>
      <c r="Q808" s="304">
        <f t="shared" ca="1" si="367"/>
        <v>0</v>
      </c>
      <c r="R808" s="306">
        <f t="shared" ca="1" si="368"/>
        <v>0</v>
      </c>
      <c r="S808" s="307">
        <f t="shared" ca="1" si="369"/>
        <v>5.0829999999999913</v>
      </c>
      <c r="T808" s="304">
        <f t="shared" ca="1" si="349"/>
        <v>49.864229999999914</v>
      </c>
      <c r="U808" s="311">
        <f t="shared" ca="1" si="350"/>
        <v>0</v>
      </c>
      <c r="V808" s="306">
        <f t="shared" ca="1" si="351"/>
        <v>1.2234477492291929</v>
      </c>
      <c r="W808" s="304">
        <f t="shared" ca="1" si="352"/>
        <v>50.162479867154367</v>
      </c>
      <c r="Y808" s="314" t="str">
        <f t="shared" ca="1" si="370"/>
        <v/>
      </c>
      <c r="Z808" s="315" t="str">
        <f t="shared" ca="1" si="371"/>
        <v/>
      </c>
      <c r="AA808" s="316" t="str">
        <f t="shared" ca="1" si="372"/>
        <v/>
      </c>
      <c r="AC808" s="310" t="e">
        <f t="shared" ca="1" si="373"/>
        <v>#N/A</v>
      </c>
      <c r="AD808" s="323" t="e">
        <f t="shared" ca="1" si="374"/>
        <v>#N/A</v>
      </c>
      <c r="AE808" s="324" t="e">
        <f t="shared" ca="1" si="353"/>
        <v>#N/A</v>
      </c>
      <c r="AG808" s="306">
        <f t="shared" ca="1" si="375"/>
        <v>-5.755005840199523E-2</v>
      </c>
      <c r="AH808" s="304">
        <f t="shared" ca="1" si="376"/>
        <v>-9.8582695315808433</v>
      </c>
    </row>
    <row r="809" spans="1:34" x14ac:dyDescent="0.2">
      <c r="A809" s="347">
        <f t="shared" ca="1" si="354"/>
        <v>0.1</v>
      </c>
      <c r="B809" s="304">
        <f t="shared" ca="1" si="355"/>
        <v>44.50000000000032</v>
      </c>
      <c r="D809" s="306">
        <f t="shared" ca="1" si="356"/>
        <v>-0.42552378038827954</v>
      </c>
      <c r="E809" s="307">
        <f t="shared" ca="1" si="357"/>
        <v>4.9497683456992903E-2</v>
      </c>
      <c r="F809" s="304">
        <f t="shared" ca="1" si="358"/>
        <v>0.42839293685066915</v>
      </c>
      <c r="G809" s="306">
        <f t="shared" ca="1" si="359"/>
        <v>4.94009339941341</v>
      </c>
      <c r="H809" s="307">
        <f t="shared" ca="1" si="360"/>
        <v>-115.44426074452026</v>
      </c>
      <c r="I809" s="304">
        <f t="shared" ca="1" si="361"/>
        <v>115.54991069509188</v>
      </c>
      <c r="J809" s="306">
        <f t="shared" ca="1" si="362"/>
        <v>976.17627655367528</v>
      </c>
      <c r="K809" s="307">
        <f t="shared" ca="1" si="363"/>
        <v>1.1347946536450735</v>
      </c>
      <c r="L809" s="304">
        <f t="shared" ca="1" si="348"/>
        <v>976.17693614687676</v>
      </c>
      <c r="M809" s="306">
        <f t="shared" ca="1" si="364"/>
        <v>-1.5280303953081575</v>
      </c>
      <c r="N809" s="304">
        <f t="shared" ca="1" si="365"/>
        <v>-87.549692618864214</v>
      </c>
      <c r="P809" s="310">
        <f t="shared" ca="1" si="366"/>
        <v>23</v>
      </c>
      <c r="Q809" s="304">
        <f t="shared" ca="1" si="367"/>
        <v>0</v>
      </c>
      <c r="R809" s="306">
        <f t="shared" ca="1" si="368"/>
        <v>0</v>
      </c>
      <c r="S809" s="307">
        <f t="shared" ca="1" si="369"/>
        <v>5.0829999999999913</v>
      </c>
      <c r="T809" s="304">
        <f t="shared" ca="1" si="349"/>
        <v>49.864229999999914</v>
      </c>
      <c r="U809" s="311">
        <f t="shared" ca="1" si="350"/>
        <v>0</v>
      </c>
      <c r="V809" s="306">
        <f t="shared" ca="1" si="351"/>
        <v>1.2248609955420044</v>
      </c>
      <c r="W809" s="304">
        <f t="shared" ca="1" si="352"/>
        <v>50.214538078427573</v>
      </c>
      <c r="Y809" s="314" t="str">
        <f t="shared" ca="1" si="370"/>
        <v/>
      </c>
      <c r="Z809" s="315" t="str">
        <f t="shared" ca="1" si="371"/>
        <v/>
      </c>
      <c r="AA809" s="316" t="str">
        <f t="shared" ca="1" si="372"/>
        <v/>
      </c>
      <c r="AC809" s="310" t="e">
        <f t="shared" ca="1" si="373"/>
        <v>#N/A</v>
      </c>
      <c r="AD809" s="323" t="e">
        <f t="shared" ca="1" si="374"/>
        <v>#N/A</v>
      </c>
      <c r="AE809" s="324" t="e">
        <f t="shared" ca="1" si="353"/>
        <v>#N/A</v>
      </c>
      <c r="AG809" s="306">
        <f t="shared" ca="1" si="375"/>
        <v>-6.7799650760564489E-2</v>
      </c>
      <c r="AH809" s="304">
        <f t="shared" ca="1" si="376"/>
        <v>-9.8686759526174406</v>
      </c>
    </row>
    <row r="810" spans="1:34" x14ac:dyDescent="0.2">
      <c r="A810" s="347">
        <f t="shared" ca="1" si="354"/>
        <v>0.1</v>
      </c>
      <c r="B810" s="304">
        <f t="shared" ca="1" si="355"/>
        <v>44.600000000000321</v>
      </c>
      <c r="D810" s="306">
        <f t="shared" ca="1" si="356"/>
        <v>-0.42235234329026133</v>
      </c>
      <c r="E810" s="307">
        <f t="shared" ca="1" si="357"/>
        <v>5.9885061413949003E-2</v>
      </c>
      <c r="F810" s="304">
        <f t="shared" ca="1" si="358"/>
        <v>0.42657674862013661</v>
      </c>
      <c r="G810" s="306">
        <f t="shared" ca="1" si="359"/>
        <v>4.8978581650843838</v>
      </c>
      <c r="H810" s="307">
        <f t="shared" ca="1" si="360"/>
        <v>-115.43827223837887</v>
      </c>
      <c r="I810" s="304">
        <f t="shared" ca="1" si="361"/>
        <v>115.54212959776774</v>
      </c>
      <c r="J810" s="306">
        <f t="shared" ca="1" si="362"/>
        <v>976.66817413190017</v>
      </c>
      <c r="K810" s="307">
        <f t="shared" ca="1" si="363"/>
        <v>-10.409331995499883</v>
      </c>
      <c r="L810" s="304">
        <f t="shared" ca="1" si="348"/>
        <v>976.72364390073631</v>
      </c>
      <c r="M810" s="306">
        <f t="shared" ca="1" si="364"/>
        <v>-1.5283933849186291</v>
      </c>
      <c r="N810" s="304">
        <f t="shared" ca="1" si="365"/>
        <v>-87.570490391551331</v>
      </c>
      <c r="P810" s="310">
        <f t="shared" ca="1" si="366"/>
        <v>23</v>
      </c>
      <c r="Q810" s="304">
        <f t="shared" ca="1" si="367"/>
        <v>0</v>
      </c>
      <c r="R810" s="306">
        <f t="shared" ca="1" si="368"/>
        <v>0</v>
      </c>
      <c r="S810" s="307">
        <f t="shared" ca="1" si="369"/>
        <v>5.0829999999999913</v>
      </c>
      <c r="T810" s="304">
        <f t="shared" ca="1" si="349"/>
        <v>49.864229999999914</v>
      </c>
      <c r="U810" s="311">
        <f t="shared" ca="1" si="350"/>
        <v>0</v>
      </c>
      <c r="V810" s="306">
        <f t="shared" ca="1" si="351"/>
        <v>1.2262758071844759</v>
      </c>
      <c r="W810" s="304">
        <f t="shared" ca="1" si="352"/>
        <v>50.265769406018613</v>
      </c>
      <c r="Y810" s="314" t="str">
        <f t="shared" ca="1" si="370"/>
        <v>Impact balistique</v>
      </c>
      <c r="Z810" s="315" t="str">
        <f t="shared" ca="1" si="371"/>
        <v/>
      </c>
      <c r="AA810" s="316" t="str">
        <f t="shared" ca="1" si="372"/>
        <v/>
      </c>
      <c r="AC810" s="310" t="e">
        <f t="shared" ca="1" si="373"/>
        <v>#N/A</v>
      </c>
      <c r="AD810" s="323" t="e">
        <f t="shared" ca="1" si="374"/>
        <v>#N/A</v>
      </c>
      <c r="AE810" s="324" t="e">
        <f t="shared" ca="1" si="353"/>
        <v>#N/A</v>
      </c>
      <c r="AG810" s="306">
        <f t="shared" ca="1" si="375"/>
        <v>-7.7887093237459126E-2</v>
      </c>
      <c r="AH810" s="304">
        <f t="shared" ca="1" si="376"/>
        <v>-9.8789175837945429</v>
      </c>
    </row>
    <row r="811" spans="1:34" x14ac:dyDescent="0.2">
      <c r="A811" s="347">
        <f t="shared" ca="1" si="354"/>
        <v>1E-4</v>
      </c>
      <c r="B811" s="304">
        <f t="shared" ca="1" si="355"/>
        <v>44.600100000000324</v>
      </c>
      <c r="D811" s="306">
        <f t="shared" ca="1" si="356"/>
        <v>-0.41919689908772823</v>
      </c>
      <c r="E811" s="307">
        <f t="shared" ca="1" si="357"/>
        <v>7.0107615884721142E-2</v>
      </c>
      <c r="F811" s="304">
        <f t="shared" ca="1" si="358"/>
        <v>0.42501896194147221</v>
      </c>
      <c r="G811" s="306">
        <f t="shared" ca="1" si="359"/>
        <v>4.8978162453944751</v>
      </c>
      <c r="H811" s="307">
        <f t="shared" ca="1" si="360"/>
        <v>-115.43826522761728</v>
      </c>
      <c r="I811" s="304">
        <f t="shared" ca="1" si="361"/>
        <v>115.54212081632984</v>
      </c>
      <c r="J811" s="306">
        <f t="shared" ca="1" si="362"/>
        <v>976.66817413190017</v>
      </c>
      <c r="K811" s="307">
        <f t="shared" ca="1" si="363"/>
        <v>-10.420875822373183</v>
      </c>
      <c r="L811" s="304">
        <f t="shared" ca="1" si="348"/>
        <v>976.72376699609651</v>
      </c>
      <c r="M811" s="306">
        <f t="shared" ca="1" si="364"/>
        <v>-1.5283937448291225</v>
      </c>
      <c r="N811" s="304">
        <f t="shared" ca="1" si="365"/>
        <v>-87.570511012903609</v>
      </c>
      <c r="P811" s="310">
        <f t="shared" ca="1" si="366"/>
        <v>23</v>
      </c>
      <c r="Q811" s="304">
        <f t="shared" ca="1" si="367"/>
        <v>0</v>
      </c>
      <c r="R811" s="306">
        <f t="shared" ca="1" si="368"/>
        <v>0</v>
      </c>
      <c r="S811" s="307">
        <f t="shared" ca="1" si="369"/>
        <v>5.0829999999999913</v>
      </c>
      <c r="T811" s="304">
        <f t="shared" ca="1" si="349"/>
        <v>49.864229999999914</v>
      </c>
      <c r="U811" s="311">
        <f t="shared" ca="1" si="350"/>
        <v>0</v>
      </c>
      <c r="V811" s="306">
        <f t="shared" ca="1" si="351"/>
        <v>1.2262772227772385</v>
      </c>
      <c r="W811" s="304">
        <f t="shared" ca="1" si="352"/>
        <v>50.265819791390953</v>
      </c>
      <c r="Y811" s="314" t="str">
        <f t="shared" ca="1" si="370"/>
        <v/>
      </c>
      <c r="Z811" s="315" t="str">
        <f t="shared" ca="1" si="371"/>
        <v/>
      </c>
      <c r="AA811" s="316" t="str">
        <f t="shared" ca="1" si="372"/>
        <v/>
      </c>
      <c r="AC811" s="310" t="e">
        <f t="shared" ca="1" si="373"/>
        <v>#N/A</v>
      </c>
      <c r="AD811" s="323" t="e">
        <f t="shared" ca="1" si="374"/>
        <v>#N/A</v>
      </c>
      <c r="AE811" s="324" t="e">
        <f t="shared" ca="1" si="353"/>
        <v>#N/A</v>
      </c>
      <c r="AG811" s="306">
        <f t="shared" ca="1" si="375"/>
        <v>-8.7814453816811522E-2</v>
      </c>
      <c r="AH811" s="304">
        <f t="shared" ca="1" si="376"/>
        <v>-9.8889965386619512</v>
      </c>
    </row>
    <row r="812" spans="1:34" x14ac:dyDescent="0.2">
      <c r="A812" s="347">
        <f t="shared" ca="1" si="354"/>
        <v>1E-4</v>
      </c>
      <c r="B812" s="304">
        <f t="shared" ca="1" si="355"/>
        <v>44.600200000000328</v>
      </c>
      <c r="D812" s="306">
        <f t="shared" ca="1" si="356"/>
        <v>-0.4191937633240706</v>
      </c>
      <c r="E812" s="307">
        <f t="shared" ca="1" si="357"/>
        <v>7.0117670374049368E-2</v>
      </c>
      <c r="F812" s="304">
        <f t="shared" ca="1" si="358"/>
        <v>0.42501752776618607</v>
      </c>
      <c r="G812" s="306">
        <f t="shared" ca="1" si="359"/>
        <v>4.8977743260181423</v>
      </c>
      <c r="H812" s="307">
        <f t="shared" ca="1" si="360"/>
        <v>-115.43825821585024</v>
      </c>
      <c r="I812" s="304">
        <f t="shared" ca="1" si="361"/>
        <v>115.54211203391566</v>
      </c>
      <c r="J812" s="306">
        <f t="shared" ca="1" si="362"/>
        <v>976.66817413190017</v>
      </c>
      <c r="K812" s="307">
        <f t="shared" ca="1" si="363"/>
        <v>-10.432419648545357</v>
      </c>
      <c r="L812" s="304">
        <f t="shared" ca="1" si="348"/>
        <v>976.72389022786945</v>
      </c>
      <c r="M812" s="306">
        <f t="shared" ca="1" si="364"/>
        <v>-1.5283941047365903</v>
      </c>
      <c r="N812" s="304">
        <f t="shared" ca="1" si="365"/>
        <v>-87.570531634082528</v>
      </c>
      <c r="P812" s="310">
        <f t="shared" ca="1" si="366"/>
        <v>23</v>
      </c>
      <c r="Q812" s="304">
        <f t="shared" ca="1" si="367"/>
        <v>0</v>
      </c>
      <c r="R812" s="306">
        <f t="shared" ca="1" si="368"/>
        <v>0</v>
      </c>
      <c r="S812" s="307">
        <f t="shared" ca="1" si="369"/>
        <v>5.0829999999999913</v>
      </c>
      <c r="T812" s="304">
        <f t="shared" ca="1" si="349"/>
        <v>49.864229999999914</v>
      </c>
      <c r="U812" s="311">
        <f t="shared" ca="1" si="350"/>
        <v>0</v>
      </c>
      <c r="V812" s="306">
        <f t="shared" ca="1" si="351"/>
        <v>1.2262786383715505</v>
      </c>
      <c r="W812" s="304">
        <f t="shared" ca="1" si="352"/>
        <v>50.265870175960266</v>
      </c>
      <c r="Y812" s="314" t="str">
        <f t="shared" ca="1" si="370"/>
        <v/>
      </c>
      <c r="Z812" s="315" t="str">
        <f t="shared" ca="1" si="371"/>
        <v/>
      </c>
      <c r="AA812" s="316" t="str">
        <f t="shared" ca="1" si="372"/>
        <v/>
      </c>
      <c r="AC812" s="310" t="e">
        <f t="shared" ca="1" si="373"/>
        <v>#N/A</v>
      </c>
      <c r="AD812" s="323" t="e">
        <f t="shared" ca="1" si="374"/>
        <v>#N/A</v>
      </c>
      <c r="AE812" s="324" t="e">
        <f t="shared" ca="1" si="353"/>
        <v>#N/A</v>
      </c>
      <c r="AG812" s="306">
        <f t="shared" ca="1" si="375"/>
        <v>-8.7824216675837619E-2</v>
      </c>
      <c r="AH812" s="304">
        <f t="shared" ca="1" si="376"/>
        <v>-9.8890064511884788</v>
      </c>
    </row>
    <row r="813" spans="1:34" x14ac:dyDescent="0.2">
      <c r="A813" s="347">
        <f t="shared" ca="1" si="354"/>
        <v>1E-4</v>
      </c>
      <c r="B813" s="304">
        <f t="shared" ca="1" si="355"/>
        <v>44.600300000000331</v>
      </c>
      <c r="D813" s="306">
        <f t="shared" ca="1" si="356"/>
        <v>-0.41919062757642611</v>
      </c>
      <c r="E813" s="307">
        <f t="shared" ca="1" si="357"/>
        <v>7.0127724703292316E-2</v>
      </c>
      <c r="F813" s="304">
        <f t="shared" ca="1" si="358"/>
        <v>0.42501609383643196</v>
      </c>
      <c r="G813" s="306">
        <f t="shared" ca="1" si="359"/>
        <v>4.8977324069553845</v>
      </c>
      <c r="H813" s="307">
        <f t="shared" ca="1" si="360"/>
        <v>-115.43825120307777</v>
      </c>
      <c r="I813" s="304">
        <f t="shared" ca="1" si="361"/>
        <v>115.5421032505252</v>
      </c>
      <c r="J813" s="306">
        <f t="shared" ca="1" si="362"/>
        <v>976.66817413190017</v>
      </c>
      <c r="K813" s="307">
        <f t="shared" ca="1" si="363"/>
        <v>-10.443963474016304</v>
      </c>
      <c r="L813" s="304">
        <f t="shared" ca="1" si="348"/>
        <v>976.72401359605487</v>
      </c>
      <c r="M813" s="306">
        <f t="shared" ca="1" si="364"/>
        <v>-1.5283944646410323</v>
      </c>
      <c r="N813" s="304">
        <f t="shared" ca="1" si="365"/>
        <v>-87.570552255088089</v>
      </c>
      <c r="P813" s="310">
        <f t="shared" ca="1" si="366"/>
        <v>23</v>
      </c>
      <c r="Q813" s="304">
        <f t="shared" ca="1" si="367"/>
        <v>0</v>
      </c>
      <c r="R813" s="306">
        <f t="shared" ca="1" si="368"/>
        <v>0</v>
      </c>
      <c r="S813" s="307">
        <f t="shared" ca="1" si="369"/>
        <v>5.0829999999999913</v>
      </c>
      <c r="T813" s="304">
        <f t="shared" ca="1" si="349"/>
        <v>49.864229999999914</v>
      </c>
      <c r="U813" s="311">
        <f t="shared" ca="1" si="350"/>
        <v>0</v>
      </c>
      <c r="V813" s="306">
        <f t="shared" ca="1" si="351"/>
        <v>1.226280053967411</v>
      </c>
      <c r="W813" s="304">
        <f t="shared" ca="1" si="352"/>
        <v>50.265920559726581</v>
      </c>
      <c r="Y813" s="314" t="str">
        <f t="shared" ca="1" si="370"/>
        <v/>
      </c>
      <c r="Z813" s="315" t="str">
        <f t="shared" ca="1" si="371"/>
        <v/>
      </c>
      <c r="AA813" s="316" t="str">
        <f t="shared" ca="1" si="372"/>
        <v/>
      </c>
      <c r="AC813" s="310" t="e">
        <f t="shared" ca="1" si="373"/>
        <v>#N/A</v>
      </c>
      <c r="AD813" s="323" t="e">
        <f t="shared" ca="1" si="374"/>
        <v>#N/A</v>
      </c>
      <c r="AE813" s="324" t="e">
        <f t="shared" ca="1" si="353"/>
        <v>#N/A</v>
      </c>
      <c r="AG813" s="306">
        <f t="shared" ca="1" si="375"/>
        <v>-8.7833979379407623E-2</v>
      </c>
      <c r="AH813" s="304">
        <f t="shared" ca="1" si="376"/>
        <v>-9.8890163635570243</v>
      </c>
    </row>
    <row r="814" spans="1:34" x14ac:dyDescent="0.2">
      <c r="A814" s="347">
        <f t="shared" ca="1" si="354"/>
        <v>1E-4</v>
      </c>
      <c r="B814" s="304">
        <f t="shared" ca="1" si="355"/>
        <v>44.600400000000334</v>
      </c>
      <c r="D814" s="306">
        <f t="shared" ca="1" si="356"/>
        <v>-0.41918749184479748</v>
      </c>
      <c r="E814" s="307">
        <f t="shared" ca="1" si="357"/>
        <v>7.0137778872453538E-2</v>
      </c>
      <c r="F814" s="304">
        <f t="shared" ca="1" si="358"/>
        <v>0.42501466015220385</v>
      </c>
      <c r="G814" s="306">
        <f t="shared" ca="1" si="359"/>
        <v>4.8976904882061998</v>
      </c>
      <c r="H814" s="307">
        <f t="shared" ca="1" si="360"/>
        <v>-115.43824418929988</v>
      </c>
      <c r="I814" s="304">
        <f t="shared" ca="1" si="361"/>
        <v>115.54209446615849</v>
      </c>
      <c r="J814" s="306">
        <f t="shared" ca="1" si="362"/>
        <v>976.66817413190017</v>
      </c>
      <c r="K814" s="307">
        <f t="shared" ca="1" si="363"/>
        <v>-10.455507298785923</v>
      </c>
      <c r="L814" s="304">
        <f t="shared" ca="1" si="348"/>
        <v>976.72413710065268</v>
      </c>
      <c r="M814" s="306">
        <f t="shared" ca="1" si="364"/>
        <v>-1.5283948245424488</v>
      </c>
      <c r="N814" s="304">
        <f t="shared" ca="1" si="365"/>
        <v>-87.570572875920291</v>
      </c>
      <c r="P814" s="310">
        <f t="shared" ca="1" si="366"/>
        <v>23</v>
      </c>
      <c r="Q814" s="304">
        <f t="shared" ca="1" si="367"/>
        <v>0</v>
      </c>
      <c r="R814" s="306">
        <f t="shared" ca="1" si="368"/>
        <v>0</v>
      </c>
      <c r="S814" s="307">
        <f t="shared" ca="1" si="369"/>
        <v>5.0829999999999913</v>
      </c>
      <c r="T814" s="304">
        <f t="shared" ca="1" si="349"/>
        <v>49.864229999999914</v>
      </c>
      <c r="U814" s="311">
        <f t="shared" ca="1" si="350"/>
        <v>0</v>
      </c>
      <c r="V814" s="306">
        <f t="shared" ca="1" si="351"/>
        <v>1.2262814695648208</v>
      </c>
      <c r="W814" s="304">
        <f t="shared" ca="1" si="352"/>
        <v>50.265970942689883</v>
      </c>
      <c r="Y814" s="314" t="str">
        <f t="shared" ca="1" si="370"/>
        <v/>
      </c>
      <c r="Z814" s="315" t="str">
        <f t="shared" ca="1" si="371"/>
        <v/>
      </c>
      <c r="AA814" s="316" t="str">
        <f t="shared" ca="1" si="372"/>
        <v/>
      </c>
      <c r="AC814" s="310" t="e">
        <f t="shared" ca="1" si="373"/>
        <v>#N/A</v>
      </c>
      <c r="AD814" s="323" t="e">
        <f t="shared" ca="1" si="374"/>
        <v>#N/A</v>
      </c>
      <c r="AE814" s="324" t="e">
        <f t="shared" ca="1" si="353"/>
        <v>#N/A</v>
      </c>
      <c r="AG814" s="306">
        <f t="shared" ca="1" si="375"/>
        <v>-8.7843741927526864E-2</v>
      </c>
      <c r="AH814" s="304">
        <f t="shared" ca="1" si="376"/>
        <v>-9.8890262757675913</v>
      </c>
    </row>
    <row r="815" spans="1:34" x14ac:dyDescent="0.2">
      <c r="A815" s="347">
        <f t="shared" ca="1" si="354"/>
        <v>1E-4</v>
      </c>
      <c r="B815" s="304">
        <f t="shared" ca="1" si="355"/>
        <v>44.600500000000338</v>
      </c>
      <c r="D815" s="306">
        <f t="shared" ca="1" si="356"/>
        <v>-0.41918435612918264</v>
      </c>
      <c r="E815" s="307">
        <f t="shared" ca="1" si="357"/>
        <v>7.0147832881529482E-2</v>
      </c>
      <c r="F815" s="304">
        <f t="shared" ca="1" si="358"/>
        <v>0.42501322671348996</v>
      </c>
      <c r="G815" s="306">
        <f t="shared" ca="1" si="359"/>
        <v>4.8976485697705865</v>
      </c>
      <c r="H815" s="307">
        <f t="shared" ca="1" si="360"/>
        <v>-115.43823717451659</v>
      </c>
      <c r="I815" s="304">
        <f t="shared" ca="1" si="361"/>
        <v>115.54208568081553</v>
      </c>
      <c r="J815" s="306">
        <f t="shared" ca="1" si="362"/>
        <v>976.66817413190017</v>
      </c>
      <c r="K815" s="307">
        <f t="shared" ca="1" si="363"/>
        <v>-10.467051122854114</v>
      </c>
      <c r="L815" s="304">
        <f t="shared" ca="1" si="348"/>
        <v>976.72426074166299</v>
      </c>
      <c r="M815" s="306">
        <f t="shared" ca="1" si="364"/>
        <v>-1.5283951844408397</v>
      </c>
      <c r="N815" s="304">
        <f t="shared" ca="1" si="365"/>
        <v>-87.570593496579136</v>
      </c>
      <c r="P815" s="310">
        <f t="shared" ca="1" si="366"/>
        <v>23</v>
      </c>
      <c r="Q815" s="304">
        <f t="shared" ca="1" si="367"/>
        <v>0</v>
      </c>
      <c r="R815" s="306">
        <f t="shared" ca="1" si="368"/>
        <v>0</v>
      </c>
      <c r="S815" s="307">
        <f t="shared" ca="1" si="369"/>
        <v>5.0829999999999913</v>
      </c>
      <c r="T815" s="304">
        <f t="shared" ca="1" si="349"/>
        <v>49.864229999999914</v>
      </c>
      <c r="U815" s="311">
        <f t="shared" ca="1" si="350"/>
        <v>0</v>
      </c>
      <c r="V815" s="306">
        <f t="shared" ca="1" si="351"/>
        <v>1.2262828851637795</v>
      </c>
      <c r="W815" s="304">
        <f t="shared" ca="1" si="352"/>
        <v>50.266021324850193</v>
      </c>
      <c r="Y815" s="314" t="str">
        <f t="shared" ca="1" si="370"/>
        <v/>
      </c>
      <c r="Z815" s="315" t="str">
        <f t="shared" ca="1" si="371"/>
        <v/>
      </c>
      <c r="AA815" s="316" t="str">
        <f t="shared" ca="1" si="372"/>
        <v/>
      </c>
      <c r="AC815" s="310" t="e">
        <f t="shared" ca="1" si="373"/>
        <v>#N/A</v>
      </c>
      <c r="AD815" s="323" t="e">
        <f t="shared" ca="1" si="374"/>
        <v>#N/A</v>
      </c>
      <c r="AE815" s="324" t="e">
        <f t="shared" ca="1" si="353"/>
        <v>#N/A</v>
      </c>
      <c r="AG815" s="306">
        <f t="shared" ca="1" si="375"/>
        <v>-8.7853504320195341E-2</v>
      </c>
      <c r="AH815" s="304">
        <f t="shared" ca="1" si="376"/>
        <v>-9.889036187820178</v>
      </c>
    </row>
    <row r="816" spans="1:34" x14ac:dyDescent="0.2">
      <c r="A816" s="347">
        <f t="shared" ca="1" si="354"/>
        <v>1E-4</v>
      </c>
      <c r="B816" s="304">
        <f t="shared" ca="1" si="355"/>
        <v>44.600600000000341</v>
      </c>
      <c r="D816" s="306">
        <f t="shared" ca="1" si="356"/>
        <v>-0.41918122042958211</v>
      </c>
      <c r="E816" s="307">
        <f t="shared" ca="1" si="357"/>
        <v>7.0157886730527252E-2</v>
      </c>
      <c r="F816" s="304">
        <f t="shared" ca="1" si="358"/>
        <v>0.42501179352028268</v>
      </c>
      <c r="G816" s="306">
        <f t="shared" ca="1" si="359"/>
        <v>4.8976066516485437</v>
      </c>
      <c r="H816" s="307">
        <f t="shared" ca="1" si="360"/>
        <v>-115.43823015872792</v>
      </c>
      <c r="I816" s="304">
        <f t="shared" ca="1" si="361"/>
        <v>115.54207689449638</v>
      </c>
      <c r="J816" s="306">
        <f t="shared" ca="1" si="362"/>
        <v>976.66817413190017</v>
      </c>
      <c r="K816" s="307">
        <f t="shared" ca="1" si="363"/>
        <v>-10.478594946220776</v>
      </c>
      <c r="L816" s="304">
        <f t="shared" ca="1" si="348"/>
        <v>976.72438451908567</v>
      </c>
      <c r="M816" s="306">
        <f t="shared" ca="1" si="364"/>
        <v>-1.5283955443362049</v>
      </c>
      <c r="N816" s="304">
        <f t="shared" ca="1" si="365"/>
        <v>-87.570614117064636</v>
      </c>
      <c r="P816" s="310">
        <f t="shared" ca="1" si="366"/>
        <v>23</v>
      </c>
      <c r="Q816" s="304">
        <f t="shared" ca="1" si="367"/>
        <v>0</v>
      </c>
      <c r="R816" s="306">
        <f t="shared" ca="1" si="368"/>
        <v>0</v>
      </c>
      <c r="S816" s="307">
        <f t="shared" ca="1" si="369"/>
        <v>5.0829999999999913</v>
      </c>
      <c r="T816" s="304">
        <f t="shared" ca="1" si="349"/>
        <v>49.864229999999914</v>
      </c>
      <c r="U816" s="311">
        <f t="shared" ca="1" si="350"/>
        <v>0</v>
      </c>
      <c r="V816" s="306">
        <f t="shared" ca="1" si="351"/>
        <v>1.226284300764287</v>
      </c>
      <c r="W816" s="304">
        <f t="shared" ca="1" si="352"/>
        <v>50.266071706207548</v>
      </c>
      <c r="Y816" s="314" t="str">
        <f t="shared" ca="1" si="370"/>
        <v/>
      </c>
      <c r="Z816" s="315" t="str">
        <f t="shared" ca="1" si="371"/>
        <v/>
      </c>
      <c r="AA816" s="316" t="str">
        <f t="shared" ca="1" si="372"/>
        <v/>
      </c>
      <c r="AC816" s="310" t="e">
        <f t="shared" ca="1" si="373"/>
        <v>#N/A</v>
      </c>
      <c r="AD816" s="323" t="e">
        <f t="shared" ca="1" si="374"/>
        <v>#N/A</v>
      </c>
      <c r="AE816" s="324" t="e">
        <f t="shared" ca="1" si="353"/>
        <v>#N/A</v>
      </c>
      <c r="AG816" s="306">
        <f t="shared" ca="1" si="375"/>
        <v>-8.7863266557416608E-2</v>
      </c>
      <c r="AH816" s="304">
        <f t="shared" ca="1" si="376"/>
        <v>-9.8890460997147898</v>
      </c>
    </row>
    <row r="817" spans="1:34" x14ac:dyDescent="0.2">
      <c r="A817" s="347">
        <f t="shared" ca="1" si="354"/>
        <v>1E-4</v>
      </c>
      <c r="B817" s="304">
        <f t="shared" ca="1" si="355"/>
        <v>44.600700000000344</v>
      </c>
      <c r="D817" s="306">
        <f t="shared" ca="1" si="356"/>
        <v>-0.41917808474599633</v>
      </c>
      <c r="E817" s="307">
        <f t="shared" ca="1" si="357"/>
        <v>7.0167940419453956E-2</v>
      </c>
      <c r="F817" s="304">
        <f t="shared" ca="1" si="358"/>
        <v>0.42501036057257441</v>
      </c>
      <c r="G817" s="306">
        <f t="shared" ca="1" si="359"/>
        <v>4.8975647338400687</v>
      </c>
      <c r="H817" s="307">
        <f t="shared" ca="1" si="360"/>
        <v>-115.43822314193388</v>
      </c>
      <c r="I817" s="304">
        <f t="shared" ca="1" si="361"/>
        <v>115.54206810720099</v>
      </c>
      <c r="J817" s="306">
        <f t="shared" ca="1" si="362"/>
        <v>976.66817413190017</v>
      </c>
      <c r="K817" s="307">
        <f t="shared" ca="1" si="363"/>
        <v>-10.490138768885808</v>
      </c>
      <c r="L817" s="304">
        <f t="shared" ca="1" si="348"/>
        <v>976.72450843292052</v>
      </c>
      <c r="M817" s="306">
        <f t="shared" ca="1" si="364"/>
        <v>-1.5283959042285447</v>
      </c>
      <c r="N817" s="304">
        <f t="shared" ca="1" si="365"/>
        <v>-87.570634737376778</v>
      </c>
      <c r="P817" s="310">
        <f t="shared" ca="1" si="366"/>
        <v>23</v>
      </c>
      <c r="Q817" s="304">
        <f t="shared" ca="1" si="367"/>
        <v>0</v>
      </c>
      <c r="R817" s="306">
        <f t="shared" ca="1" si="368"/>
        <v>0</v>
      </c>
      <c r="S817" s="307">
        <f t="shared" ca="1" si="369"/>
        <v>5.0829999999999913</v>
      </c>
      <c r="T817" s="304">
        <f t="shared" ca="1" si="349"/>
        <v>49.864229999999914</v>
      </c>
      <c r="U817" s="311">
        <f t="shared" ca="1" si="350"/>
        <v>0</v>
      </c>
      <c r="V817" s="306">
        <f t="shared" ca="1" si="351"/>
        <v>1.2262857163663434</v>
      </c>
      <c r="W817" s="304">
        <f t="shared" ca="1" si="352"/>
        <v>50.266122086761911</v>
      </c>
      <c r="Y817" s="314" t="str">
        <f t="shared" ca="1" si="370"/>
        <v/>
      </c>
      <c r="Z817" s="315" t="str">
        <f t="shared" ca="1" si="371"/>
        <v/>
      </c>
      <c r="AA817" s="316" t="str">
        <f t="shared" ca="1" si="372"/>
        <v/>
      </c>
      <c r="AC817" s="310" t="e">
        <f t="shared" ca="1" si="373"/>
        <v>#N/A</v>
      </c>
      <c r="AD817" s="323" t="e">
        <f t="shared" ca="1" si="374"/>
        <v>#N/A</v>
      </c>
      <c r="AE817" s="324" t="e">
        <f t="shared" ca="1" si="353"/>
        <v>#N/A</v>
      </c>
      <c r="AG817" s="306">
        <f t="shared" ca="1" si="375"/>
        <v>-8.7873028639195994E-2</v>
      </c>
      <c r="AH817" s="304">
        <f t="shared" ca="1" si="376"/>
        <v>-9.8890560114514336</v>
      </c>
    </row>
    <row r="818" spans="1:34" x14ac:dyDescent="0.2">
      <c r="A818" s="347">
        <f t="shared" ca="1" si="354"/>
        <v>1E-4</v>
      </c>
      <c r="B818" s="304">
        <f t="shared" ca="1" si="355"/>
        <v>44.600800000000348</v>
      </c>
      <c r="D818" s="306">
        <f t="shared" ca="1" si="356"/>
        <v>-0.41917494907842529</v>
      </c>
      <c r="E818" s="307">
        <f t="shared" ca="1" si="357"/>
        <v>7.0177993948298933E-2</v>
      </c>
      <c r="F818" s="304">
        <f t="shared" ca="1" si="358"/>
        <v>0.42500892787035416</v>
      </c>
      <c r="G818" s="306">
        <f t="shared" ca="1" si="359"/>
        <v>4.8975228163451607</v>
      </c>
      <c r="H818" s="307">
        <f t="shared" ca="1" si="360"/>
        <v>-115.43821612413448</v>
      </c>
      <c r="I818" s="304">
        <f t="shared" ca="1" si="361"/>
        <v>115.54205931892942</v>
      </c>
      <c r="J818" s="306">
        <f t="shared" ca="1" si="362"/>
        <v>976.66817413190017</v>
      </c>
      <c r="K818" s="307">
        <f t="shared" ca="1" si="363"/>
        <v>-10.501682590849112</v>
      </c>
      <c r="L818" s="304">
        <f t="shared" ca="1" si="348"/>
        <v>976.72463248316751</v>
      </c>
      <c r="M818" s="306">
        <f t="shared" ca="1" si="364"/>
        <v>-1.528396264117859</v>
      </c>
      <c r="N818" s="304">
        <f t="shared" ca="1" si="365"/>
        <v>-87.570655357515591</v>
      </c>
      <c r="P818" s="310">
        <f t="shared" ca="1" si="366"/>
        <v>23</v>
      </c>
      <c r="Q818" s="304">
        <f t="shared" ca="1" si="367"/>
        <v>0</v>
      </c>
      <c r="R818" s="306">
        <f t="shared" ca="1" si="368"/>
        <v>0</v>
      </c>
      <c r="S818" s="307">
        <f t="shared" ca="1" si="369"/>
        <v>5.0829999999999913</v>
      </c>
      <c r="T818" s="304">
        <f t="shared" ca="1" si="349"/>
        <v>49.864229999999914</v>
      </c>
      <c r="U818" s="311">
        <f t="shared" ca="1" si="350"/>
        <v>0</v>
      </c>
      <c r="V818" s="306">
        <f t="shared" ca="1" si="351"/>
        <v>1.2262871319699491</v>
      </c>
      <c r="W818" s="304">
        <f t="shared" ca="1" si="352"/>
        <v>50.266172466513346</v>
      </c>
      <c r="Y818" s="314" t="str">
        <f t="shared" ca="1" si="370"/>
        <v/>
      </c>
      <c r="Z818" s="315" t="str">
        <f t="shared" ca="1" si="371"/>
        <v/>
      </c>
      <c r="AA818" s="316" t="str">
        <f t="shared" ca="1" si="372"/>
        <v/>
      </c>
      <c r="AC818" s="310" t="e">
        <f t="shared" ca="1" si="373"/>
        <v>#N/A</v>
      </c>
      <c r="AD818" s="323" t="e">
        <f t="shared" ca="1" si="374"/>
        <v>#N/A</v>
      </c>
      <c r="AE818" s="324" t="e">
        <f t="shared" ca="1" si="353"/>
        <v>#N/A</v>
      </c>
      <c r="AG818" s="306">
        <f t="shared" ca="1" si="375"/>
        <v>-8.7882790565526392E-2</v>
      </c>
      <c r="AH818" s="304">
        <f t="shared" ca="1" si="376"/>
        <v>-9.889065923030099</v>
      </c>
    </row>
    <row r="819" spans="1:34" x14ac:dyDescent="0.2">
      <c r="A819" s="347">
        <f t="shared" ca="1" si="354"/>
        <v>1E-4</v>
      </c>
      <c r="B819" s="304">
        <f t="shared" ca="1" si="355"/>
        <v>44.600900000000351</v>
      </c>
      <c r="D819" s="306">
        <f t="shared" ca="1" si="356"/>
        <v>-0.41917181342686777</v>
      </c>
      <c r="E819" s="307">
        <f t="shared" ca="1" si="357"/>
        <v>7.0188047317079949E-2</v>
      </c>
      <c r="F819" s="304">
        <f t="shared" ca="1" si="358"/>
        <v>0.42500749541361443</v>
      </c>
      <c r="G819" s="306">
        <f t="shared" ca="1" si="359"/>
        <v>4.8974808991638179</v>
      </c>
      <c r="H819" s="307">
        <f t="shared" ca="1" si="360"/>
        <v>-115.43820910532975</v>
      </c>
      <c r="I819" s="304">
        <f t="shared" ca="1" si="361"/>
        <v>115.54205052968166</v>
      </c>
      <c r="J819" s="306">
        <f t="shared" ca="1" si="362"/>
        <v>976.66817413190017</v>
      </c>
      <c r="K819" s="307">
        <f t="shared" ca="1" si="363"/>
        <v>-10.513226412110585</v>
      </c>
      <c r="L819" s="304">
        <f t="shared" ca="1" si="348"/>
        <v>976.72475666982666</v>
      </c>
      <c r="M819" s="306">
        <f t="shared" ca="1" si="364"/>
        <v>-1.5283966240041478</v>
      </c>
      <c r="N819" s="304">
        <f t="shared" ca="1" si="365"/>
        <v>-87.570675977481031</v>
      </c>
      <c r="P819" s="310">
        <f t="shared" ca="1" si="366"/>
        <v>23</v>
      </c>
      <c r="Q819" s="304">
        <f t="shared" ca="1" si="367"/>
        <v>0</v>
      </c>
      <c r="R819" s="306">
        <f t="shared" ca="1" si="368"/>
        <v>0</v>
      </c>
      <c r="S819" s="307">
        <f t="shared" ca="1" si="369"/>
        <v>5.0829999999999913</v>
      </c>
      <c r="T819" s="304">
        <f t="shared" ca="1" si="349"/>
        <v>49.864229999999914</v>
      </c>
      <c r="U819" s="311">
        <f t="shared" ca="1" si="350"/>
        <v>0</v>
      </c>
      <c r="V819" s="306">
        <f t="shared" ca="1" si="351"/>
        <v>1.2262885475751035</v>
      </c>
      <c r="W819" s="304">
        <f t="shared" ca="1" si="352"/>
        <v>50.266222845461797</v>
      </c>
      <c r="Y819" s="314" t="str">
        <f t="shared" ca="1" si="370"/>
        <v/>
      </c>
      <c r="Z819" s="315" t="str">
        <f t="shared" ca="1" si="371"/>
        <v/>
      </c>
      <c r="AA819" s="316" t="str">
        <f t="shared" ca="1" si="372"/>
        <v/>
      </c>
      <c r="AC819" s="310" t="e">
        <f t="shared" ca="1" si="373"/>
        <v>#N/A</v>
      </c>
      <c r="AD819" s="323" t="e">
        <f t="shared" ca="1" si="374"/>
        <v>#N/A</v>
      </c>
      <c r="AE819" s="324" t="e">
        <f t="shared" ca="1" si="353"/>
        <v>#N/A</v>
      </c>
      <c r="AG819" s="306">
        <f t="shared" ca="1" si="375"/>
        <v>-8.7892552336422014E-2</v>
      </c>
      <c r="AH819" s="304">
        <f t="shared" ca="1" si="376"/>
        <v>-9.8890758344508036</v>
      </c>
    </row>
    <row r="820" spans="1:34" x14ac:dyDescent="0.2">
      <c r="A820" s="347">
        <f t="shared" ca="1" si="354"/>
        <v>1E-4</v>
      </c>
      <c r="B820" s="304">
        <f t="shared" ca="1" si="355"/>
        <v>44.601000000000354</v>
      </c>
      <c r="D820" s="306">
        <f t="shared" ca="1" si="356"/>
        <v>-0.41916867779132544</v>
      </c>
      <c r="E820" s="307">
        <f t="shared" ca="1" si="357"/>
        <v>7.0198100525779239E-2</v>
      </c>
      <c r="F820" s="304">
        <f t="shared" ca="1" si="358"/>
        <v>0.42500606320234469</v>
      </c>
      <c r="G820" s="306">
        <f t="shared" ca="1" si="359"/>
        <v>4.8974389822960385</v>
      </c>
      <c r="H820" s="307">
        <f t="shared" ca="1" si="360"/>
        <v>-115.43820208551969</v>
      </c>
      <c r="I820" s="304">
        <f t="shared" ca="1" si="361"/>
        <v>115.54204173945774</v>
      </c>
      <c r="J820" s="306">
        <f t="shared" ca="1" si="362"/>
        <v>976.66817413190017</v>
      </c>
      <c r="K820" s="307">
        <f t="shared" ca="1" si="363"/>
        <v>-10.524770232670127</v>
      </c>
      <c r="L820" s="304">
        <f t="shared" ca="1" si="348"/>
        <v>976.72488099289774</v>
      </c>
      <c r="M820" s="306">
        <f t="shared" ca="1" si="364"/>
        <v>-1.528396983887411</v>
      </c>
      <c r="N820" s="304">
        <f t="shared" ca="1" si="365"/>
        <v>-87.570696597273141</v>
      </c>
      <c r="P820" s="310">
        <f t="shared" ca="1" si="366"/>
        <v>23</v>
      </c>
      <c r="Q820" s="304">
        <f t="shared" ca="1" si="367"/>
        <v>0</v>
      </c>
      <c r="R820" s="306">
        <f t="shared" ca="1" si="368"/>
        <v>0</v>
      </c>
      <c r="S820" s="307">
        <f t="shared" ca="1" si="369"/>
        <v>5.0829999999999913</v>
      </c>
      <c r="T820" s="304">
        <f t="shared" ca="1" si="349"/>
        <v>49.864229999999914</v>
      </c>
      <c r="U820" s="311">
        <f t="shared" ca="1" si="350"/>
        <v>0</v>
      </c>
      <c r="V820" s="306">
        <f t="shared" ca="1" si="351"/>
        <v>1.2262899631818072</v>
      </c>
      <c r="W820" s="304">
        <f t="shared" ca="1" si="352"/>
        <v>50.266273223607342</v>
      </c>
      <c r="Y820" s="314" t="str">
        <f t="shared" ca="1" si="370"/>
        <v/>
      </c>
      <c r="Z820" s="315" t="str">
        <f t="shared" ca="1" si="371"/>
        <v/>
      </c>
      <c r="AA820" s="316" t="str">
        <f t="shared" ca="1" si="372"/>
        <v/>
      </c>
      <c r="AC820" s="310" t="e">
        <f t="shared" ca="1" si="373"/>
        <v>#N/A</v>
      </c>
      <c r="AD820" s="323" t="e">
        <f t="shared" ca="1" si="374"/>
        <v>#N/A</v>
      </c>
      <c r="AE820" s="324" t="e">
        <f t="shared" ca="1" si="353"/>
        <v>#N/A</v>
      </c>
      <c r="AG820" s="306">
        <f t="shared" ca="1" si="375"/>
        <v>-8.7902313951868649E-2</v>
      </c>
      <c r="AH820" s="304">
        <f t="shared" ca="1" si="376"/>
        <v>-9.8890857457135315</v>
      </c>
    </row>
    <row r="821" spans="1:34" x14ac:dyDescent="0.2">
      <c r="A821" s="347">
        <f t="shared" ca="1" si="354"/>
        <v>1E-4</v>
      </c>
      <c r="B821" s="304">
        <f t="shared" ca="1" si="355"/>
        <v>44.601100000000358</v>
      </c>
      <c r="D821" s="306">
        <f t="shared" ca="1" si="356"/>
        <v>-0.41916554217179947</v>
      </c>
      <c r="E821" s="307">
        <f t="shared" ca="1" si="357"/>
        <v>7.020815357441812E-2</v>
      </c>
      <c r="F821" s="304">
        <f t="shared" ca="1" si="358"/>
        <v>0.42500463123654036</v>
      </c>
      <c r="G821" s="306">
        <f t="shared" ca="1" si="359"/>
        <v>4.8973970657418215</v>
      </c>
      <c r="H821" s="307">
        <f t="shared" ca="1" si="360"/>
        <v>-115.43819506470433</v>
      </c>
      <c r="I821" s="304">
        <f t="shared" ca="1" si="361"/>
        <v>115.54203294825768</v>
      </c>
      <c r="J821" s="306">
        <f t="shared" ca="1" si="362"/>
        <v>976.66817413190017</v>
      </c>
      <c r="K821" s="307">
        <f t="shared" ca="1" si="363"/>
        <v>-10.536314052527638</v>
      </c>
      <c r="L821" s="304">
        <f t="shared" ca="1" si="348"/>
        <v>976.72500545238074</v>
      </c>
      <c r="M821" s="306">
        <f t="shared" ca="1" si="364"/>
        <v>-1.5283973437676488</v>
      </c>
      <c r="N821" s="304">
        <f t="shared" ca="1" si="365"/>
        <v>-87.570717216891893</v>
      </c>
      <c r="P821" s="310">
        <f t="shared" ca="1" si="366"/>
        <v>23</v>
      </c>
      <c r="Q821" s="304">
        <f t="shared" ca="1" si="367"/>
        <v>0</v>
      </c>
      <c r="R821" s="306">
        <f t="shared" ca="1" si="368"/>
        <v>0</v>
      </c>
      <c r="S821" s="307">
        <f t="shared" ca="1" si="369"/>
        <v>5.0829999999999913</v>
      </c>
      <c r="T821" s="304">
        <f t="shared" ca="1" si="349"/>
        <v>49.864229999999914</v>
      </c>
      <c r="U821" s="311">
        <f t="shared" ca="1" si="350"/>
        <v>0</v>
      </c>
      <c r="V821" s="306">
        <f t="shared" ca="1" si="351"/>
        <v>1.2262913787900591</v>
      </c>
      <c r="W821" s="304">
        <f t="shared" ca="1" si="352"/>
        <v>50.266323600949939</v>
      </c>
      <c r="Y821" s="314" t="str">
        <f t="shared" ca="1" si="370"/>
        <v/>
      </c>
      <c r="Z821" s="315" t="str">
        <f t="shared" ca="1" si="371"/>
        <v/>
      </c>
      <c r="AA821" s="316" t="str">
        <f t="shared" ca="1" si="372"/>
        <v/>
      </c>
      <c r="AC821" s="310" t="e">
        <f t="shared" ca="1" si="373"/>
        <v>#N/A</v>
      </c>
      <c r="AD821" s="323" t="e">
        <f t="shared" ca="1" si="374"/>
        <v>#N/A</v>
      </c>
      <c r="AE821" s="324" t="e">
        <f t="shared" ca="1" si="353"/>
        <v>#N/A</v>
      </c>
      <c r="AG821" s="306">
        <f t="shared" ca="1" si="375"/>
        <v>-8.7912075411885837E-2</v>
      </c>
      <c r="AH821" s="304">
        <f t="shared" ca="1" si="376"/>
        <v>-9.8890956568183022</v>
      </c>
    </row>
    <row r="822" spans="1:34" x14ac:dyDescent="0.2">
      <c r="A822" s="347">
        <f t="shared" ca="1" si="354"/>
        <v>1E-4</v>
      </c>
      <c r="B822" s="304">
        <f t="shared" ca="1" si="355"/>
        <v>44.601200000000361</v>
      </c>
      <c r="D822" s="306">
        <f t="shared" ca="1" si="356"/>
        <v>-0.41916240656828746</v>
      </c>
      <c r="E822" s="307">
        <f t="shared" ca="1" si="357"/>
        <v>7.0218206462985933E-2</v>
      </c>
      <c r="F822" s="304">
        <f t="shared" ca="1" si="358"/>
        <v>0.42500319951618815</v>
      </c>
      <c r="G822" s="306">
        <f t="shared" ca="1" si="359"/>
        <v>4.8973551495011645</v>
      </c>
      <c r="H822" s="307">
        <f t="shared" ca="1" si="360"/>
        <v>-115.43818804288368</v>
      </c>
      <c r="I822" s="304">
        <f t="shared" ca="1" si="361"/>
        <v>115.54202415608148</v>
      </c>
      <c r="J822" s="306">
        <f t="shared" ca="1" si="362"/>
        <v>976.66817413190017</v>
      </c>
      <c r="K822" s="307">
        <f t="shared" ca="1" si="363"/>
        <v>-10.547857871683018</v>
      </c>
      <c r="L822" s="304">
        <f t="shared" ca="1" si="348"/>
        <v>976.72513004827567</v>
      </c>
      <c r="M822" s="306">
        <f t="shared" ca="1" si="364"/>
        <v>-1.5283977036448613</v>
      </c>
      <c r="N822" s="304">
        <f t="shared" ca="1" si="365"/>
        <v>-87.570737836337315</v>
      </c>
      <c r="P822" s="310">
        <f t="shared" ca="1" si="366"/>
        <v>23</v>
      </c>
      <c r="Q822" s="304">
        <f t="shared" ca="1" si="367"/>
        <v>0</v>
      </c>
      <c r="R822" s="306">
        <f t="shared" ca="1" si="368"/>
        <v>0</v>
      </c>
      <c r="S822" s="307">
        <f t="shared" ca="1" si="369"/>
        <v>5.0829999999999913</v>
      </c>
      <c r="T822" s="304">
        <f t="shared" ca="1" si="349"/>
        <v>49.864229999999914</v>
      </c>
      <c r="U822" s="311">
        <f t="shared" ca="1" si="350"/>
        <v>0</v>
      </c>
      <c r="V822" s="306">
        <f t="shared" ca="1" si="351"/>
        <v>1.2262927943998605</v>
      </c>
      <c r="W822" s="304">
        <f t="shared" ca="1" si="352"/>
        <v>50.266373977489621</v>
      </c>
      <c r="Y822" s="314" t="str">
        <f t="shared" ca="1" si="370"/>
        <v/>
      </c>
      <c r="Z822" s="315" t="str">
        <f t="shared" ca="1" si="371"/>
        <v/>
      </c>
      <c r="AA822" s="316" t="str">
        <f t="shared" ca="1" si="372"/>
        <v/>
      </c>
      <c r="AC822" s="310" t="e">
        <f t="shared" ca="1" si="373"/>
        <v>#N/A</v>
      </c>
      <c r="AD822" s="323" t="e">
        <f t="shared" ca="1" si="374"/>
        <v>#N/A</v>
      </c>
      <c r="AE822" s="324" t="e">
        <f t="shared" ca="1" si="353"/>
        <v>#N/A</v>
      </c>
      <c r="AG822" s="306">
        <f t="shared" ca="1" si="375"/>
        <v>-8.7921836716461144E-2</v>
      </c>
      <c r="AH822" s="304">
        <f t="shared" ca="1" si="376"/>
        <v>-9.889105567765105</v>
      </c>
    </row>
    <row r="823" spans="1:34" x14ac:dyDescent="0.2">
      <c r="A823" s="347">
        <f t="shared" ca="1" si="354"/>
        <v>1E-4</v>
      </c>
      <c r="B823" s="304">
        <f t="shared" ca="1" si="355"/>
        <v>44.601300000000364</v>
      </c>
      <c r="D823" s="306">
        <f t="shared" ca="1" si="356"/>
        <v>-0.41915927098078998</v>
      </c>
      <c r="E823" s="307">
        <f t="shared" ca="1" si="357"/>
        <v>7.0228259191488007E-2</v>
      </c>
      <c r="F823" s="304">
        <f t="shared" ca="1" si="358"/>
        <v>0.4250017680412802</v>
      </c>
      <c r="G823" s="306">
        <f t="shared" ca="1" si="359"/>
        <v>4.8973132335740663</v>
      </c>
      <c r="H823" s="307">
        <f t="shared" ca="1" si="360"/>
        <v>-115.43818102005775</v>
      </c>
      <c r="I823" s="304">
        <f t="shared" ca="1" si="361"/>
        <v>115.54201536292918</v>
      </c>
      <c r="J823" s="306">
        <f t="shared" ca="1" si="362"/>
        <v>976.66817413190017</v>
      </c>
      <c r="K823" s="307">
        <f t="shared" ca="1" si="363"/>
        <v>-10.559401690136164</v>
      </c>
      <c r="L823" s="304">
        <f t="shared" ca="1" si="348"/>
        <v>976.7252547805823</v>
      </c>
      <c r="M823" s="306">
        <f t="shared" ca="1" si="364"/>
        <v>-1.5283980635190484</v>
      </c>
      <c r="N823" s="304">
        <f t="shared" ca="1" si="365"/>
        <v>-87.570758455609393</v>
      </c>
      <c r="P823" s="310">
        <f t="shared" ca="1" si="366"/>
        <v>23</v>
      </c>
      <c r="Q823" s="304">
        <f t="shared" ca="1" si="367"/>
        <v>0</v>
      </c>
      <c r="R823" s="306">
        <f t="shared" ca="1" si="368"/>
        <v>0</v>
      </c>
      <c r="S823" s="307">
        <f t="shared" ca="1" si="369"/>
        <v>5.0829999999999913</v>
      </c>
      <c r="T823" s="304">
        <f t="shared" ca="1" si="349"/>
        <v>49.864229999999914</v>
      </c>
      <c r="U823" s="311">
        <f t="shared" ca="1" si="350"/>
        <v>0</v>
      </c>
      <c r="V823" s="306">
        <f t="shared" ca="1" si="351"/>
        <v>1.2262942100112111</v>
      </c>
      <c r="W823" s="304">
        <f t="shared" ca="1" si="352"/>
        <v>50.266424353226427</v>
      </c>
      <c r="Y823" s="314" t="str">
        <f t="shared" ca="1" si="370"/>
        <v/>
      </c>
      <c r="Z823" s="315" t="str">
        <f t="shared" ca="1" si="371"/>
        <v/>
      </c>
      <c r="AA823" s="316" t="str">
        <f t="shared" ca="1" si="372"/>
        <v/>
      </c>
      <c r="AC823" s="310" t="e">
        <f t="shared" ca="1" si="373"/>
        <v>#N/A</v>
      </c>
      <c r="AD823" s="323" t="e">
        <f t="shared" ca="1" si="374"/>
        <v>#N/A</v>
      </c>
      <c r="AE823" s="324" t="e">
        <f t="shared" ca="1" si="353"/>
        <v>#N/A</v>
      </c>
      <c r="AG823" s="306">
        <f t="shared" ca="1" si="375"/>
        <v>-8.793159786560345E-2</v>
      </c>
      <c r="AH823" s="304">
        <f t="shared" ca="1" si="376"/>
        <v>-9.8891154785539452</v>
      </c>
    </row>
    <row r="824" spans="1:34" x14ac:dyDescent="0.2">
      <c r="A824" s="347">
        <f t="shared" ca="1" si="354"/>
        <v>1E-4</v>
      </c>
      <c r="B824" s="304">
        <f t="shared" ca="1" si="355"/>
        <v>44.601400000000368</v>
      </c>
      <c r="D824" s="306">
        <f t="shared" ca="1" si="356"/>
        <v>-0.41915613540930752</v>
      </c>
      <c r="E824" s="307">
        <f t="shared" ca="1" si="357"/>
        <v>7.0238311759935002E-2</v>
      </c>
      <c r="F824" s="304">
        <f t="shared" ca="1" si="358"/>
        <v>0.42500033681180954</v>
      </c>
      <c r="G824" s="306">
        <f t="shared" ca="1" si="359"/>
        <v>4.8972713179605254</v>
      </c>
      <c r="H824" s="307">
        <f t="shared" ca="1" si="360"/>
        <v>-115.43817399622658</v>
      </c>
      <c r="I824" s="304">
        <f t="shared" ca="1" si="361"/>
        <v>115.54200656880077</v>
      </c>
      <c r="J824" s="306">
        <f t="shared" ca="1" si="362"/>
        <v>976.66817413190017</v>
      </c>
      <c r="K824" s="307">
        <f t="shared" ca="1" si="363"/>
        <v>-10.570945507886979</v>
      </c>
      <c r="L824" s="304">
        <f t="shared" ca="1" si="348"/>
        <v>976.72537964930063</v>
      </c>
      <c r="M824" s="306">
        <f t="shared" ca="1" si="364"/>
        <v>-1.5283984233902101</v>
      </c>
      <c r="N824" s="304">
        <f t="shared" ca="1" si="365"/>
        <v>-87.570779074708128</v>
      </c>
      <c r="P824" s="310">
        <f t="shared" ca="1" si="366"/>
        <v>23</v>
      </c>
      <c r="Q824" s="304">
        <f t="shared" ca="1" si="367"/>
        <v>0</v>
      </c>
      <c r="R824" s="306">
        <f t="shared" ca="1" si="368"/>
        <v>0</v>
      </c>
      <c r="S824" s="307">
        <f t="shared" ca="1" si="369"/>
        <v>5.0829999999999913</v>
      </c>
      <c r="T824" s="304">
        <f t="shared" ca="1" si="349"/>
        <v>49.864229999999914</v>
      </c>
      <c r="U824" s="311">
        <f t="shared" ca="1" si="350"/>
        <v>0</v>
      </c>
      <c r="V824" s="306">
        <f t="shared" ca="1" si="351"/>
        <v>1.2262956256241098</v>
      </c>
      <c r="W824" s="304">
        <f t="shared" ca="1" si="352"/>
        <v>50.266474728160311</v>
      </c>
      <c r="Y824" s="314" t="str">
        <f t="shared" ca="1" si="370"/>
        <v/>
      </c>
      <c r="Z824" s="315" t="str">
        <f t="shared" ca="1" si="371"/>
        <v/>
      </c>
      <c r="AA824" s="316" t="str">
        <f t="shared" ca="1" si="372"/>
        <v/>
      </c>
      <c r="AC824" s="310" t="e">
        <f t="shared" ca="1" si="373"/>
        <v>#N/A</v>
      </c>
      <c r="AD824" s="323" t="e">
        <f t="shared" ca="1" si="374"/>
        <v>#N/A</v>
      </c>
      <c r="AE824" s="324" t="e">
        <f t="shared" ca="1" si="353"/>
        <v>#N/A</v>
      </c>
      <c r="AG824" s="306">
        <f t="shared" ca="1" si="375"/>
        <v>-8.7941358859321639E-2</v>
      </c>
      <c r="AH824" s="304">
        <f t="shared" ca="1" si="376"/>
        <v>-9.8891253891848336</v>
      </c>
    </row>
    <row r="825" spans="1:34" x14ac:dyDescent="0.2">
      <c r="A825" s="347">
        <f t="shared" ca="1" si="354"/>
        <v>1E-4</v>
      </c>
      <c r="B825" s="304">
        <f t="shared" ca="1" si="355"/>
        <v>44.601500000000371</v>
      </c>
      <c r="D825" s="306">
        <f t="shared" ca="1" si="356"/>
        <v>-0.41915299985384025</v>
      </c>
      <c r="E825" s="307">
        <f t="shared" ca="1" si="357"/>
        <v>7.0248364168318034E-2</v>
      </c>
      <c r="F825" s="304">
        <f t="shared" ca="1" si="358"/>
        <v>0.42499890582776567</v>
      </c>
      <c r="G825" s="306">
        <f t="shared" ca="1" si="359"/>
        <v>4.8972294026605399</v>
      </c>
      <c r="H825" s="307">
        <f t="shared" ca="1" si="360"/>
        <v>-115.43816697139016</v>
      </c>
      <c r="I825" s="304">
        <f t="shared" ca="1" si="361"/>
        <v>115.54199777369628</v>
      </c>
      <c r="J825" s="306">
        <f t="shared" ca="1" si="362"/>
        <v>976.66817413190017</v>
      </c>
      <c r="K825" s="307">
        <f t="shared" ca="1" si="363"/>
        <v>-10.582489324935359</v>
      </c>
      <c r="L825" s="304">
        <f t="shared" ca="1" si="348"/>
        <v>976.72550465443067</v>
      </c>
      <c r="M825" s="306">
        <f t="shared" ca="1" si="364"/>
        <v>-1.5283987832583465</v>
      </c>
      <c r="N825" s="304">
        <f t="shared" ca="1" si="365"/>
        <v>-87.570799693633518</v>
      </c>
      <c r="P825" s="310">
        <f t="shared" ca="1" si="366"/>
        <v>23</v>
      </c>
      <c r="Q825" s="304">
        <f t="shared" ca="1" si="367"/>
        <v>0</v>
      </c>
      <c r="R825" s="306">
        <f t="shared" ca="1" si="368"/>
        <v>0</v>
      </c>
      <c r="S825" s="307">
        <f t="shared" ca="1" si="369"/>
        <v>5.0829999999999913</v>
      </c>
      <c r="T825" s="304">
        <f t="shared" ca="1" si="349"/>
        <v>49.864229999999914</v>
      </c>
      <c r="U825" s="311">
        <f t="shared" ca="1" si="350"/>
        <v>0</v>
      </c>
      <c r="V825" s="306">
        <f t="shared" ca="1" si="351"/>
        <v>1.2262970412385577</v>
      </c>
      <c r="W825" s="304">
        <f t="shared" ca="1" si="352"/>
        <v>50.266525102291311</v>
      </c>
      <c r="Y825" s="314" t="str">
        <f t="shared" ca="1" si="370"/>
        <v/>
      </c>
      <c r="Z825" s="315" t="str">
        <f t="shared" ca="1" si="371"/>
        <v/>
      </c>
      <c r="AA825" s="316" t="str">
        <f t="shared" ca="1" si="372"/>
        <v/>
      </c>
      <c r="AC825" s="310" t="e">
        <f t="shared" ca="1" si="373"/>
        <v>#N/A</v>
      </c>
      <c r="AD825" s="323" t="e">
        <f t="shared" ca="1" si="374"/>
        <v>#N/A</v>
      </c>
      <c r="AE825" s="324" t="e">
        <f t="shared" ca="1" si="353"/>
        <v>#N/A</v>
      </c>
      <c r="AG825" s="306">
        <f t="shared" ca="1" si="375"/>
        <v>-8.7951119697603275E-2</v>
      </c>
      <c r="AH825" s="304">
        <f t="shared" ca="1" si="376"/>
        <v>-9.8891352996577613</v>
      </c>
    </row>
    <row r="826" spans="1:34" x14ac:dyDescent="0.2">
      <c r="A826" s="347">
        <f t="shared" ca="1" si="354"/>
        <v>1E-4</v>
      </c>
      <c r="B826" s="304">
        <f t="shared" ca="1" si="355"/>
        <v>44.601600000000374</v>
      </c>
      <c r="D826" s="306">
        <f t="shared" ca="1" si="356"/>
        <v>-0.41914986431438839</v>
      </c>
      <c r="E826" s="307">
        <f t="shared" ca="1" si="357"/>
        <v>7.025841641663888E-2</v>
      </c>
      <c r="F826" s="304">
        <f t="shared" ca="1" si="358"/>
        <v>0.42499747508913982</v>
      </c>
      <c r="G826" s="306">
        <f t="shared" ca="1" si="359"/>
        <v>4.8971874876741088</v>
      </c>
      <c r="H826" s="307">
        <f t="shared" ca="1" si="360"/>
        <v>-115.43815994554852</v>
      </c>
      <c r="I826" s="304">
        <f t="shared" ca="1" si="361"/>
        <v>115.54198897761573</v>
      </c>
      <c r="J826" s="306">
        <f t="shared" ca="1" si="362"/>
        <v>976.66817413190017</v>
      </c>
      <c r="K826" s="307">
        <f t="shared" ca="1" si="363"/>
        <v>-10.594033141281207</v>
      </c>
      <c r="L826" s="304">
        <f t="shared" ca="1" si="348"/>
        <v>976.72562979597205</v>
      </c>
      <c r="M826" s="306">
        <f t="shared" ca="1" si="364"/>
        <v>-1.5283991431234578</v>
      </c>
      <c r="N826" s="304">
        <f t="shared" ca="1" si="365"/>
        <v>-87.570820312385592</v>
      </c>
      <c r="P826" s="310">
        <f t="shared" ca="1" si="366"/>
        <v>23</v>
      </c>
      <c r="Q826" s="304">
        <f t="shared" ca="1" si="367"/>
        <v>0</v>
      </c>
      <c r="R826" s="306">
        <f t="shared" ca="1" si="368"/>
        <v>0</v>
      </c>
      <c r="S826" s="307">
        <f t="shared" ca="1" si="369"/>
        <v>5.0829999999999913</v>
      </c>
      <c r="T826" s="304">
        <f t="shared" ca="1" si="349"/>
        <v>49.864229999999914</v>
      </c>
      <c r="U826" s="311">
        <f t="shared" ca="1" si="350"/>
        <v>0</v>
      </c>
      <c r="V826" s="306">
        <f t="shared" ca="1" si="351"/>
        <v>1.2262984568545547</v>
      </c>
      <c r="W826" s="304">
        <f t="shared" ca="1" si="352"/>
        <v>50.266575475619462</v>
      </c>
      <c r="Y826" s="314" t="str">
        <f t="shared" ca="1" si="370"/>
        <v/>
      </c>
      <c r="Z826" s="315" t="str">
        <f t="shared" ca="1" si="371"/>
        <v/>
      </c>
      <c r="AA826" s="316" t="str">
        <f t="shared" ca="1" si="372"/>
        <v/>
      </c>
      <c r="AC826" s="310" t="e">
        <f t="shared" ca="1" si="373"/>
        <v>#N/A</v>
      </c>
      <c r="AD826" s="323" t="e">
        <f t="shared" ca="1" si="374"/>
        <v>#N/A</v>
      </c>
      <c r="AE826" s="324" t="e">
        <f t="shared" ca="1" si="353"/>
        <v>#N/A</v>
      </c>
      <c r="AG826" s="306">
        <f t="shared" ca="1" si="375"/>
        <v>-8.796088038045724E-2</v>
      </c>
      <c r="AH826" s="304">
        <f t="shared" ca="1" si="376"/>
        <v>-9.8891452099727317</v>
      </c>
    </row>
    <row r="827" spans="1:34" x14ac:dyDescent="0.2">
      <c r="A827" s="347">
        <f t="shared" ca="1" si="354"/>
        <v>1E-4</v>
      </c>
      <c r="B827" s="304">
        <f t="shared" ca="1" si="355"/>
        <v>44.601700000000378</v>
      </c>
      <c r="D827" s="306">
        <f t="shared" ca="1" si="356"/>
        <v>-0.41914672879095055</v>
      </c>
      <c r="E827" s="307">
        <f t="shared" ca="1" si="357"/>
        <v>7.0268468504911752E-2</v>
      </c>
      <c r="F827" s="304">
        <f t="shared" ca="1" si="358"/>
        <v>0.42499604459592377</v>
      </c>
      <c r="G827" s="306">
        <f t="shared" ca="1" si="359"/>
        <v>4.8971455730012297</v>
      </c>
      <c r="H827" s="307">
        <f t="shared" ca="1" si="360"/>
        <v>-115.43815291870168</v>
      </c>
      <c r="I827" s="304">
        <f t="shared" ca="1" si="361"/>
        <v>115.54198018055912</v>
      </c>
      <c r="J827" s="306">
        <f t="shared" ca="1" si="362"/>
        <v>976.66817413190017</v>
      </c>
      <c r="K827" s="307">
        <f t="shared" ca="1" si="363"/>
        <v>-10.60557695692442</v>
      </c>
      <c r="L827" s="304">
        <f t="shared" ca="1" si="348"/>
        <v>976.72575507392503</v>
      </c>
      <c r="M827" s="306">
        <f t="shared" ca="1" si="364"/>
        <v>-1.5283995029855435</v>
      </c>
      <c r="N827" s="304">
        <f t="shared" ca="1" si="365"/>
        <v>-87.570840930964309</v>
      </c>
      <c r="P827" s="310">
        <f t="shared" ca="1" si="366"/>
        <v>23</v>
      </c>
      <c r="Q827" s="304">
        <f t="shared" ca="1" si="367"/>
        <v>0</v>
      </c>
      <c r="R827" s="306">
        <f t="shared" ca="1" si="368"/>
        <v>0</v>
      </c>
      <c r="S827" s="307">
        <f t="shared" ca="1" si="369"/>
        <v>5.0829999999999913</v>
      </c>
      <c r="T827" s="304">
        <f t="shared" ca="1" si="349"/>
        <v>49.864229999999914</v>
      </c>
      <c r="U827" s="311">
        <f t="shared" ca="1" si="350"/>
        <v>0</v>
      </c>
      <c r="V827" s="306">
        <f t="shared" ca="1" si="351"/>
        <v>1.2262998724721001</v>
      </c>
      <c r="W827" s="304">
        <f t="shared" ca="1" si="352"/>
        <v>50.266625848144727</v>
      </c>
      <c r="Y827" s="314" t="str">
        <f t="shared" ca="1" si="370"/>
        <v/>
      </c>
      <c r="Z827" s="315" t="str">
        <f t="shared" ca="1" si="371"/>
        <v/>
      </c>
      <c r="AA827" s="316" t="str">
        <f t="shared" ca="1" si="372"/>
        <v/>
      </c>
      <c r="AC827" s="310" t="e">
        <f t="shared" ca="1" si="373"/>
        <v>#N/A</v>
      </c>
      <c r="AD827" s="323" t="e">
        <f t="shared" ca="1" si="374"/>
        <v>#N/A</v>
      </c>
      <c r="AE827" s="324" t="e">
        <f t="shared" ca="1" si="353"/>
        <v>#N/A</v>
      </c>
      <c r="AG827" s="306">
        <f t="shared" ca="1" si="375"/>
        <v>-8.797064090789064E-2</v>
      </c>
      <c r="AH827" s="304">
        <f t="shared" ca="1" si="376"/>
        <v>-9.8891551201297556</v>
      </c>
    </row>
    <row r="828" spans="1:34" x14ac:dyDescent="0.2">
      <c r="A828" s="347">
        <f t="shared" ca="1" si="354"/>
        <v>1E-4</v>
      </c>
      <c r="B828" s="304">
        <f t="shared" ca="1" si="355"/>
        <v>44.601800000000381</v>
      </c>
      <c r="D828" s="306">
        <f t="shared" ca="1" si="356"/>
        <v>-0.4191435932835309</v>
      </c>
      <c r="E828" s="307">
        <f t="shared" ca="1" si="357"/>
        <v>7.0278520433125991E-2</v>
      </c>
      <c r="F828" s="304">
        <f t="shared" ca="1" si="358"/>
        <v>0.42499461434811059</v>
      </c>
      <c r="G828" s="306">
        <f t="shared" ca="1" si="359"/>
        <v>4.8971036586419014</v>
      </c>
      <c r="H828" s="307">
        <f t="shared" ca="1" si="360"/>
        <v>-115.43814589084963</v>
      </c>
      <c r="I828" s="304">
        <f t="shared" ca="1" si="361"/>
        <v>115.54197138252647</v>
      </c>
      <c r="J828" s="306">
        <f t="shared" ca="1" si="362"/>
        <v>976.66817413190017</v>
      </c>
      <c r="K828" s="307">
        <f t="shared" ca="1" si="363"/>
        <v>-10.617120771864897</v>
      </c>
      <c r="L828" s="304">
        <f t="shared" ca="1" si="348"/>
        <v>976.72588048828936</v>
      </c>
      <c r="M828" s="306">
        <f t="shared" ca="1" si="364"/>
        <v>-1.5283998628446043</v>
      </c>
      <c r="N828" s="304">
        <f t="shared" ca="1" si="365"/>
        <v>-87.57086154936971</v>
      </c>
      <c r="P828" s="310">
        <f t="shared" ca="1" si="366"/>
        <v>23</v>
      </c>
      <c r="Q828" s="304">
        <f t="shared" ca="1" si="367"/>
        <v>0</v>
      </c>
      <c r="R828" s="306">
        <f t="shared" ca="1" si="368"/>
        <v>0</v>
      </c>
      <c r="S828" s="307">
        <f t="shared" ca="1" si="369"/>
        <v>5.0829999999999913</v>
      </c>
      <c r="T828" s="304">
        <f t="shared" ca="1" si="349"/>
        <v>49.864229999999914</v>
      </c>
      <c r="U828" s="311">
        <f t="shared" ca="1" si="350"/>
        <v>0</v>
      </c>
      <c r="V828" s="306">
        <f t="shared" ca="1" si="351"/>
        <v>1.2263012880911948</v>
      </c>
      <c r="W828" s="304">
        <f t="shared" ca="1" si="352"/>
        <v>50.266676219867144</v>
      </c>
      <c r="Y828" s="314" t="str">
        <f t="shared" ca="1" si="370"/>
        <v/>
      </c>
      <c r="Z828" s="315" t="str">
        <f t="shared" ca="1" si="371"/>
        <v/>
      </c>
      <c r="AA828" s="316" t="str">
        <f t="shared" ca="1" si="372"/>
        <v/>
      </c>
      <c r="AC828" s="310" t="e">
        <f t="shared" ca="1" si="373"/>
        <v>#N/A</v>
      </c>
      <c r="AD828" s="323" t="e">
        <f t="shared" ca="1" si="374"/>
        <v>#N/A</v>
      </c>
      <c r="AE828" s="324" t="e">
        <f t="shared" ca="1" si="353"/>
        <v>#N/A</v>
      </c>
      <c r="AG828" s="306">
        <f t="shared" ca="1" si="375"/>
        <v>-8.798040127989637E-2</v>
      </c>
      <c r="AH828" s="304">
        <f t="shared" ca="1" si="376"/>
        <v>-9.8891650301288241</v>
      </c>
    </row>
    <row r="829" spans="1:34" x14ac:dyDescent="0.2">
      <c r="A829" s="347">
        <f t="shared" ca="1" si="354"/>
        <v>1E-4</v>
      </c>
      <c r="B829" s="304">
        <f t="shared" ca="1" si="355"/>
        <v>44.601900000000384</v>
      </c>
      <c r="D829" s="306">
        <f t="shared" ca="1" si="356"/>
        <v>-0.4191404577921235</v>
      </c>
      <c r="E829" s="307">
        <f t="shared" ca="1" si="357"/>
        <v>7.0288572201286925E-2</v>
      </c>
      <c r="F829" s="304">
        <f t="shared" ca="1" si="358"/>
        <v>0.42499318434568617</v>
      </c>
      <c r="G829" s="306">
        <f t="shared" ca="1" si="359"/>
        <v>4.8970617445961224</v>
      </c>
      <c r="H829" s="307">
        <f t="shared" ca="1" si="360"/>
        <v>-115.4381388619924</v>
      </c>
      <c r="I829" s="304">
        <f t="shared" ca="1" si="361"/>
        <v>115.5419625835178</v>
      </c>
      <c r="J829" s="306">
        <f t="shared" ca="1" si="362"/>
        <v>976.66817413190017</v>
      </c>
      <c r="K829" s="307">
        <f t="shared" ca="1" si="363"/>
        <v>-10.62866458610254</v>
      </c>
      <c r="L829" s="304">
        <f t="shared" ca="1" si="348"/>
        <v>976.72600603906494</v>
      </c>
      <c r="M829" s="306">
        <f t="shared" ca="1" si="364"/>
        <v>-1.5284002227006397</v>
      </c>
      <c r="N829" s="304">
        <f t="shared" ca="1" si="365"/>
        <v>-87.570882167601766</v>
      </c>
      <c r="P829" s="310">
        <f t="shared" ca="1" si="366"/>
        <v>23</v>
      </c>
      <c r="Q829" s="304">
        <f t="shared" ca="1" si="367"/>
        <v>0</v>
      </c>
      <c r="R829" s="306">
        <f t="shared" ca="1" si="368"/>
        <v>0</v>
      </c>
      <c r="S829" s="307">
        <f t="shared" ca="1" si="369"/>
        <v>5.0829999999999913</v>
      </c>
      <c r="T829" s="304">
        <f t="shared" ca="1" si="349"/>
        <v>49.864229999999914</v>
      </c>
      <c r="U829" s="311">
        <f t="shared" ca="1" si="350"/>
        <v>0</v>
      </c>
      <c r="V829" s="306">
        <f t="shared" ca="1" si="351"/>
        <v>1.2263027037118381</v>
      </c>
      <c r="W829" s="304">
        <f t="shared" ca="1" si="352"/>
        <v>50.266726590786718</v>
      </c>
      <c r="Y829" s="314" t="str">
        <f t="shared" ca="1" si="370"/>
        <v/>
      </c>
      <c r="Z829" s="315" t="str">
        <f t="shared" ca="1" si="371"/>
        <v/>
      </c>
      <c r="AA829" s="316" t="str">
        <f t="shared" ca="1" si="372"/>
        <v/>
      </c>
      <c r="AC829" s="310" t="e">
        <f t="shared" ca="1" si="373"/>
        <v>#N/A</v>
      </c>
      <c r="AD829" s="323" t="e">
        <f t="shared" ca="1" si="374"/>
        <v>#N/A</v>
      </c>
      <c r="AE829" s="324" t="e">
        <f t="shared" ca="1" si="353"/>
        <v>#N/A</v>
      </c>
      <c r="AG829" s="306">
        <f t="shared" ca="1" si="375"/>
        <v>-8.799016149648331E-2</v>
      </c>
      <c r="AH829" s="304">
        <f t="shared" ca="1" si="376"/>
        <v>-9.8891749399699442</v>
      </c>
    </row>
    <row r="830" spans="1:34" x14ac:dyDescent="0.2">
      <c r="A830" s="347">
        <f t="shared" ca="1" si="354"/>
        <v>1E-4</v>
      </c>
      <c r="B830" s="304">
        <f t="shared" ca="1" si="355"/>
        <v>44.602000000000388</v>
      </c>
      <c r="D830" s="306">
        <f t="shared" ca="1" si="356"/>
        <v>-0.41913732231673323</v>
      </c>
      <c r="E830" s="307">
        <f t="shared" ca="1" si="357"/>
        <v>7.0298623809399885E-2</v>
      </c>
      <c r="F830" s="304">
        <f t="shared" ca="1" si="358"/>
        <v>0.42499175458864685</v>
      </c>
      <c r="G830" s="306">
        <f t="shared" ca="1" si="359"/>
        <v>4.8970198308638908</v>
      </c>
      <c r="H830" s="307">
        <f t="shared" ca="1" si="360"/>
        <v>-115.43813183213003</v>
      </c>
      <c r="I830" s="304">
        <f t="shared" ca="1" si="361"/>
        <v>115.54195378353313</v>
      </c>
      <c r="J830" s="306">
        <f t="shared" ca="1" si="362"/>
        <v>976.66817413190017</v>
      </c>
      <c r="K830" s="307">
        <f t="shared" ca="1" si="363"/>
        <v>-10.640208399637245</v>
      </c>
      <c r="L830" s="304">
        <f t="shared" ca="1" si="348"/>
        <v>976.72613172625188</v>
      </c>
      <c r="M830" s="306">
        <f t="shared" ca="1" si="364"/>
        <v>-1.52840058255365</v>
      </c>
      <c r="N830" s="304">
        <f t="shared" ca="1" si="365"/>
        <v>-87.570902785660508</v>
      </c>
      <c r="P830" s="310">
        <f t="shared" ca="1" si="366"/>
        <v>23</v>
      </c>
      <c r="Q830" s="304">
        <f t="shared" ca="1" si="367"/>
        <v>0</v>
      </c>
      <c r="R830" s="306">
        <f t="shared" ca="1" si="368"/>
        <v>0</v>
      </c>
      <c r="S830" s="307">
        <f t="shared" ca="1" si="369"/>
        <v>5.0829999999999913</v>
      </c>
      <c r="T830" s="304">
        <f t="shared" ca="1" si="349"/>
        <v>49.864229999999914</v>
      </c>
      <c r="U830" s="311">
        <f t="shared" ca="1" si="350"/>
        <v>0</v>
      </c>
      <c r="V830" s="306">
        <f t="shared" ca="1" si="351"/>
        <v>1.2263041193340301</v>
      </c>
      <c r="W830" s="304">
        <f t="shared" ca="1" si="352"/>
        <v>50.266776960903449</v>
      </c>
      <c r="Y830" s="314" t="str">
        <f t="shared" ca="1" si="370"/>
        <v/>
      </c>
      <c r="Z830" s="315" t="str">
        <f t="shared" ca="1" si="371"/>
        <v/>
      </c>
      <c r="AA830" s="316" t="str">
        <f t="shared" ca="1" si="372"/>
        <v/>
      </c>
      <c r="AC830" s="310" t="e">
        <f t="shared" ca="1" si="373"/>
        <v>#N/A</v>
      </c>
      <c r="AD830" s="323" t="e">
        <f t="shared" ca="1" si="374"/>
        <v>#N/A</v>
      </c>
      <c r="AE830" s="324" t="e">
        <f t="shared" ca="1" si="353"/>
        <v>#N/A</v>
      </c>
      <c r="AG830" s="306">
        <f t="shared" ca="1" si="375"/>
        <v>-8.7999921557649685E-2</v>
      </c>
      <c r="AH830" s="304">
        <f t="shared" ca="1" si="376"/>
        <v>-9.8891848496531196</v>
      </c>
    </row>
    <row r="831" spans="1:34" x14ac:dyDescent="0.2">
      <c r="A831" s="347">
        <f t="shared" ca="1" si="354"/>
        <v>1E-4</v>
      </c>
      <c r="B831" s="304">
        <f t="shared" ca="1" si="355"/>
        <v>44.602100000000391</v>
      </c>
      <c r="D831" s="306">
        <f t="shared" ca="1" si="356"/>
        <v>-0.41913418685735782</v>
      </c>
      <c r="E831" s="307">
        <f t="shared" ca="1" si="357"/>
        <v>7.0308675257463094E-2</v>
      </c>
      <c r="F831" s="304">
        <f t="shared" ca="1" si="358"/>
        <v>0.42499032507698098</v>
      </c>
      <c r="G831" s="306">
        <f t="shared" ca="1" si="359"/>
        <v>4.8969779174452048</v>
      </c>
      <c r="H831" s="307">
        <f t="shared" ca="1" si="360"/>
        <v>-115.4381248012625</v>
      </c>
      <c r="I831" s="304">
        <f t="shared" ca="1" si="361"/>
        <v>115.54194498257247</v>
      </c>
      <c r="J831" s="306">
        <f t="shared" ca="1" si="362"/>
        <v>976.66817413190017</v>
      </c>
      <c r="K831" s="307">
        <f t="shared" ca="1" si="363"/>
        <v>-10.651752212468915</v>
      </c>
      <c r="L831" s="304">
        <f t="shared" ca="1" si="348"/>
        <v>976.72625754984983</v>
      </c>
      <c r="M831" s="306">
        <f t="shared" ca="1" si="364"/>
        <v>-1.5284009424036351</v>
      </c>
      <c r="N831" s="304">
        <f t="shared" ca="1" si="365"/>
        <v>-87.570923403545905</v>
      </c>
      <c r="P831" s="310">
        <f t="shared" ca="1" si="366"/>
        <v>23</v>
      </c>
      <c r="Q831" s="304">
        <f t="shared" ca="1" si="367"/>
        <v>0</v>
      </c>
      <c r="R831" s="306">
        <f t="shared" ca="1" si="368"/>
        <v>0</v>
      </c>
      <c r="S831" s="307">
        <f t="shared" ca="1" si="369"/>
        <v>5.0829999999999913</v>
      </c>
      <c r="T831" s="304">
        <f t="shared" ca="1" si="349"/>
        <v>49.864229999999914</v>
      </c>
      <c r="U831" s="311">
        <f t="shared" ca="1" si="350"/>
        <v>0</v>
      </c>
      <c r="V831" s="306">
        <f t="shared" ca="1" si="351"/>
        <v>1.2263055349577716</v>
      </c>
      <c r="W831" s="304">
        <f t="shared" ca="1" si="352"/>
        <v>50.266827330217403</v>
      </c>
      <c r="Y831" s="314" t="str">
        <f t="shared" ca="1" si="370"/>
        <v/>
      </c>
      <c r="Z831" s="315" t="str">
        <f t="shared" ca="1" si="371"/>
        <v/>
      </c>
      <c r="AA831" s="316" t="str">
        <f t="shared" ca="1" si="372"/>
        <v/>
      </c>
      <c r="AC831" s="310" t="e">
        <f t="shared" ca="1" si="373"/>
        <v>#N/A</v>
      </c>
      <c r="AD831" s="323" t="e">
        <f t="shared" ca="1" si="374"/>
        <v>#N/A</v>
      </c>
      <c r="AE831" s="324" t="e">
        <f t="shared" ca="1" si="353"/>
        <v>#N/A</v>
      </c>
      <c r="AG831" s="306">
        <f t="shared" ca="1" si="375"/>
        <v>-8.8009681463393719E-2</v>
      </c>
      <c r="AH831" s="304">
        <f t="shared" ca="1" si="376"/>
        <v>-9.8891947591783467</v>
      </c>
    </row>
    <row r="832" spans="1:34" x14ac:dyDescent="0.2">
      <c r="A832" s="347">
        <f t="shared" ca="1" si="354"/>
        <v>1E-4</v>
      </c>
      <c r="B832" s="304">
        <f t="shared" ca="1" si="355"/>
        <v>44.602200000000394</v>
      </c>
      <c r="D832" s="306">
        <f t="shared" ca="1" si="356"/>
        <v>-0.41913105141399826</v>
      </c>
      <c r="E832" s="307">
        <f t="shared" ca="1" si="357"/>
        <v>7.0318726545488985E-2</v>
      </c>
      <c r="F832" s="304">
        <f t="shared" ca="1" si="358"/>
        <v>0.42498889581068222</v>
      </c>
      <c r="G832" s="306">
        <f t="shared" ca="1" si="359"/>
        <v>4.8969360043400636</v>
      </c>
      <c r="H832" s="307">
        <f t="shared" ca="1" si="360"/>
        <v>-115.43811776938985</v>
      </c>
      <c r="I832" s="304">
        <f t="shared" ca="1" si="361"/>
        <v>115.54193618063582</v>
      </c>
      <c r="J832" s="306">
        <f t="shared" ca="1" si="362"/>
        <v>976.66817413190017</v>
      </c>
      <c r="K832" s="307">
        <f t="shared" ca="1" si="363"/>
        <v>-10.663296024597448</v>
      </c>
      <c r="L832" s="304">
        <f t="shared" ca="1" si="348"/>
        <v>976.72638350985892</v>
      </c>
      <c r="M832" s="306">
        <f t="shared" ca="1" si="364"/>
        <v>-1.5284013022505951</v>
      </c>
      <c r="N832" s="304">
        <f t="shared" ca="1" si="365"/>
        <v>-87.570944021257986</v>
      </c>
      <c r="P832" s="310">
        <f t="shared" ca="1" si="366"/>
        <v>23</v>
      </c>
      <c r="Q832" s="304">
        <f t="shared" ca="1" si="367"/>
        <v>0</v>
      </c>
      <c r="R832" s="306">
        <f t="shared" ca="1" si="368"/>
        <v>0</v>
      </c>
      <c r="S832" s="307">
        <f t="shared" ca="1" si="369"/>
        <v>5.0829999999999913</v>
      </c>
      <c r="T832" s="304">
        <f t="shared" ca="1" si="349"/>
        <v>49.864229999999914</v>
      </c>
      <c r="U832" s="311">
        <f t="shared" ca="1" si="350"/>
        <v>0</v>
      </c>
      <c r="V832" s="306">
        <f t="shared" ca="1" si="351"/>
        <v>1.2263069505830613</v>
      </c>
      <c r="W832" s="304">
        <f t="shared" ca="1" si="352"/>
        <v>50.266877698728486</v>
      </c>
      <c r="Y832" s="314" t="str">
        <f t="shared" ca="1" si="370"/>
        <v/>
      </c>
      <c r="Z832" s="315" t="str">
        <f t="shared" ca="1" si="371"/>
        <v/>
      </c>
      <c r="AA832" s="316" t="str">
        <f t="shared" ca="1" si="372"/>
        <v/>
      </c>
      <c r="AC832" s="310" t="e">
        <f t="shared" ca="1" si="373"/>
        <v>#N/A</v>
      </c>
      <c r="AD832" s="323" t="e">
        <f t="shared" ca="1" si="374"/>
        <v>#N/A</v>
      </c>
      <c r="AE832" s="324" t="e">
        <f t="shared" ca="1" si="353"/>
        <v>#N/A</v>
      </c>
      <c r="AG832" s="306">
        <f t="shared" ca="1" si="375"/>
        <v>-8.8019441213733174E-2</v>
      </c>
      <c r="AH832" s="304">
        <f t="shared" ca="1" si="376"/>
        <v>-9.8892046685456396</v>
      </c>
    </row>
    <row r="833" spans="1:34" x14ac:dyDescent="0.2">
      <c r="A833" s="347">
        <f t="shared" ca="1" si="354"/>
        <v>1E-4</v>
      </c>
      <c r="B833" s="304">
        <f t="shared" ca="1" si="355"/>
        <v>44.602300000000398</v>
      </c>
      <c r="D833" s="306">
        <f t="shared" ca="1" si="356"/>
        <v>-0.41912791598665411</v>
      </c>
      <c r="E833" s="307">
        <f t="shared" ca="1" si="357"/>
        <v>7.0328777673459797E-2</v>
      </c>
      <c r="F833" s="304">
        <f t="shared" ca="1" si="358"/>
        <v>0.42498746678973809</v>
      </c>
      <c r="G833" s="306">
        <f t="shared" ca="1" si="359"/>
        <v>4.8968940915484653</v>
      </c>
      <c r="H833" s="307">
        <f t="shared" ca="1" si="360"/>
        <v>-115.43811073651209</v>
      </c>
      <c r="I833" s="304">
        <f t="shared" ca="1" si="361"/>
        <v>115.54192737772324</v>
      </c>
      <c r="J833" s="306">
        <f t="shared" ca="1" si="362"/>
        <v>976.66817413190017</v>
      </c>
      <c r="K833" s="307">
        <f t="shared" ca="1" si="363"/>
        <v>-10.674839836022743</v>
      </c>
      <c r="L833" s="304">
        <f t="shared" ca="1" si="348"/>
        <v>976.72650960627891</v>
      </c>
      <c r="M833" s="306">
        <f t="shared" ca="1" si="364"/>
        <v>-1.52840166209453</v>
      </c>
      <c r="N833" s="304">
        <f t="shared" ca="1" si="365"/>
        <v>-87.570964638796738</v>
      </c>
      <c r="P833" s="310">
        <f t="shared" ca="1" si="366"/>
        <v>23</v>
      </c>
      <c r="Q833" s="304">
        <f t="shared" ca="1" si="367"/>
        <v>0</v>
      </c>
      <c r="R833" s="306">
        <f t="shared" ca="1" si="368"/>
        <v>0</v>
      </c>
      <c r="S833" s="307">
        <f t="shared" ca="1" si="369"/>
        <v>5.0829999999999913</v>
      </c>
      <c r="T833" s="304">
        <f t="shared" ca="1" si="349"/>
        <v>49.864229999999914</v>
      </c>
      <c r="U833" s="311">
        <f t="shared" ca="1" si="350"/>
        <v>0</v>
      </c>
      <c r="V833" s="306">
        <f t="shared" ca="1" si="351"/>
        <v>1.2263083662098995</v>
      </c>
      <c r="W833" s="304">
        <f t="shared" ca="1" si="352"/>
        <v>50.26692806643679</v>
      </c>
      <c r="Y833" s="314" t="str">
        <f t="shared" ca="1" si="370"/>
        <v/>
      </c>
      <c r="Z833" s="315" t="str">
        <f t="shared" ca="1" si="371"/>
        <v/>
      </c>
      <c r="AA833" s="316" t="str">
        <f t="shared" ca="1" si="372"/>
        <v/>
      </c>
      <c r="AC833" s="310" t="e">
        <f t="shared" ca="1" si="373"/>
        <v>#N/A</v>
      </c>
      <c r="AD833" s="323" t="e">
        <f t="shared" ca="1" si="374"/>
        <v>#N/A</v>
      </c>
      <c r="AE833" s="324" t="e">
        <f t="shared" ca="1" si="353"/>
        <v>#N/A</v>
      </c>
      <c r="AG833" s="306">
        <f t="shared" ca="1" si="375"/>
        <v>-8.8029200808648511E-2</v>
      </c>
      <c r="AH833" s="304">
        <f t="shared" ca="1" si="376"/>
        <v>-9.8892145777549825</v>
      </c>
    </row>
    <row r="834" spans="1:34" x14ac:dyDescent="0.2">
      <c r="A834" s="347">
        <f t="shared" ca="1" si="354"/>
        <v>1E-4</v>
      </c>
      <c r="B834" s="304">
        <f t="shared" ca="1" si="355"/>
        <v>44.602400000000401</v>
      </c>
      <c r="D834" s="306">
        <f t="shared" ca="1" si="356"/>
        <v>-0.41912478057532621</v>
      </c>
      <c r="E834" s="307">
        <f t="shared" ca="1" si="357"/>
        <v>7.0338828641393292E-2</v>
      </c>
      <c r="F834" s="304">
        <f t="shared" ca="1" si="358"/>
        <v>0.42498603801414303</v>
      </c>
      <c r="G834" s="306">
        <f t="shared" ca="1" si="359"/>
        <v>4.8968521790704074</v>
      </c>
      <c r="H834" s="307">
        <f t="shared" ca="1" si="360"/>
        <v>-115.43810370262922</v>
      </c>
      <c r="I834" s="304">
        <f t="shared" ca="1" si="361"/>
        <v>115.54191857383469</v>
      </c>
      <c r="J834" s="306">
        <f t="shared" ca="1" si="362"/>
        <v>976.66817413190017</v>
      </c>
      <c r="K834" s="307">
        <f t="shared" ca="1" si="363"/>
        <v>-10.6863836467447</v>
      </c>
      <c r="L834" s="304">
        <f t="shared" ca="1" si="348"/>
        <v>976.7266358391098</v>
      </c>
      <c r="M834" s="306">
        <f t="shared" ca="1" si="364"/>
        <v>-1.5284020219354397</v>
      </c>
      <c r="N834" s="304">
        <f t="shared" ca="1" si="365"/>
        <v>-87.57098525616216</v>
      </c>
      <c r="P834" s="310">
        <f t="shared" ca="1" si="366"/>
        <v>23</v>
      </c>
      <c r="Q834" s="304">
        <f t="shared" ca="1" si="367"/>
        <v>0</v>
      </c>
      <c r="R834" s="306">
        <f t="shared" ca="1" si="368"/>
        <v>0</v>
      </c>
      <c r="S834" s="307">
        <f t="shared" ca="1" si="369"/>
        <v>5.0829999999999913</v>
      </c>
      <c r="T834" s="304">
        <f t="shared" ca="1" si="349"/>
        <v>49.864229999999914</v>
      </c>
      <c r="U834" s="311">
        <f t="shared" ca="1" si="350"/>
        <v>0</v>
      </c>
      <c r="V834" s="306">
        <f t="shared" ca="1" si="351"/>
        <v>1.2263097818382873</v>
      </c>
      <c r="W834" s="304">
        <f t="shared" ca="1" si="352"/>
        <v>50.266978433342317</v>
      </c>
      <c r="Y834" s="314" t="str">
        <f t="shared" ca="1" si="370"/>
        <v/>
      </c>
      <c r="Z834" s="315" t="str">
        <f t="shared" ca="1" si="371"/>
        <v/>
      </c>
      <c r="AA834" s="316" t="str">
        <f t="shared" ca="1" si="372"/>
        <v/>
      </c>
      <c r="AC834" s="310" t="e">
        <f t="shared" ca="1" si="373"/>
        <v>#N/A</v>
      </c>
      <c r="AD834" s="323" t="e">
        <f t="shared" ca="1" si="374"/>
        <v>#N/A</v>
      </c>
      <c r="AE834" s="324" t="e">
        <f t="shared" ca="1" si="353"/>
        <v>#N/A</v>
      </c>
      <c r="AG834" s="306">
        <f t="shared" ca="1" si="375"/>
        <v>-8.8038960248155718E-2</v>
      </c>
      <c r="AH834" s="304">
        <f t="shared" ca="1" si="376"/>
        <v>-9.8892244868063894</v>
      </c>
    </row>
    <row r="835" spans="1:34" x14ac:dyDescent="0.2">
      <c r="A835" s="347">
        <f t="shared" ca="1" si="354"/>
        <v>1E-4</v>
      </c>
      <c r="B835" s="304">
        <f t="shared" ca="1" si="355"/>
        <v>44.602500000000404</v>
      </c>
      <c r="D835" s="306">
        <f t="shared" ca="1" si="356"/>
        <v>-0.41912164518001499</v>
      </c>
      <c r="E835" s="307">
        <f t="shared" ca="1" si="357"/>
        <v>7.0348879449287693E-2</v>
      </c>
      <c r="F835" s="304">
        <f t="shared" ca="1" si="358"/>
        <v>0.424984609483888</v>
      </c>
      <c r="G835" s="306">
        <f t="shared" ca="1" si="359"/>
        <v>4.8968102669058897</v>
      </c>
      <c r="H835" s="307">
        <f t="shared" ca="1" si="360"/>
        <v>-115.43809666774128</v>
      </c>
      <c r="I835" s="304">
        <f t="shared" ca="1" si="361"/>
        <v>115.54190976897021</v>
      </c>
      <c r="J835" s="306">
        <f t="shared" ca="1" si="362"/>
        <v>976.66817413190017</v>
      </c>
      <c r="K835" s="307">
        <f t="shared" ca="1" si="363"/>
        <v>-10.697927456763217</v>
      </c>
      <c r="L835" s="304">
        <f t="shared" ca="1" si="348"/>
        <v>976.72676220835172</v>
      </c>
      <c r="M835" s="306">
        <f t="shared" ca="1" si="364"/>
        <v>-1.5284023817733245</v>
      </c>
      <c r="N835" s="304">
        <f t="shared" ca="1" si="365"/>
        <v>-87.571005873354281</v>
      </c>
      <c r="P835" s="310">
        <f t="shared" ca="1" si="366"/>
        <v>23</v>
      </c>
      <c r="Q835" s="304">
        <f t="shared" ca="1" si="367"/>
        <v>0</v>
      </c>
      <c r="R835" s="306">
        <f t="shared" ca="1" si="368"/>
        <v>0</v>
      </c>
      <c r="S835" s="307">
        <f t="shared" ca="1" si="369"/>
        <v>5.0829999999999913</v>
      </c>
      <c r="T835" s="304">
        <f t="shared" ca="1" si="349"/>
        <v>49.864229999999914</v>
      </c>
      <c r="U835" s="311">
        <f t="shared" ca="1" si="350"/>
        <v>0</v>
      </c>
      <c r="V835" s="306">
        <f t="shared" ca="1" si="351"/>
        <v>1.2263111974682235</v>
      </c>
      <c r="W835" s="304">
        <f t="shared" ca="1" si="352"/>
        <v>50.26702879944505</v>
      </c>
      <c r="Y835" s="314" t="str">
        <f t="shared" ca="1" si="370"/>
        <v/>
      </c>
      <c r="Z835" s="315" t="str">
        <f t="shared" ca="1" si="371"/>
        <v/>
      </c>
      <c r="AA835" s="316" t="str">
        <f t="shared" ca="1" si="372"/>
        <v/>
      </c>
      <c r="AC835" s="310" t="e">
        <f t="shared" ca="1" si="373"/>
        <v>#N/A</v>
      </c>
      <c r="AD835" s="323" t="e">
        <f t="shared" ca="1" si="374"/>
        <v>#N/A</v>
      </c>
      <c r="AE835" s="324" t="e">
        <f t="shared" ca="1" si="353"/>
        <v>#N/A</v>
      </c>
      <c r="AG835" s="306">
        <f t="shared" ca="1" si="375"/>
        <v>-8.8048719532253017E-2</v>
      </c>
      <c r="AH835" s="304">
        <f t="shared" ca="1" si="376"/>
        <v>-9.8892343956998623</v>
      </c>
    </row>
    <row r="836" spans="1:34" x14ac:dyDescent="0.2">
      <c r="A836" s="347">
        <f t="shared" ca="1" si="354"/>
        <v>1E-4</v>
      </c>
      <c r="B836" s="304">
        <f t="shared" ca="1" si="355"/>
        <v>44.602600000000407</v>
      </c>
      <c r="D836" s="306">
        <f t="shared" ca="1" si="356"/>
        <v>-0.4191185098007183</v>
      </c>
      <c r="E836" s="307">
        <f t="shared" ca="1" si="357"/>
        <v>7.0358930097144778E-2</v>
      </c>
      <c r="F836" s="304">
        <f t="shared" ca="1" si="358"/>
        <v>0.42498318119896189</v>
      </c>
      <c r="G836" s="306">
        <f t="shared" ca="1" si="359"/>
        <v>4.8967683550549097</v>
      </c>
      <c r="H836" s="307">
        <f t="shared" ca="1" si="360"/>
        <v>-115.43808963184827</v>
      </c>
      <c r="I836" s="304">
        <f t="shared" ca="1" si="361"/>
        <v>115.54190096312983</v>
      </c>
      <c r="J836" s="306">
        <f t="shared" ca="1" si="362"/>
        <v>976.66817413190017</v>
      </c>
      <c r="K836" s="307">
        <f t="shared" ca="1" si="363"/>
        <v>-10.709471266078197</v>
      </c>
      <c r="L836" s="304">
        <f t="shared" ref="L836:L899" ca="1" si="377">SQRT(pos_x^2+pos_z^2)</f>
        <v>976.72688871400419</v>
      </c>
      <c r="M836" s="306">
        <f t="shared" ca="1" si="364"/>
        <v>-1.5284027416081842</v>
      </c>
      <c r="N836" s="304">
        <f t="shared" ca="1" si="365"/>
        <v>-87.571026490373058</v>
      </c>
      <c r="P836" s="310">
        <f t="shared" ca="1" si="366"/>
        <v>23</v>
      </c>
      <c r="Q836" s="304">
        <f t="shared" ca="1" si="367"/>
        <v>0</v>
      </c>
      <c r="R836" s="306">
        <f t="shared" ca="1" si="368"/>
        <v>0</v>
      </c>
      <c r="S836" s="307">
        <f t="shared" ca="1" si="369"/>
        <v>5.0829999999999913</v>
      </c>
      <c r="T836" s="304">
        <f t="shared" ref="T836:T899" ca="1" si="378">m*g</f>
        <v>49.864229999999914</v>
      </c>
      <c r="U836" s="311">
        <f t="shared" ref="U836:U899" ca="1" si="379">IF(pos_xz&lt;L_rampe,Poids*COS(Beta),0)</f>
        <v>0</v>
      </c>
      <c r="V836" s="306">
        <f t="shared" ref="V836:V899" ca="1" si="380">Rho_moyen*(20000-Alt_rampe-pos_z)/(20000+Alt_rampe+pos_z)</f>
        <v>1.2263126130997082</v>
      </c>
      <c r="W836" s="304">
        <f t="shared" ref="W836:W899" ca="1" si="381">1/2*Rho*Sref*Cx*vit_xz^2</f>
        <v>50.267079164744999</v>
      </c>
      <c r="Y836" s="314" t="str">
        <f t="shared" ca="1" si="370"/>
        <v/>
      </c>
      <c r="Z836" s="315" t="str">
        <f t="shared" ca="1" si="371"/>
        <v/>
      </c>
      <c r="AA836" s="316" t="str">
        <f t="shared" ca="1" si="372"/>
        <v/>
      </c>
      <c r="AC836" s="310" t="e">
        <f t="shared" ca="1" si="373"/>
        <v>#N/A</v>
      </c>
      <c r="AD836" s="323" t="e">
        <f t="shared" ca="1" si="374"/>
        <v>#N/A</v>
      </c>
      <c r="AE836" s="324" t="e">
        <f t="shared" ref="AE836:AE899" ca="1" si="382">IF(t&lt;T_para, pos_z, NA())</f>
        <v>#N/A</v>
      </c>
      <c r="AG836" s="306">
        <f t="shared" ca="1" si="375"/>
        <v>-8.8058478660943962E-2</v>
      </c>
      <c r="AH836" s="304">
        <f t="shared" ca="1" si="376"/>
        <v>-9.8892443044353993</v>
      </c>
    </row>
    <row r="837" spans="1:34" x14ac:dyDescent="0.2">
      <c r="A837" s="347">
        <f t="shared" ref="A837:A900" ca="1" si="383">IF(B836+0.01&lt;=T_ini+ROUNDUP(Temps_fin_propu,0), 0.01, IF(K836&gt;0, 0.1, 0.0001))</f>
        <v>1E-4</v>
      </c>
      <c r="B837" s="304">
        <f t="shared" ref="B837:B900" ca="1" si="384">B836+pas</f>
        <v>44.602700000000411</v>
      </c>
      <c r="D837" s="306">
        <f t="shared" ref="D837:D900" ca="1" si="385">IF(AND(L836&lt;L_rampe,Poussee&lt;Poids*SIN(M836)),0,(-W836+Poussee)/m*COS(M836)-U836/m*SIN(M836))</f>
        <v>-0.41911537443743863</v>
      </c>
      <c r="E837" s="307">
        <f t="shared" ref="E837:E900" ca="1" si="386">IF(AND(L836&lt;L_rampe,Poussee&lt;Poids*SIN(M836)),0,(-W836+Poussee)/m*SIN(M836)+U836/m*COS(M836)-Poids/m)</f>
        <v>7.036898058496277E-2</v>
      </c>
      <c r="F837" s="304">
        <f t="shared" ref="F837:F900" ca="1" si="387">SQRT(acc_x^2+acc_z^2)</f>
        <v>0.42498175315935771</v>
      </c>
      <c r="G837" s="306">
        <f t="shared" ref="G837:G900" ca="1" si="388">G836+acc_x*pas</f>
        <v>4.8967264435174656</v>
      </c>
      <c r="H837" s="307">
        <f t="shared" ref="H837:H900" ca="1" si="389">H836+acc_z*pas</f>
        <v>-115.43808259495022</v>
      </c>
      <c r="I837" s="304">
        <f t="shared" ref="I837:I900" ca="1" si="390">SQRT(vit_x^2+vit_z^2)</f>
        <v>115.54189215631355</v>
      </c>
      <c r="J837" s="306">
        <f t="shared" ref="J837:J900" ca="1" si="391">J836+0.5*(vit_x+G836)*pas*(K836&gt;=0)</f>
        <v>976.66817413190017</v>
      </c>
      <c r="K837" s="307">
        <f t="shared" ref="K837:K900" ca="1" si="392">K836+0.5*(vit_z+H836)*pas</f>
        <v>-10.721015074689536</v>
      </c>
      <c r="L837" s="304">
        <f t="shared" ca="1" si="377"/>
        <v>976.72701535606734</v>
      </c>
      <c r="M837" s="306">
        <f t="shared" ref="M837:M900" ca="1" si="393">IF(AND(L836&gt;L_rampe,G837&gt;0),ATAN2(G837,H837),$M$4)</f>
        <v>-1.5284031014400192</v>
      </c>
      <c r="N837" s="304">
        <f t="shared" ref="N837:N900" ca="1" si="394">DEGREES(Beta)</f>
        <v>-87.571047107218533</v>
      </c>
      <c r="P837" s="310">
        <f t="shared" ref="P837:P900" ca="1" si="395">MATCH(t-pas/2-T_ini,CdP_t)</f>
        <v>23</v>
      </c>
      <c r="Q837" s="304">
        <f t="shared" ref="Q837:Q900" ca="1" si="396">(INDEX(CdP,2,i_P+1)-INDEX(CdP,2,i_P+0))/(INDEX(CdP,1,i_P+1)-INDEX(CdP,1,i_P+0))*(t-pas/2-T_ini-INDEX(CdP,1,i_P+0))+INDEX(CdP,2,i_P+0)</f>
        <v>0</v>
      </c>
      <c r="R837" s="306">
        <f t="shared" ref="R837:R900" ca="1" si="397">Poussee/(g*ISP)</f>
        <v>0</v>
      </c>
      <c r="S837" s="307">
        <f t="shared" ref="S837:S900" ca="1" si="398">S836-Débit*pas</f>
        <v>5.0829999999999913</v>
      </c>
      <c r="T837" s="304">
        <f t="shared" ca="1" si="378"/>
        <v>49.864229999999914</v>
      </c>
      <c r="U837" s="311">
        <f t="shared" ca="1" si="379"/>
        <v>0</v>
      </c>
      <c r="V837" s="306">
        <f t="shared" ca="1" si="380"/>
        <v>1.2263140287327423</v>
      </c>
      <c r="W837" s="304">
        <f t="shared" ca="1" si="381"/>
        <v>50.267129529242219</v>
      </c>
      <c r="Y837" s="314" t="str">
        <f t="shared" ref="Y837:Y900" ca="1" si="399">IF(AND(pos_z&lt;=0,K836&gt;0),"Impact balistique","") &amp; IF(AND(H838&lt;0,vit_z&gt;=0),"Apogée","") &amp; IF(AND(Poussee=0,Q836&gt;0),"Fin de propulsion","") &amp; IF(AND(L838&gt;L_rampe,pos_xz&lt;=L_rampe),"Sortie de rampe","")</f>
        <v/>
      </c>
      <c r="Z837" s="315" t="str">
        <f t="shared" ref="Z837:Z900" ca="1" si="400">IF(ABS(t-T_para)&lt;pas/2,"Para","")</f>
        <v/>
      </c>
      <c r="AA837" s="316" t="str">
        <f t="shared" ref="AA837:AA900" ca="1" si="401">IF(ABS(t-T_satellite)&lt;pas/2,"Satellite","")</f>
        <v/>
      </c>
      <c r="AC837" s="310" t="e">
        <f t="shared" ref="AC837:AC900" ca="1" si="402">IF(ABS(t-ROUND(t,0))&lt;0.001,t,NA())</f>
        <v>#N/A</v>
      </c>
      <c r="AD837" s="323" t="e">
        <f t="shared" ref="AD837:AD900" ca="1" si="403">IF(ABS(t-ROUND(t,0))&lt;0.001,pos_x,NA())</f>
        <v>#N/A</v>
      </c>
      <c r="AE837" s="324" t="e">
        <f t="shared" ca="1" si="382"/>
        <v>#N/A</v>
      </c>
      <c r="AG837" s="306">
        <f t="shared" ref="AG837:AG900" ca="1" si="404">IF(AND(L836&lt;L_rampe,Poussee&lt;Poids*SIN(M836)),0,(-W836+Poussee)/m-Poids*SIN(M836)/m)</f>
        <v>-8.8068237634223223E-2</v>
      </c>
      <c r="AH837" s="304">
        <f t="shared" ref="AH837:AH900" ca="1" si="405">IF(AND(L836&lt;L_rampe,Poussee&lt;Poids*SIN(M836)), g*SIN(M836), (-W836+Poussee)/m)</f>
        <v>-9.8892542130130003</v>
      </c>
    </row>
    <row r="838" spans="1:34" x14ac:dyDescent="0.2">
      <c r="A838" s="347">
        <f t="shared" ca="1" si="383"/>
        <v>1E-4</v>
      </c>
      <c r="B838" s="304">
        <f t="shared" ca="1" si="384"/>
        <v>44.602800000000414</v>
      </c>
      <c r="D838" s="306">
        <f t="shared" ca="1" si="385"/>
        <v>-0.41911223909017253</v>
      </c>
      <c r="E838" s="307">
        <f t="shared" ca="1" si="386"/>
        <v>7.0379030912754104E-2</v>
      </c>
      <c r="F838" s="304">
        <f t="shared" ca="1" si="387"/>
        <v>0.4249803253650648</v>
      </c>
      <c r="G838" s="306">
        <f t="shared" ca="1" si="388"/>
        <v>4.8966845322935564</v>
      </c>
      <c r="H838" s="307">
        <f t="shared" ca="1" si="389"/>
        <v>-115.43807555704713</v>
      </c>
      <c r="I838" s="304">
        <f t="shared" ca="1" si="390"/>
        <v>115.5418833485214</v>
      </c>
      <c r="J838" s="306">
        <f t="shared" ca="1" si="391"/>
        <v>976.66817413190017</v>
      </c>
      <c r="K838" s="307">
        <f t="shared" ca="1" si="392"/>
        <v>-10.732558882597136</v>
      </c>
      <c r="L838" s="304">
        <f t="shared" ca="1" si="377"/>
        <v>976.72714213454117</v>
      </c>
      <c r="M838" s="306">
        <f t="shared" ca="1" si="393"/>
        <v>-1.5284034612688291</v>
      </c>
      <c r="N838" s="304">
        <f t="shared" ca="1" si="394"/>
        <v>-87.571067723890692</v>
      </c>
      <c r="P838" s="310">
        <f t="shared" ca="1" si="395"/>
        <v>23</v>
      </c>
      <c r="Q838" s="304">
        <f t="shared" ca="1" si="396"/>
        <v>0</v>
      </c>
      <c r="R838" s="306">
        <f t="shared" ca="1" si="397"/>
        <v>0</v>
      </c>
      <c r="S838" s="307">
        <f t="shared" ca="1" si="398"/>
        <v>5.0829999999999913</v>
      </c>
      <c r="T838" s="304">
        <f t="shared" ca="1" si="378"/>
        <v>49.864229999999914</v>
      </c>
      <c r="U838" s="311">
        <f t="shared" ca="1" si="379"/>
        <v>0</v>
      </c>
      <c r="V838" s="306">
        <f t="shared" ca="1" si="380"/>
        <v>1.226315444367325</v>
      </c>
      <c r="W838" s="304">
        <f t="shared" ca="1" si="381"/>
        <v>50.267179892936682</v>
      </c>
      <c r="Y838" s="314" t="str">
        <f t="shared" ca="1" si="399"/>
        <v/>
      </c>
      <c r="Z838" s="315" t="str">
        <f t="shared" ca="1" si="400"/>
        <v/>
      </c>
      <c r="AA838" s="316" t="str">
        <f t="shared" ca="1" si="401"/>
        <v/>
      </c>
      <c r="AC838" s="310" t="e">
        <f t="shared" ca="1" si="402"/>
        <v>#N/A</v>
      </c>
      <c r="AD838" s="323" t="e">
        <f t="shared" ca="1" si="403"/>
        <v>#N/A</v>
      </c>
      <c r="AE838" s="324" t="e">
        <f t="shared" ca="1" si="382"/>
        <v>#N/A</v>
      </c>
      <c r="AG838" s="306">
        <f t="shared" ca="1" si="404"/>
        <v>-8.8077996452108565E-2</v>
      </c>
      <c r="AH838" s="304">
        <f t="shared" ca="1" si="405"/>
        <v>-9.889264121432678</v>
      </c>
    </row>
    <row r="839" spans="1:34" x14ac:dyDescent="0.2">
      <c r="A839" s="347">
        <f t="shared" ca="1" si="383"/>
        <v>1E-4</v>
      </c>
      <c r="B839" s="304">
        <f t="shared" ca="1" si="384"/>
        <v>44.602900000000417</v>
      </c>
      <c r="D839" s="306">
        <f t="shared" ca="1" si="385"/>
        <v>-0.41910910375892424</v>
      </c>
      <c r="E839" s="307">
        <f t="shared" ca="1" si="386"/>
        <v>7.0389081080513449E-2</v>
      </c>
      <c r="F839" s="304">
        <f t="shared" ca="1" si="387"/>
        <v>0.42497889781607723</v>
      </c>
      <c r="G839" s="306">
        <f t="shared" ca="1" si="388"/>
        <v>4.8966426213831804</v>
      </c>
      <c r="H839" s="307">
        <f t="shared" ca="1" si="389"/>
        <v>-115.43806851813902</v>
      </c>
      <c r="I839" s="304">
        <f t="shared" ca="1" si="390"/>
        <v>115.54187453975335</v>
      </c>
      <c r="J839" s="306">
        <f t="shared" ca="1" si="391"/>
        <v>976.66817413190017</v>
      </c>
      <c r="K839" s="307">
        <f t="shared" ca="1" si="392"/>
        <v>-10.744102689800895</v>
      </c>
      <c r="L839" s="304">
        <f t="shared" ca="1" si="377"/>
        <v>976.72726904942544</v>
      </c>
      <c r="M839" s="306">
        <f t="shared" ca="1" si="393"/>
        <v>-1.528403821094614</v>
      </c>
      <c r="N839" s="304">
        <f t="shared" ca="1" si="394"/>
        <v>-87.571088340389522</v>
      </c>
      <c r="P839" s="310">
        <f t="shared" ca="1" si="395"/>
        <v>23</v>
      </c>
      <c r="Q839" s="304">
        <f t="shared" ca="1" si="396"/>
        <v>0</v>
      </c>
      <c r="R839" s="306">
        <f t="shared" ca="1" si="397"/>
        <v>0</v>
      </c>
      <c r="S839" s="307">
        <f t="shared" ca="1" si="398"/>
        <v>5.0829999999999913</v>
      </c>
      <c r="T839" s="304">
        <f t="shared" ca="1" si="378"/>
        <v>49.864229999999914</v>
      </c>
      <c r="U839" s="311">
        <f t="shared" ca="1" si="379"/>
        <v>0</v>
      </c>
      <c r="V839" s="306">
        <f t="shared" ca="1" si="380"/>
        <v>1.226316860003456</v>
      </c>
      <c r="W839" s="304">
        <f t="shared" ca="1" si="381"/>
        <v>50.26723025582838</v>
      </c>
      <c r="Y839" s="314" t="str">
        <f t="shared" ca="1" si="399"/>
        <v/>
      </c>
      <c r="Z839" s="315" t="str">
        <f t="shared" ca="1" si="400"/>
        <v/>
      </c>
      <c r="AA839" s="316" t="str">
        <f t="shared" ca="1" si="401"/>
        <v/>
      </c>
      <c r="AC839" s="310" t="e">
        <f t="shared" ca="1" si="402"/>
        <v>#N/A</v>
      </c>
      <c r="AD839" s="323" t="e">
        <f t="shared" ca="1" si="403"/>
        <v>#N/A</v>
      </c>
      <c r="AE839" s="324" t="e">
        <f t="shared" ca="1" si="382"/>
        <v>#N/A</v>
      </c>
      <c r="AG839" s="306">
        <f t="shared" ca="1" si="404"/>
        <v>-8.8087755114591104E-2</v>
      </c>
      <c r="AH839" s="304">
        <f t="shared" ca="1" si="405"/>
        <v>-9.8892740296944268</v>
      </c>
    </row>
    <row r="840" spans="1:34" x14ac:dyDescent="0.2">
      <c r="A840" s="347">
        <f t="shared" ca="1" si="383"/>
        <v>1E-4</v>
      </c>
      <c r="B840" s="304">
        <f t="shared" ca="1" si="384"/>
        <v>44.603000000000421</v>
      </c>
      <c r="D840" s="306">
        <f t="shared" ca="1" si="385"/>
        <v>-0.41910596844369175</v>
      </c>
      <c r="E840" s="307">
        <f t="shared" ca="1" si="386"/>
        <v>7.0399131088237255E-2</v>
      </c>
      <c r="F840" s="304">
        <f t="shared" ca="1" si="387"/>
        <v>0.42497747051238322</v>
      </c>
      <c r="G840" s="306">
        <f t="shared" ca="1" si="388"/>
        <v>4.8966007107863359</v>
      </c>
      <c r="H840" s="307">
        <f t="shared" ca="1" si="389"/>
        <v>-115.4380614782259</v>
      </c>
      <c r="I840" s="304">
        <f t="shared" ca="1" si="390"/>
        <v>115.54186573000946</v>
      </c>
      <c r="J840" s="306">
        <f t="shared" ca="1" si="391"/>
        <v>976.66817413190017</v>
      </c>
      <c r="K840" s="307">
        <f t="shared" ca="1" si="392"/>
        <v>-10.755646496300713</v>
      </c>
      <c r="L840" s="304">
        <f t="shared" ca="1" si="377"/>
        <v>976.72739610072017</v>
      </c>
      <c r="M840" s="306">
        <f t="shared" ca="1" si="393"/>
        <v>-1.5284041809173741</v>
      </c>
      <c r="N840" s="304">
        <f t="shared" ca="1" si="394"/>
        <v>-87.571108956715051</v>
      </c>
      <c r="P840" s="310">
        <f t="shared" ca="1" si="395"/>
        <v>23</v>
      </c>
      <c r="Q840" s="304">
        <f t="shared" ca="1" si="396"/>
        <v>0</v>
      </c>
      <c r="R840" s="306">
        <f t="shared" ca="1" si="397"/>
        <v>0</v>
      </c>
      <c r="S840" s="307">
        <f t="shared" ca="1" si="398"/>
        <v>5.0829999999999913</v>
      </c>
      <c r="T840" s="304">
        <f t="shared" ca="1" si="378"/>
        <v>49.864229999999914</v>
      </c>
      <c r="U840" s="311">
        <f t="shared" ca="1" si="379"/>
        <v>0</v>
      </c>
      <c r="V840" s="306">
        <f t="shared" ca="1" si="380"/>
        <v>1.2263182756411359</v>
      </c>
      <c r="W840" s="304">
        <f t="shared" ca="1" si="381"/>
        <v>50.267280617917351</v>
      </c>
      <c r="Y840" s="314" t="str">
        <f t="shared" ca="1" si="399"/>
        <v/>
      </c>
      <c r="Z840" s="315" t="str">
        <f t="shared" ca="1" si="400"/>
        <v/>
      </c>
      <c r="AA840" s="316" t="str">
        <f t="shared" ca="1" si="401"/>
        <v/>
      </c>
      <c r="AC840" s="310" t="e">
        <f t="shared" ca="1" si="402"/>
        <v>#N/A</v>
      </c>
      <c r="AD840" s="323" t="e">
        <f t="shared" ca="1" si="403"/>
        <v>#N/A</v>
      </c>
      <c r="AE840" s="324" t="e">
        <f t="shared" ca="1" si="382"/>
        <v>#N/A</v>
      </c>
      <c r="AG840" s="306">
        <f t="shared" ca="1" si="404"/>
        <v>-8.8097513621667289E-2</v>
      </c>
      <c r="AH840" s="304">
        <f t="shared" ca="1" si="405"/>
        <v>-9.8892839377982433</v>
      </c>
    </row>
    <row r="841" spans="1:34" x14ac:dyDescent="0.2">
      <c r="A841" s="347">
        <f t="shared" ca="1" si="383"/>
        <v>1E-4</v>
      </c>
      <c r="B841" s="304">
        <f t="shared" ca="1" si="384"/>
        <v>44.603100000000424</v>
      </c>
      <c r="D841" s="306">
        <f t="shared" ca="1" si="385"/>
        <v>-0.41910283314447561</v>
      </c>
      <c r="E841" s="307">
        <f t="shared" ca="1" si="386"/>
        <v>7.0409180935932625E-2</v>
      </c>
      <c r="F841" s="304">
        <f t="shared" ca="1" si="387"/>
        <v>0.42497604345397522</v>
      </c>
      <c r="G841" s="306">
        <f t="shared" ca="1" si="388"/>
        <v>4.8965588005030218</v>
      </c>
      <c r="H841" s="307">
        <f t="shared" ca="1" si="389"/>
        <v>-115.43805443730781</v>
      </c>
      <c r="I841" s="304">
        <f t="shared" ca="1" si="390"/>
        <v>115.54185691928976</v>
      </c>
      <c r="J841" s="306">
        <f t="shared" ca="1" si="391"/>
        <v>976.66817413190017</v>
      </c>
      <c r="K841" s="307">
        <f t="shared" ca="1" si="392"/>
        <v>-10.767190302096489</v>
      </c>
      <c r="L841" s="304">
        <f t="shared" ca="1" si="377"/>
        <v>976.72752328842523</v>
      </c>
      <c r="M841" s="306">
        <f t="shared" ca="1" si="393"/>
        <v>-1.5284045407371092</v>
      </c>
      <c r="N841" s="304">
        <f t="shared" ca="1" si="394"/>
        <v>-87.571129572867264</v>
      </c>
      <c r="P841" s="310">
        <f t="shared" ca="1" si="395"/>
        <v>23</v>
      </c>
      <c r="Q841" s="304">
        <f t="shared" ca="1" si="396"/>
        <v>0</v>
      </c>
      <c r="R841" s="306">
        <f t="shared" ca="1" si="397"/>
        <v>0</v>
      </c>
      <c r="S841" s="307">
        <f t="shared" ca="1" si="398"/>
        <v>5.0829999999999913</v>
      </c>
      <c r="T841" s="304">
        <f t="shared" ca="1" si="378"/>
        <v>49.864229999999914</v>
      </c>
      <c r="U841" s="311">
        <f t="shared" ca="1" si="379"/>
        <v>0</v>
      </c>
      <c r="V841" s="306">
        <f t="shared" ca="1" si="380"/>
        <v>1.2263196912803647</v>
      </c>
      <c r="W841" s="304">
        <f t="shared" ca="1" si="381"/>
        <v>50.267330979203628</v>
      </c>
      <c r="Y841" s="314" t="str">
        <f t="shared" ca="1" si="399"/>
        <v/>
      </c>
      <c r="Z841" s="315" t="str">
        <f t="shared" ca="1" si="400"/>
        <v/>
      </c>
      <c r="AA841" s="316" t="str">
        <f t="shared" ca="1" si="401"/>
        <v/>
      </c>
      <c r="AC841" s="310" t="e">
        <f t="shared" ca="1" si="402"/>
        <v>#N/A</v>
      </c>
      <c r="AD841" s="323" t="e">
        <f t="shared" ca="1" si="403"/>
        <v>#N/A</v>
      </c>
      <c r="AE841" s="324" t="e">
        <f t="shared" ca="1" si="382"/>
        <v>#N/A</v>
      </c>
      <c r="AG841" s="306">
        <f t="shared" ca="1" si="404"/>
        <v>-8.8107271973346002E-2</v>
      </c>
      <c r="AH841" s="304">
        <f t="shared" ca="1" si="405"/>
        <v>-9.8892938457441346</v>
      </c>
    </row>
    <row r="842" spans="1:34" x14ac:dyDescent="0.2">
      <c r="A842" s="347">
        <f t="shared" ca="1" si="383"/>
        <v>1E-4</v>
      </c>
      <c r="B842" s="304">
        <f t="shared" ca="1" si="384"/>
        <v>44.603200000000427</v>
      </c>
      <c r="D842" s="306">
        <f t="shared" ca="1" si="385"/>
        <v>-0.41909969786127649</v>
      </c>
      <c r="E842" s="307">
        <f t="shared" ca="1" si="386"/>
        <v>7.0419230623610218E-2</v>
      </c>
      <c r="F842" s="304">
        <f t="shared" ca="1" si="387"/>
        <v>0.42497461664084651</v>
      </c>
      <c r="G842" s="306">
        <f t="shared" ca="1" si="388"/>
        <v>4.8965168905332357</v>
      </c>
      <c r="H842" s="307">
        <f t="shared" ca="1" si="389"/>
        <v>-115.43804739538476</v>
      </c>
      <c r="I842" s="304">
        <f t="shared" ca="1" si="390"/>
        <v>115.54184810759422</v>
      </c>
      <c r="J842" s="306">
        <f t="shared" ca="1" si="391"/>
        <v>976.66817413190017</v>
      </c>
      <c r="K842" s="307">
        <f t="shared" ca="1" si="392"/>
        <v>-10.778734107188123</v>
      </c>
      <c r="L842" s="304">
        <f t="shared" ca="1" si="377"/>
        <v>976.72765061254063</v>
      </c>
      <c r="M842" s="306">
        <f t="shared" ca="1" si="393"/>
        <v>-1.5284049005538194</v>
      </c>
      <c r="N842" s="304">
        <f t="shared" ca="1" si="394"/>
        <v>-87.571150188846147</v>
      </c>
      <c r="P842" s="310">
        <f t="shared" ca="1" si="395"/>
        <v>23</v>
      </c>
      <c r="Q842" s="304">
        <f t="shared" ca="1" si="396"/>
        <v>0</v>
      </c>
      <c r="R842" s="306">
        <f t="shared" ca="1" si="397"/>
        <v>0</v>
      </c>
      <c r="S842" s="307">
        <f t="shared" ca="1" si="398"/>
        <v>5.0829999999999913</v>
      </c>
      <c r="T842" s="304">
        <f t="shared" ca="1" si="378"/>
        <v>49.864229999999914</v>
      </c>
      <c r="U842" s="311">
        <f t="shared" ca="1" si="379"/>
        <v>0</v>
      </c>
      <c r="V842" s="306">
        <f t="shared" ca="1" si="380"/>
        <v>1.2263211069211424</v>
      </c>
      <c r="W842" s="304">
        <f t="shared" ca="1" si="381"/>
        <v>50.267381339687191</v>
      </c>
      <c r="Y842" s="314" t="str">
        <f t="shared" ca="1" si="399"/>
        <v/>
      </c>
      <c r="Z842" s="315" t="str">
        <f t="shared" ca="1" si="400"/>
        <v/>
      </c>
      <c r="AA842" s="316" t="str">
        <f t="shared" ca="1" si="401"/>
        <v/>
      </c>
      <c r="AC842" s="310" t="e">
        <f t="shared" ca="1" si="402"/>
        <v>#N/A</v>
      </c>
      <c r="AD842" s="323" t="e">
        <f t="shared" ca="1" si="403"/>
        <v>#N/A</v>
      </c>
      <c r="AE842" s="324" t="e">
        <f t="shared" ca="1" si="382"/>
        <v>#N/A</v>
      </c>
      <c r="AG842" s="306">
        <f t="shared" ca="1" si="404"/>
        <v>-8.8117030169632571E-2</v>
      </c>
      <c r="AH842" s="304">
        <f t="shared" ca="1" si="405"/>
        <v>-9.8893037535321096</v>
      </c>
    </row>
    <row r="843" spans="1:34" x14ac:dyDescent="0.2">
      <c r="A843" s="347">
        <f t="shared" ca="1" si="383"/>
        <v>1E-4</v>
      </c>
      <c r="B843" s="304">
        <f t="shared" ca="1" si="384"/>
        <v>44.603300000000431</v>
      </c>
      <c r="D843" s="306">
        <f t="shared" ca="1" si="385"/>
        <v>-0.41909656259409445</v>
      </c>
      <c r="E843" s="307">
        <f t="shared" ca="1" si="386"/>
        <v>7.042928015126293E-2</v>
      </c>
      <c r="F843" s="304">
        <f t="shared" ca="1" si="387"/>
        <v>0.42497319007298662</v>
      </c>
      <c r="G843" s="306">
        <f t="shared" ca="1" si="388"/>
        <v>4.8964749808769765</v>
      </c>
      <c r="H843" s="307">
        <f t="shared" ca="1" si="389"/>
        <v>-115.43804035245674</v>
      </c>
      <c r="I843" s="304">
        <f t="shared" ca="1" si="390"/>
        <v>115.54183929492288</v>
      </c>
      <c r="J843" s="306">
        <f t="shared" ca="1" si="391"/>
        <v>976.66817413190017</v>
      </c>
      <c r="K843" s="307">
        <f t="shared" ca="1" si="392"/>
        <v>-10.790277911575515</v>
      </c>
      <c r="L843" s="304">
        <f t="shared" ca="1" si="377"/>
        <v>976.72777807306613</v>
      </c>
      <c r="M843" s="306">
        <f t="shared" ca="1" si="393"/>
        <v>-1.5284052603675049</v>
      </c>
      <c r="N843" s="304">
        <f t="shared" ca="1" si="394"/>
        <v>-87.571170804651743</v>
      </c>
      <c r="P843" s="310">
        <f t="shared" ca="1" si="395"/>
        <v>23</v>
      </c>
      <c r="Q843" s="304">
        <f t="shared" ca="1" si="396"/>
        <v>0</v>
      </c>
      <c r="R843" s="306">
        <f t="shared" ca="1" si="397"/>
        <v>0</v>
      </c>
      <c r="S843" s="307">
        <f t="shared" ca="1" si="398"/>
        <v>5.0829999999999913</v>
      </c>
      <c r="T843" s="304">
        <f t="shared" ca="1" si="378"/>
        <v>49.864229999999914</v>
      </c>
      <c r="U843" s="311">
        <f t="shared" ca="1" si="379"/>
        <v>0</v>
      </c>
      <c r="V843" s="306">
        <f t="shared" ca="1" si="380"/>
        <v>1.2263225225634684</v>
      </c>
      <c r="W843" s="304">
        <f t="shared" ca="1" si="381"/>
        <v>50.267431699368046</v>
      </c>
      <c r="Y843" s="314" t="str">
        <f t="shared" ca="1" si="399"/>
        <v/>
      </c>
      <c r="Z843" s="315" t="str">
        <f t="shared" ca="1" si="400"/>
        <v/>
      </c>
      <c r="AA843" s="316" t="str">
        <f t="shared" ca="1" si="401"/>
        <v/>
      </c>
      <c r="AC843" s="310" t="e">
        <f t="shared" ca="1" si="402"/>
        <v>#N/A</v>
      </c>
      <c r="AD843" s="323" t="e">
        <f t="shared" ca="1" si="403"/>
        <v>#N/A</v>
      </c>
      <c r="AE843" s="324" t="e">
        <f t="shared" ca="1" si="382"/>
        <v>#N/A</v>
      </c>
      <c r="AG843" s="306">
        <f t="shared" ca="1" si="404"/>
        <v>-8.812678821052522E-2</v>
      </c>
      <c r="AH843" s="304">
        <f t="shared" ca="1" si="405"/>
        <v>-9.8893136611621628</v>
      </c>
    </row>
    <row r="844" spans="1:34" x14ac:dyDescent="0.2">
      <c r="A844" s="347">
        <f t="shared" ca="1" si="383"/>
        <v>1E-4</v>
      </c>
      <c r="B844" s="304">
        <f t="shared" ca="1" si="384"/>
        <v>44.603400000000434</v>
      </c>
      <c r="D844" s="306">
        <f t="shared" ca="1" si="385"/>
        <v>-0.41909342734292759</v>
      </c>
      <c r="E844" s="307">
        <f t="shared" ca="1" si="386"/>
        <v>7.0439329518894311E-2</v>
      </c>
      <c r="F844" s="304">
        <f t="shared" ca="1" si="387"/>
        <v>0.42497176375038509</v>
      </c>
      <c r="G844" s="306">
        <f t="shared" ca="1" si="388"/>
        <v>4.8964330715342426</v>
      </c>
      <c r="H844" s="307">
        <f t="shared" ca="1" si="389"/>
        <v>-115.43803330852379</v>
      </c>
      <c r="I844" s="304">
        <f t="shared" ca="1" si="390"/>
        <v>115.54183048127575</v>
      </c>
      <c r="J844" s="306">
        <f t="shared" ca="1" si="391"/>
        <v>976.66817413190017</v>
      </c>
      <c r="K844" s="307">
        <f t="shared" ca="1" si="392"/>
        <v>-10.801821715258564</v>
      </c>
      <c r="L844" s="304">
        <f t="shared" ca="1" si="377"/>
        <v>976.72790567000186</v>
      </c>
      <c r="M844" s="306">
        <f t="shared" ca="1" si="393"/>
        <v>-1.5284056201781657</v>
      </c>
      <c r="N844" s="304">
        <f t="shared" ca="1" si="394"/>
        <v>-87.571191420284023</v>
      </c>
      <c r="P844" s="310">
        <f t="shared" ca="1" si="395"/>
        <v>23</v>
      </c>
      <c r="Q844" s="304">
        <f t="shared" ca="1" si="396"/>
        <v>0</v>
      </c>
      <c r="R844" s="306">
        <f t="shared" ca="1" si="397"/>
        <v>0</v>
      </c>
      <c r="S844" s="307">
        <f t="shared" ca="1" si="398"/>
        <v>5.0829999999999913</v>
      </c>
      <c r="T844" s="304">
        <f t="shared" ca="1" si="378"/>
        <v>49.864229999999914</v>
      </c>
      <c r="U844" s="311">
        <f t="shared" ca="1" si="379"/>
        <v>0</v>
      </c>
      <c r="V844" s="306">
        <f t="shared" ca="1" si="380"/>
        <v>1.2263239382073434</v>
      </c>
      <c r="W844" s="304">
        <f t="shared" ca="1" si="381"/>
        <v>50.26748205824623</v>
      </c>
      <c r="Y844" s="314" t="str">
        <f t="shared" ca="1" si="399"/>
        <v/>
      </c>
      <c r="Z844" s="315" t="str">
        <f t="shared" ca="1" si="400"/>
        <v/>
      </c>
      <c r="AA844" s="316" t="str">
        <f t="shared" ca="1" si="401"/>
        <v/>
      </c>
      <c r="AC844" s="310" t="e">
        <f t="shared" ca="1" si="402"/>
        <v>#N/A</v>
      </c>
      <c r="AD844" s="323" t="e">
        <f t="shared" ca="1" si="403"/>
        <v>#N/A</v>
      </c>
      <c r="AE844" s="324" t="e">
        <f t="shared" ca="1" si="382"/>
        <v>#N/A</v>
      </c>
      <c r="AG844" s="306">
        <f t="shared" ca="1" si="404"/>
        <v>-8.8136546096025725E-2</v>
      </c>
      <c r="AH844" s="304">
        <f t="shared" ca="1" si="405"/>
        <v>-9.889323568634298</v>
      </c>
    </row>
    <row r="845" spans="1:34" x14ac:dyDescent="0.2">
      <c r="A845" s="347">
        <f t="shared" ca="1" si="383"/>
        <v>1E-4</v>
      </c>
      <c r="B845" s="304">
        <f t="shared" ca="1" si="384"/>
        <v>44.603500000000437</v>
      </c>
      <c r="D845" s="306">
        <f t="shared" ca="1" si="385"/>
        <v>-0.41909029210777643</v>
      </c>
      <c r="E845" s="307">
        <f t="shared" ca="1" si="386"/>
        <v>7.044937872650614E-2</v>
      </c>
      <c r="F845" s="304">
        <f t="shared" ca="1" si="387"/>
        <v>0.42497033767303349</v>
      </c>
      <c r="G845" s="306">
        <f t="shared" ca="1" si="388"/>
        <v>4.896391162505032</v>
      </c>
      <c r="H845" s="307">
        <f t="shared" ca="1" si="389"/>
        <v>-115.43802626358591</v>
      </c>
      <c r="I845" s="304">
        <f t="shared" ca="1" si="390"/>
        <v>115.54182166665285</v>
      </c>
      <c r="J845" s="306">
        <f t="shared" ca="1" si="391"/>
        <v>976.66817413190017</v>
      </c>
      <c r="K845" s="307">
        <f t="shared" ca="1" si="392"/>
        <v>-10.81336551823717</v>
      </c>
      <c r="L845" s="304">
        <f t="shared" ca="1" si="377"/>
        <v>976.72803340334758</v>
      </c>
      <c r="M845" s="306">
        <f t="shared" ca="1" si="393"/>
        <v>-1.5284059799858016</v>
      </c>
      <c r="N845" s="304">
        <f t="shared" ca="1" si="394"/>
        <v>-87.571212035743002</v>
      </c>
      <c r="P845" s="310">
        <f t="shared" ca="1" si="395"/>
        <v>23</v>
      </c>
      <c r="Q845" s="304">
        <f t="shared" ca="1" si="396"/>
        <v>0</v>
      </c>
      <c r="R845" s="306">
        <f t="shared" ca="1" si="397"/>
        <v>0</v>
      </c>
      <c r="S845" s="307">
        <f t="shared" ca="1" si="398"/>
        <v>5.0829999999999913</v>
      </c>
      <c r="T845" s="304">
        <f t="shared" ca="1" si="378"/>
        <v>49.864229999999914</v>
      </c>
      <c r="U845" s="311">
        <f t="shared" ca="1" si="379"/>
        <v>0</v>
      </c>
      <c r="V845" s="306">
        <f t="shared" ca="1" si="380"/>
        <v>1.2263253538527665</v>
      </c>
      <c r="W845" s="304">
        <f t="shared" ca="1" si="381"/>
        <v>50.267532416321693</v>
      </c>
      <c r="Y845" s="314" t="str">
        <f t="shared" ca="1" si="399"/>
        <v/>
      </c>
      <c r="Z845" s="315" t="str">
        <f t="shared" ca="1" si="400"/>
        <v/>
      </c>
      <c r="AA845" s="316" t="str">
        <f t="shared" ca="1" si="401"/>
        <v/>
      </c>
      <c r="AC845" s="310" t="e">
        <f t="shared" ca="1" si="402"/>
        <v>#N/A</v>
      </c>
      <c r="AD845" s="323" t="e">
        <f t="shared" ca="1" si="403"/>
        <v>#N/A</v>
      </c>
      <c r="AE845" s="324" t="e">
        <f t="shared" ca="1" si="382"/>
        <v>#N/A</v>
      </c>
      <c r="AG845" s="306">
        <f t="shared" ca="1" si="404"/>
        <v>-8.8146303826139416E-2</v>
      </c>
      <c r="AH845" s="304">
        <f t="shared" ca="1" si="405"/>
        <v>-9.8893334759485185</v>
      </c>
    </row>
    <row r="846" spans="1:34" x14ac:dyDescent="0.2">
      <c r="A846" s="347">
        <f t="shared" ca="1" si="383"/>
        <v>1E-4</v>
      </c>
      <c r="B846" s="304">
        <f t="shared" ca="1" si="384"/>
        <v>44.603600000000441</v>
      </c>
      <c r="D846" s="306">
        <f t="shared" ca="1" si="385"/>
        <v>-0.41908715688864295</v>
      </c>
      <c r="E846" s="307">
        <f t="shared" ca="1" si="386"/>
        <v>7.0459427774094863E-2</v>
      </c>
      <c r="F846" s="304">
        <f t="shared" ca="1" si="387"/>
        <v>0.42496891184092389</v>
      </c>
      <c r="G846" s="306">
        <f t="shared" ca="1" si="388"/>
        <v>4.8963492537893432</v>
      </c>
      <c r="H846" s="307">
        <f t="shared" ca="1" si="389"/>
        <v>-115.43801921764313</v>
      </c>
      <c r="I846" s="304">
        <f t="shared" ca="1" si="390"/>
        <v>115.54181285105417</v>
      </c>
      <c r="J846" s="306">
        <f t="shared" ca="1" si="391"/>
        <v>976.66817413190017</v>
      </c>
      <c r="K846" s="307">
        <f t="shared" ca="1" si="392"/>
        <v>-10.824909320511232</v>
      </c>
      <c r="L846" s="304">
        <f t="shared" ca="1" si="377"/>
        <v>976.72816127310318</v>
      </c>
      <c r="M846" s="306">
        <f t="shared" ca="1" si="393"/>
        <v>-1.5284063397904131</v>
      </c>
      <c r="N846" s="304">
        <f t="shared" ca="1" si="394"/>
        <v>-87.571232651028694</v>
      </c>
      <c r="P846" s="310">
        <f t="shared" ca="1" si="395"/>
        <v>23</v>
      </c>
      <c r="Q846" s="304">
        <f t="shared" ca="1" si="396"/>
        <v>0</v>
      </c>
      <c r="R846" s="306">
        <f t="shared" ca="1" si="397"/>
        <v>0</v>
      </c>
      <c r="S846" s="307">
        <f t="shared" ca="1" si="398"/>
        <v>5.0829999999999913</v>
      </c>
      <c r="T846" s="304">
        <f t="shared" ca="1" si="378"/>
        <v>49.864229999999914</v>
      </c>
      <c r="U846" s="311">
        <f t="shared" ca="1" si="379"/>
        <v>0</v>
      </c>
      <c r="V846" s="306">
        <f t="shared" ca="1" si="380"/>
        <v>1.2263267694997391</v>
      </c>
      <c r="W846" s="304">
        <f t="shared" ca="1" si="381"/>
        <v>50.267582773594526</v>
      </c>
      <c r="Y846" s="314" t="str">
        <f t="shared" ca="1" si="399"/>
        <v/>
      </c>
      <c r="Z846" s="315" t="str">
        <f t="shared" ca="1" si="400"/>
        <v/>
      </c>
      <c r="AA846" s="316" t="str">
        <f t="shared" ca="1" si="401"/>
        <v/>
      </c>
      <c r="AC846" s="310" t="e">
        <f t="shared" ca="1" si="402"/>
        <v>#N/A</v>
      </c>
      <c r="AD846" s="323" t="e">
        <f t="shared" ca="1" si="403"/>
        <v>#N/A</v>
      </c>
      <c r="AE846" s="324" t="e">
        <f t="shared" ca="1" si="382"/>
        <v>#N/A</v>
      </c>
      <c r="AG846" s="306">
        <f t="shared" ca="1" si="404"/>
        <v>-8.8156061400855634E-2</v>
      </c>
      <c r="AH846" s="304">
        <f t="shared" ca="1" si="405"/>
        <v>-9.8893433831048156</v>
      </c>
    </row>
    <row r="847" spans="1:34" x14ac:dyDescent="0.2">
      <c r="A847" s="347">
        <f t="shared" ca="1" si="383"/>
        <v>1E-4</v>
      </c>
      <c r="B847" s="304">
        <f t="shared" ca="1" si="384"/>
        <v>44.603700000000444</v>
      </c>
      <c r="D847" s="306">
        <f t="shared" ca="1" si="385"/>
        <v>-0.419084021685524</v>
      </c>
      <c r="E847" s="307">
        <f t="shared" ca="1" si="386"/>
        <v>7.046947666167469E-2</v>
      </c>
      <c r="F847" s="304">
        <f t="shared" ca="1" si="387"/>
        <v>0.42496748625404634</v>
      </c>
      <c r="G847" s="306">
        <f t="shared" ca="1" si="388"/>
        <v>4.896307345387175</v>
      </c>
      <c r="H847" s="307">
        <f t="shared" ca="1" si="389"/>
        <v>-115.43801217069546</v>
      </c>
      <c r="I847" s="304">
        <f t="shared" ca="1" si="390"/>
        <v>115.54180403447977</v>
      </c>
      <c r="J847" s="306">
        <f t="shared" ca="1" si="391"/>
        <v>976.66817413190017</v>
      </c>
      <c r="K847" s="307">
        <f t="shared" ca="1" si="392"/>
        <v>-10.836453122080648</v>
      </c>
      <c r="L847" s="304">
        <f t="shared" ca="1" si="377"/>
        <v>976.72828927926867</v>
      </c>
      <c r="M847" s="306">
        <f t="shared" ca="1" si="393"/>
        <v>-1.5284066995919996</v>
      </c>
      <c r="N847" s="304">
        <f t="shared" ca="1" si="394"/>
        <v>-87.571253266141056</v>
      </c>
      <c r="P847" s="310">
        <f t="shared" ca="1" si="395"/>
        <v>23</v>
      </c>
      <c r="Q847" s="304">
        <f t="shared" ca="1" si="396"/>
        <v>0</v>
      </c>
      <c r="R847" s="306">
        <f t="shared" ca="1" si="397"/>
        <v>0</v>
      </c>
      <c r="S847" s="307">
        <f t="shared" ca="1" si="398"/>
        <v>5.0829999999999913</v>
      </c>
      <c r="T847" s="304">
        <f t="shared" ca="1" si="378"/>
        <v>49.864229999999914</v>
      </c>
      <c r="U847" s="311">
        <f t="shared" ca="1" si="379"/>
        <v>0</v>
      </c>
      <c r="V847" s="306">
        <f t="shared" ca="1" si="380"/>
        <v>1.2263281851482597</v>
      </c>
      <c r="W847" s="304">
        <f t="shared" ca="1" si="381"/>
        <v>50.267633130064681</v>
      </c>
      <c r="Y847" s="314" t="str">
        <f t="shared" ca="1" si="399"/>
        <v/>
      </c>
      <c r="Z847" s="315" t="str">
        <f t="shared" ca="1" si="400"/>
        <v/>
      </c>
      <c r="AA847" s="316" t="str">
        <f t="shared" ca="1" si="401"/>
        <v/>
      </c>
      <c r="AC847" s="310" t="e">
        <f t="shared" ca="1" si="402"/>
        <v>#N/A</v>
      </c>
      <c r="AD847" s="323" t="e">
        <f t="shared" ca="1" si="403"/>
        <v>#N/A</v>
      </c>
      <c r="AE847" s="324" t="e">
        <f t="shared" ca="1" si="382"/>
        <v>#N/A</v>
      </c>
      <c r="AG847" s="306">
        <f t="shared" ca="1" si="404"/>
        <v>-8.816581882019392E-2</v>
      </c>
      <c r="AH847" s="304">
        <f t="shared" ca="1" si="405"/>
        <v>-9.8893532901032088</v>
      </c>
    </row>
    <row r="848" spans="1:34" x14ac:dyDescent="0.2">
      <c r="A848" s="347">
        <f t="shared" ca="1" si="383"/>
        <v>1E-4</v>
      </c>
      <c r="B848" s="304">
        <f t="shared" ca="1" si="384"/>
        <v>44.603800000000447</v>
      </c>
      <c r="D848" s="306">
        <f t="shared" ca="1" si="385"/>
        <v>-0.41908088649842368</v>
      </c>
      <c r="E848" s="307">
        <f t="shared" ca="1" si="386"/>
        <v>7.0479525389238518E-2</v>
      </c>
      <c r="F848" s="304">
        <f t="shared" ca="1" si="387"/>
        <v>0.42496606091239453</v>
      </c>
      <c r="G848" s="306">
        <f t="shared" ca="1" si="388"/>
        <v>4.896265437298525</v>
      </c>
      <c r="H848" s="307">
        <f t="shared" ca="1" si="389"/>
        <v>-115.43800512274292</v>
      </c>
      <c r="I848" s="304">
        <f t="shared" ca="1" si="390"/>
        <v>115.54179521692964</v>
      </c>
      <c r="J848" s="306">
        <f t="shared" ca="1" si="391"/>
        <v>976.66817413190017</v>
      </c>
      <c r="K848" s="307">
        <f t="shared" ca="1" si="392"/>
        <v>-10.84799692294532</v>
      </c>
      <c r="L848" s="304">
        <f t="shared" ca="1" si="377"/>
        <v>976.72841742184403</v>
      </c>
      <c r="M848" s="306">
        <f t="shared" ca="1" si="393"/>
        <v>-1.5284070593905614</v>
      </c>
      <c r="N848" s="304">
        <f t="shared" ca="1" si="394"/>
        <v>-87.571273881080131</v>
      </c>
      <c r="P848" s="310">
        <f t="shared" ca="1" si="395"/>
        <v>23</v>
      </c>
      <c r="Q848" s="304">
        <f t="shared" ca="1" si="396"/>
        <v>0</v>
      </c>
      <c r="R848" s="306">
        <f t="shared" ca="1" si="397"/>
        <v>0</v>
      </c>
      <c r="S848" s="307">
        <f t="shared" ca="1" si="398"/>
        <v>5.0829999999999913</v>
      </c>
      <c r="T848" s="304">
        <f t="shared" ca="1" si="378"/>
        <v>49.864229999999914</v>
      </c>
      <c r="U848" s="311">
        <f t="shared" ca="1" si="379"/>
        <v>0</v>
      </c>
      <c r="V848" s="306">
        <f t="shared" ca="1" si="380"/>
        <v>1.2263296007983293</v>
      </c>
      <c r="W848" s="304">
        <f t="shared" ca="1" si="381"/>
        <v>50.267683485732199</v>
      </c>
      <c r="Y848" s="314" t="str">
        <f t="shared" ca="1" si="399"/>
        <v/>
      </c>
      <c r="Z848" s="315" t="str">
        <f t="shared" ca="1" si="400"/>
        <v/>
      </c>
      <c r="AA848" s="316" t="str">
        <f t="shared" ca="1" si="401"/>
        <v/>
      </c>
      <c r="AC848" s="310" t="e">
        <f t="shared" ca="1" si="402"/>
        <v>#N/A</v>
      </c>
      <c r="AD848" s="323" t="e">
        <f t="shared" ca="1" si="403"/>
        <v>#N/A</v>
      </c>
      <c r="AE848" s="324" t="e">
        <f t="shared" ca="1" si="382"/>
        <v>#N/A</v>
      </c>
      <c r="AG848" s="306">
        <f t="shared" ca="1" si="404"/>
        <v>-8.8175576084143614E-2</v>
      </c>
      <c r="AH848" s="304">
        <f t="shared" ca="1" si="405"/>
        <v>-9.8893631969436875</v>
      </c>
    </row>
    <row r="849" spans="1:34" x14ac:dyDescent="0.2">
      <c r="A849" s="347">
        <f t="shared" ca="1" si="383"/>
        <v>1E-4</v>
      </c>
      <c r="B849" s="304">
        <f t="shared" ca="1" si="384"/>
        <v>44.603900000000451</v>
      </c>
      <c r="D849" s="306">
        <f t="shared" ca="1" si="385"/>
        <v>-0.41907775132734043</v>
      </c>
      <c r="E849" s="307">
        <f t="shared" ca="1" si="386"/>
        <v>7.048957395679345E-2</v>
      </c>
      <c r="F849" s="304">
        <f t="shared" ca="1" si="387"/>
        <v>0.42496463581595872</v>
      </c>
      <c r="G849" s="306">
        <f t="shared" ca="1" si="388"/>
        <v>4.8962235295233922</v>
      </c>
      <c r="H849" s="307">
        <f t="shared" ca="1" si="389"/>
        <v>-115.43799807378552</v>
      </c>
      <c r="I849" s="304">
        <f t="shared" ca="1" si="390"/>
        <v>115.5417863984038</v>
      </c>
      <c r="J849" s="306">
        <f t="shared" ca="1" si="391"/>
        <v>976.66817413190017</v>
      </c>
      <c r="K849" s="307">
        <f t="shared" ca="1" si="392"/>
        <v>-10.859540723105146</v>
      </c>
      <c r="L849" s="304">
        <f t="shared" ca="1" si="377"/>
        <v>976.72854570082905</v>
      </c>
      <c r="M849" s="306">
        <f t="shared" ca="1" si="393"/>
        <v>-1.5284074191860988</v>
      </c>
      <c r="N849" s="304">
        <f t="shared" ca="1" si="394"/>
        <v>-87.571294495845905</v>
      </c>
      <c r="P849" s="310">
        <f t="shared" ca="1" si="395"/>
        <v>23</v>
      </c>
      <c r="Q849" s="304">
        <f t="shared" ca="1" si="396"/>
        <v>0</v>
      </c>
      <c r="R849" s="306">
        <f t="shared" ca="1" si="397"/>
        <v>0</v>
      </c>
      <c r="S849" s="307">
        <f t="shared" ca="1" si="398"/>
        <v>5.0829999999999913</v>
      </c>
      <c r="T849" s="304">
        <f t="shared" ca="1" si="378"/>
        <v>49.864229999999914</v>
      </c>
      <c r="U849" s="311">
        <f t="shared" ca="1" si="379"/>
        <v>0</v>
      </c>
      <c r="V849" s="306">
        <f t="shared" ca="1" si="380"/>
        <v>1.2263310164499475</v>
      </c>
      <c r="W849" s="304">
        <f t="shared" ca="1" si="381"/>
        <v>50.267733840597089</v>
      </c>
      <c r="Y849" s="314" t="str">
        <f t="shared" ca="1" si="399"/>
        <v/>
      </c>
      <c r="Z849" s="315" t="str">
        <f t="shared" ca="1" si="400"/>
        <v/>
      </c>
      <c r="AA849" s="316" t="str">
        <f t="shared" ca="1" si="401"/>
        <v/>
      </c>
      <c r="AC849" s="310" t="e">
        <f t="shared" ca="1" si="402"/>
        <v>#N/A</v>
      </c>
      <c r="AD849" s="323" t="e">
        <f t="shared" ca="1" si="403"/>
        <v>#N/A</v>
      </c>
      <c r="AE849" s="324" t="e">
        <f t="shared" ca="1" si="382"/>
        <v>#N/A</v>
      </c>
      <c r="AG849" s="306">
        <f t="shared" ca="1" si="404"/>
        <v>-8.8185333192715376E-2</v>
      </c>
      <c r="AH849" s="304">
        <f t="shared" ca="1" si="405"/>
        <v>-9.8893731036262604</v>
      </c>
    </row>
    <row r="850" spans="1:34" x14ac:dyDescent="0.2">
      <c r="A850" s="347">
        <f t="shared" ca="1" si="383"/>
        <v>1E-4</v>
      </c>
      <c r="B850" s="304">
        <f t="shared" ca="1" si="384"/>
        <v>44.604000000000454</v>
      </c>
      <c r="D850" s="306">
        <f t="shared" ca="1" si="385"/>
        <v>-0.41907461617227243</v>
      </c>
      <c r="E850" s="307">
        <f t="shared" ca="1" si="386"/>
        <v>7.0499622364341263E-2</v>
      </c>
      <c r="F850" s="304">
        <f t="shared" ca="1" si="387"/>
        <v>0.42496321096472833</v>
      </c>
      <c r="G850" s="306">
        <f t="shared" ca="1" si="388"/>
        <v>4.8961816220617749</v>
      </c>
      <c r="H850" s="307">
        <f t="shared" ca="1" si="389"/>
        <v>-115.43799102382329</v>
      </c>
      <c r="I850" s="304">
        <f t="shared" ca="1" si="390"/>
        <v>115.54177757890226</v>
      </c>
      <c r="J850" s="306">
        <f t="shared" ca="1" si="391"/>
        <v>976.66817413190017</v>
      </c>
      <c r="K850" s="307">
        <f t="shared" ca="1" si="392"/>
        <v>-10.871084522560027</v>
      </c>
      <c r="L850" s="304">
        <f t="shared" ca="1" si="377"/>
        <v>976.72867411622371</v>
      </c>
      <c r="M850" s="306">
        <f t="shared" ca="1" si="393"/>
        <v>-1.5284077789786112</v>
      </c>
      <c r="N850" s="304">
        <f t="shared" ca="1" si="394"/>
        <v>-87.571315110438363</v>
      </c>
      <c r="P850" s="310">
        <f t="shared" ca="1" si="395"/>
        <v>23</v>
      </c>
      <c r="Q850" s="304">
        <f t="shared" ca="1" si="396"/>
        <v>0</v>
      </c>
      <c r="R850" s="306">
        <f t="shared" ca="1" si="397"/>
        <v>0</v>
      </c>
      <c r="S850" s="307">
        <f t="shared" ca="1" si="398"/>
        <v>5.0829999999999913</v>
      </c>
      <c r="T850" s="304">
        <f t="shared" ca="1" si="378"/>
        <v>49.864229999999914</v>
      </c>
      <c r="U850" s="311">
        <f t="shared" ca="1" si="379"/>
        <v>0</v>
      </c>
      <c r="V850" s="306">
        <f t="shared" ca="1" si="380"/>
        <v>1.2263324321031144</v>
      </c>
      <c r="W850" s="304">
        <f t="shared" ca="1" si="381"/>
        <v>50.267784194659342</v>
      </c>
      <c r="Y850" s="314" t="str">
        <f t="shared" ca="1" si="399"/>
        <v/>
      </c>
      <c r="Z850" s="315" t="str">
        <f t="shared" ca="1" si="400"/>
        <v/>
      </c>
      <c r="AA850" s="316" t="str">
        <f t="shared" ca="1" si="401"/>
        <v/>
      </c>
      <c r="AC850" s="310" t="e">
        <f t="shared" ca="1" si="402"/>
        <v>#N/A</v>
      </c>
      <c r="AD850" s="323" t="e">
        <f t="shared" ca="1" si="403"/>
        <v>#N/A</v>
      </c>
      <c r="AE850" s="324" t="e">
        <f t="shared" ca="1" si="382"/>
        <v>#N/A</v>
      </c>
      <c r="AG850" s="306">
        <f t="shared" ca="1" si="404"/>
        <v>-8.8195090145907429E-2</v>
      </c>
      <c r="AH850" s="304">
        <f t="shared" ca="1" si="405"/>
        <v>-9.8893830101509295</v>
      </c>
    </row>
    <row r="851" spans="1:34" x14ac:dyDescent="0.2">
      <c r="A851" s="347">
        <f t="shared" ca="1" si="383"/>
        <v>1E-4</v>
      </c>
      <c r="B851" s="304">
        <f t="shared" ca="1" si="384"/>
        <v>44.604100000000457</v>
      </c>
      <c r="D851" s="306">
        <f t="shared" ca="1" si="385"/>
        <v>-0.41907148103322411</v>
      </c>
      <c r="E851" s="307">
        <f t="shared" ca="1" si="386"/>
        <v>7.0509670611881958E-2</v>
      </c>
      <c r="F851" s="304">
        <f t="shared" ca="1" si="387"/>
        <v>0.42496178635869841</v>
      </c>
      <c r="G851" s="306">
        <f t="shared" ca="1" si="388"/>
        <v>4.8961397149136712</v>
      </c>
      <c r="H851" s="307">
        <f t="shared" ca="1" si="389"/>
        <v>-115.43798397285623</v>
      </c>
      <c r="I851" s="304">
        <f t="shared" ca="1" si="390"/>
        <v>115.54176875842505</v>
      </c>
      <c r="J851" s="306">
        <f t="shared" ca="1" si="391"/>
        <v>976.66817413190017</v>
      </c>
      <c r="K851" s="307">
        <f t="shared" ca="1" si="392"/>
        <v>-10.882628321309861</v>
      </c>
      <c r="L851" s="304">
        <f t="shared" ca="1" si="377"/>
        <v>976.72880266802792</v>
      </c>
      <c r="M851" s="306">
        <f t="shared" ca="1" si="393"/>
        <v>-1.5284081387680994</v>
      </c>
      <c r="N851" s="304">
        <f t="shared" ca="1" si="394"/>
        <v>-87.571335724857562</v>
      </c>
      <c r="P851" s="310">
        <f t="shared" ca="1" si="395"/>
        <v>23</v>
      </c>
      <c r="Q851" s="304">
        <f t="shared" ca="1" si="396"/>
        <v>0</v>
      </c>
      <c r="R851" s="306">
        <f t="shared" ca="1" si="397"/>
        <v>0</v>
      </c>
      <c r="S851" s="307">
        <f t="shared" ca="1" si="398"/>
        <v>5.0829999999999913</v>
      </c>
      <c r="T851" s="304">
        <f t="shared" ca="1" si="378"/>
        <v>49.864229999999914</v>
      </c>
      <c r="U851" s="311">
        <f t="shared" ca="1" si="379"/>
        <v>0</v>
      </c>
      <c r="V851" s="306">
        <f t="shared" ca="1" si="380"/>
        <v>1.2263338477578298</v>
      </c>
      <c r="W851" s="304">
        <f t="shared" ca="1" si="381"/>
        <v>50.267834547919001</v>
      </c>
      <c r="Y851" s="314" t="str">
        <f t="shared" ca="1" si="399"/>
        <v/>
      </c>
      <c r="Z851" s="315" t="str">
        <f t="shared" ca="1" si="400"/>
        <v/>
      </c>
      <c r="AA851" s="316" t="str">
        <f t="shared" ca="1" si="401"/>
        <v/>
      </c>
      <c r="AC851" s="310" t="e">
        <f t="shared" ca="1" si="402"/>
        <v>#N/A</v>
      </c>
      <c r="AD851" s="323" t="e">
        <f t="shared" ca="1" si="403"/>
        <v>#N/A</v>
      </c>
      <c r="AE851" s="324" t="e">
        <f t="shared" ca="1" si="382"/>
        <v>#N/A</v>
      </c>
      <c r="AG851" s="306">
        <f t="shared" ca="1" si="404"/>
        <v>-8.8204846943717996E-2</v>
      </c>
      <c r="AH851" s="304">
        <f t="shared" ca="1" si="405"/>
        <v>-9.889392916517691</v>
      </c>
    </row>
    <row r="852" spans="1:34" x14ac:dyDescent="0.2">
      <c r="A852" s="347">
        <f t="shared" ca="1" si="383"/>
        <v>1E-4</v>
      </c>
      <c r="B852" s="304">
        <f t="shared" ca="1" si="384"/>
        <v>44.604200000000461</v>
      </c>
      <c r="D852" s="306">
        <f t="shared" ca="1" si="385"/>
        <v>-0.41906834591018971</v>
      </c>
      <c r="E852" s="307">
        <f t="shared" ca="1" si="386"/>
        <v>7.0519718699420864E-2</v>
      </c>
      <c r="F852" s="304">
        <f t="shared" ca="1" si="387"/>
        <v>0.42496036199785486</v>
      </c>
      <c r="G852" s="306">
        <f t="shared" ca="1" si="388"/>
        <v>4.8960978080790802</v>
      </c>
      <c r="H852" s="307">
        <f t="shared" ca="1" si="389"/>
        <v>-115.43797692088437</v>
      </c>
      <c r="I852" s="304">
        <f t="shared" ca="1" si="390"/>
        <v>115.54175993697217</v>
      </c>
      <c r="J852" s="306">
        <f t="shared" ca="1" si="391"/>
        <v>976.66817413190017</v>
      </c>
      <c r="K852" s="307">
        <f t="shared" ca="1" si="392"/>
        <v>-10.894172119354549</v>
      </c>
      <c r="L852" s="304">
        <f t="shared" ca="1" si="377"/>
        <v>976.72893135624167</v>
      </c>
      <c r="M852" s="306">
        <f t="shared" ca="1" si="393"/>
        <v>-1.528408498554563</v>
      </c>
      <c r="N852" s="304">
        <f t="shared" ca="1" si="394"/>
        <v>-87.571356339103446</v>
      </c>
      <c r="P852" s="310">
        <f t="shared" ca="1" si="395"/>
        <v>23</v>
      </c>
      <c r="Q852" s="304">
        <f t="shared" ca="1" si="396"/>
        <v>0</v>
      </c>
      <c r="R852" s="306">
        <f t="shared" ca="1" si="397"/>
        <v>0</v>
      </c>
      <c r="S852" s="307">
        <f t="shared" ca="1" si="398"/>
        <v>5.0829999999999913</v>
      </c>
      <c r="T852" s="304">
        <f t="shared" ca="1" si="378"/>
        <v>49.864229999999914</v>
      </c>
      <c r="U852" s="311">
        <f t="shared" ca="1" si="379"/>
        <v>0</v>
      </c>
      <c r="V852" s="306">
        <f t="shared" ca="1" si="380"/>
        <v>1.226335263414094</v>
      </c>
      <c r="W852" s="304">
        <f t="shared" ca="1" si="381"/>
        <v>50.267884900376039</v>
      </c>
      <c r="Y852" s="314" t="str">
        <f t="shared" ca="1" si="399"/>
        <v/>
      </c>
      <c r="Z852" s="315" t="str">
        <f t="shared" ca="1" si="400"/>
        <v/>
      </c>
      <c r="AA852" s="316" t="str">
        <f t="shared" ca="1" si="401"/>
        <v/>
      </c>
      <c r="AC852" s="310" t="e">
        <f t="shared" ca="1" si="402"/>
        <v>#N/A</v>
      </c>
      <c r="AD852" s="323" t="e">
        <f t="shared" ca="1" si="403"/>
        <v>#N/A</v>
      </c>
      <c r="AE852" s="324" t="e">
        <f t="shared" ca="1" si="382"/>
        <v>#N/A</v>
      </c>
      <c r="AG852" s="306">
        <f t="shared" ca="1" si="404"/>
        <v>-8.8214603586159512E-2</v>
      </c>
      <c r="AH852" s="304">
        <f t="shared" ca="1" si="405"/>
        <v>-9.8894028227265558</v>
      </c>
    </row>
    <row r="853" spans="1:34" x14ac:dyDescent="0.2">
      <c r="A853" s="347">
        <f t="shared" ca="1" si="383"/>
        <v>1E-4</v>
      </c>
      <c r="B853" s="304">
        <f t="shared" ca="1" si="384"/>
        <v>44.604300000000464</v>
      </c>
      <c r="D853" s="306">
        <f t="shared" ca="1" si="385"/>
        <v>-0.41906521080317355</v>
      </c>
      <c r="E853" s="307">
        <f t="shared" ca="1" si="386"/>
        <v>7.052976662695265E-2</v>
      </c>
      <c r="F853" s="304">
        <f t="shared" ca="1" si="387"/>
        <v>0.42495893788219197</v>
      </c>
      <c r="G853" s="306">
        <f t="shared" ca="1" si="388"/>
        <v>4.8960559015580003</v>
      </c>
      <c r="H853" s="307">
        <f t="shared" ca="1" si="389"/>
        <v>-115.43796986790771</v>
      </c>
      <c r="I853" s="304">
        <f t="shared" ca="1" si="390"/>
        <v>115.54175111454366</v>
      </c>
      <c r="J853" s="306">
        <f t="shared" ca="1" si="391"/>
        <v>976.66817413190017</v>
      </c>
      <c r="K853" s="307">
        <f t="shared" ca="1" si="392"/>
        <v>-10.905715916693989</v>
      </c>
      <c r="L853" s="304">
        <f t="shared" ca="1" si="377"/>
        <v>976.72906018086474</v>
      </c>
      <c r="M853" s="306">
        <f t="shared" ca="1" si="393"/>
        <v>-1.528408858338002</v>
      </c>
      <c r="N853" s="304">
        <f t="shared" ca="1" si="394"/>
        <v>-87.571376953176042</v>
      </c>
      <c r="P853" s="310">
        <f t="shared" ca="1" si="395"/>
        <v>23</v>
      </c>
      <c r="Q853" s="304">
        <f t="shared" ca="1" si="396"/>
        <v>0</v>
      </c>
      <c r="R853" s="306">
        <f t="shared" ca="1" si="397"/>
        <v>0</v>
      </c>
      <c r="S853" s="307">
        <f t="shared" ca="1" si="398"/>
        <v>5.0829999999999913</v>
      </c>
      <c r="T853" s="304">
        <f t="shared" ca="1" si="378"/>
        <v>49.864229999999914</v>
      </c>
      <c r="U853" s="311">
        <f t="shared" ca="1" si="379"/>
        <v>0</v>
      </c>
      <c r="V853" s="306">
        <f t="shared" ca="1" si="380"/>
        <v>1.2263366790719068</v>
      </c>
      <c r="W853" s="304">
        <f t="shared" ca="1" si="381"/>
        <v>50.267935252030505</v>
      </c>
      <c r="Y853" s="314" t="str">
        <f t="shared" ca="1" si="399"/>
        <v/>
      </c>
      <c r="Z853" s="315" t="str">
        <f t="shared" ca="1" si="400"/>
        <v/>
      </c>
      <c r="AA853" s="316" t="str">
        <f t="shared" ca="1" si="401"/>
        <v/>
      </c>
      <c r="AC853" s="310" t="e">
        <f t="shared" ca="1" si="402"/>
        <v>#N/A</v>
      </c>
      <c r="AD853" s="323" t="e">
        <f t="shared" ca="1" si="403"/>
        <v>#N/A</v>
      </c>
      <c r="AE853" s="324" t="e">
        <f t="shared" ca="1" si="382"/>
        <v>#N/A</v>
      </c>
      <c r="AG853" s="306">
        <f t="shared" ca="1" si="404"/>
        <v>-8.8224360073223096E-2</v>
      </c>
      <c r="AH853" s="304">
        <f t="shared" ca="1" si="405"/>
        <v>-9.8894127287775184</v>
      </c>
    </row>
    <row r="854" spans="1:34" x14ac:dyDescent="0.2">
      <c r="A854" s="347">
        <f t="shared" ca="1" si="383"/>
        <v>1E-4</v>
      </c>
      <c r="B854" s="304">
        <f t="shared" ca="1" si="384"/>
        <v>44.604400000000467</v>
      </c>
      <c r="D854" s="306">
        <f t="shared" ca="1" si="385"/>
        <v>-0.41906207571217408</v>
      </c>
      <c r="E854" s="307">
        <f t="shared" ca="1" si="386"/>
        <v>7.0539814394491529E-2</v>
      </c>
      <c r="F854" s="304">
        <f t="shared" ca="1" si="387"/>
        <v>0.42495751401170123</v>
      </c>
      <c r="G854" s="306">
        <f t="shared" ca="1" si="388"/>
        <v>4.8960139953504287</v>
      </c>
      <c r="H854" s="307">
        <f t="shared" ca="1" si="389"/>
        <v>-115.43796281392628</v>
      </c>
      <c r="I854" s="304">
        <f t="shared" ca="1" si="390"/>
        <v>115.5417422911395</v>
      </c>
      <c r="J854" s="306">
        <f t="shared" ca="1" si="391"/>
        <v>976.66817413190017</v>
      </c>
      <c r="K854" s="307">
        <f t="shared" ca="1" si="392"/>
        <v>-10.917259713328081</v>
      </c>
      <c r="L854" s="304">
        <f t="shared" ca="1" si="377"/>
        <v>976.72918914189722</v>
      </c>
      <c r="M854" s="306">
        <f t="shared" ca="1" si="393"/>
        <v>-1.5284092181184163</v>
      </c>
      <c r="N854" s="304">
        <f t="shared" ca="1" si="394"/>
        <v>-87.571397567075337</v>
      </c>
      <c r="P854" s="310">
        <f t="shared" ca="1" si="395"/>
        <v>23</v>
      </c>
      <c r="Q854" s="304">
        <f t="shared" ca="1" si="396"/>
        <v>0</v>
      </c>
      <c r="R854" s="306">
        <f t="shared" ca="1" si="397"/>
        <v>0</v>
      </c>
      <c r="S854" s="307">
        <f t="shared" ca="1" si="398"/>
        <v>5.0829999999999913</v>
      </c>
      <c r="T854" s="304">
        <f t="shared" ca="1" si="378"/>
        <v>49.864229999999914</v>
      </c>
      <c r="U854" s="311">
        <f t="shared" ca="1" si="379"/>
        <v>0</v>
      </c>
      <c r="V854" s="306">
        <f t="shared" ca="1" si="380"/>
        <v>1.2263380947312679</v>
      </c>
      <c r="W854" s="304">
        <f t="shared" ca="1" si="381"/>
        <v>50.267985602882355</v>
      </c>
      <c r="Y854" s="314" t="str">
        <f t="shared" ca="1" si="399"/>
        <v/>
      </c>
      <c r="Z854" s="315" t="str">
        <f t="shared" ca="1" si="400"/>
        <v/>
      </c>
      <c r="AA854" s="316" t="str">
        <f t="shared" ca="1" si="401"/>
        <v/>
      </c>
      <c r="AC854" s="310" t="e">
        <f t="shared" ca="1" si="402"/>
        <v>#N/A</v>
      </c>
      <c r="AD854" s="323" t="e">
        <f t="shared" ca="1" si="403"/>
        <v>#N/A</v>
      </c>
      <c r="AE854" s="324" t="e">
        <f t="shared" ca="1" si="382"/>
        <v>#N/A</v>
      </c>
      <c r="AG854" s="306">
        <f t="shared" ca="1" si="404"/>
        <v>-8.8234116404917629E-2</v>
      </c>
      <c r="AH854" s="304">
        <f t="shared" ca="1" si="405"/>
        <v>-9.889422634670586</v>
      </c>
    </row>
    <row r="855" spans="1:34" x14ac:dyDescent="0.2">
      <c r="A855" s="347">
        <f t="shared" ca="1" si="383"/>
        <v>1E-4</v>
      </c>
      <c r="B855" s="304">
        <f t="shared" ca="1" si="384"/>
        <v>44.604500000000471</v>
      </c>
      <c r="D855" s="306">
        <f t="shared" ca="1" si="385"/>
        <v>-0.41905894063719346</v>
      </c>
      <c r="E855" s="307">
        <f t="shared" ca="1" si="386"/>
        <v>7.0549862002025066E-2</v>
      </c>
      <c r="F855" s="304">
        <f t="shared" ca="1" si="387"/>
        <v>0.42495609038637344</v>
      </c>
      <c r="G855" s="306">
        <f t="shared" ca="1" si="388"/>
        <v>4.8959720894563654</v>
      </c>
      <c r="H855" s="307">
        <f t="shared" ca="1" si="389"/>
        <v>-115.43795575894008</v>
      </c>
      <c r="I855" s="304">
        <f t="shared" ca="1" si="390"/>
        <v>115.54173346675971</v>
      </c>
      <c r="J855" s="306">
        <f t="shared" ca="1" si="391"/>
        <v>976.66817413190017</v>
      </c>
      <c r="K855" s="307">
        <f t="shared" ca="1" si="392"/>
        <v>-10.928803509256724</v>
      </c>
      <c r="L855" s="304">
        <f t="shared" ca="1" si="377"/>
        <v>976.72931823933891</v>
      </c>
      <c r="M855" s="306">
        <f t="shared" ca="1" si="393"/>
        <v>-1.5284095778958064</v>
      </c>
      <c r="N855" s="304">
        <f t="shared" ca="1" si="394"/>
        <v>-87.571418180801345</v>
      </c>
      <c r="P855" s="310">
        <f t="shared" ca="1" si="395"/>
        <v>23</v>
      </c>
      <c r="Q855" s="304">
        <f t="shared" ca="1" si="396"/>
        <v>0</v>
      </c>
      <c r="R855" s="306">
        <f t="shared" ca="1" si="397"/>
        <v>0</v>
      </c>
      <c r="S855" s="307">
        <f t="shared" ca="1" si="398"/>
        <v>5.0829999999999913</v>
      </c>
      <c r="T855" s="304">
        <f t="shared" ca="1" si="378"/>
        <v>49.864229999999914</v>
      </c>
      <c r="U855" s="311">
        <f t="shared" ca="1" si="379"/>
        <v>0</v>
      </c>
      <c r="V855" s="306">
        <f t="shared" ca="1" si="380"/>
        <v>1.2263395103921779</v>
      </c>
      <c r="W855" s="304">
        <f t="shared" ca="1" si="381"/>
        <v>50.268035952931641</v>
      </c>
      <c r="Y855" s="314" t="str">
        <f t="shared" ca="1" si="399"/>
        <v/>
      </c>
      <c r="Z855" s="315" t="str">
        <f t="shared" ca="1" si="400"/>
        <v/>
      </c>
      <c r="AA855" s="316" t="str">
        <f t="shared" ca="1" si="401"/>
        <v/>
      </c>
      <c r="AC855" s="310" t="e">
        <f t="shared" ca="1" si="402"/>
        <v>#N/A</v>
      </c>
      <c r="AD855" s="323" t="e">
        <f t="shared" ca="1" si="403"/>
        <v>#N/A</v>
      </c>
      <c r="AE855" s="324" t="e">
        <f t="shared" ca="1" si="382"/>
        <v>#N/A</v>
      </c>
      <c r="AG855" s="306">
        <f t="shared" ca="1" si="404"/>
        <v>-8.8243872581239557E-2</v>
      </c>
      <c r="AH855" s="304">
        <f t="shared" ca="1" si="405"/>
        <v>-9.8894325404057533</v>
      </c>
    </row>
    <row r="856" spans="1:34" x14ac:dyDescent="0.2">
      <c r="A856" s="347">
        <f t="shared" ca="1" si="383"/>
        <v>1E-4</v>
      </c>
      <c r="B856" s="304">
        <f t="shared" ca="1" si="384"/>
        <v>44.604600000000474</v>
      </c>
      <c r="D856" s="306">
        <f t="shared" ca="1" si="385"/>
        <v>-0.41905580557822797</v>
      </c>
      <c r="E856" s="307">
        <f t="shared" ca="1" si="386"/>
        <v>7.0559909449562142E-2</v>
      </c>
      <c r="F856" s="304">
        <f t="shared" ca="1" si="387"/>
        <v>0.42495466700619727</v>
      </c>
      <c r="G856" s="306">
        <f t="shared" ca="1" si="388"/>
        <v>4.8959301838758078</v>
      </c>
      <c r="H856" s="307">
        <f t="shared" ca="1" si="389"/>
        <v>-115.43794870294913</v>
      </c>
      <c r="I856" s="304">
        <f t="shared" ca="1" si="390"/>
        <v>115.54172464140433</v>
      </c>
      <c r="J856" s="306">
        <f t="shared" ca="1" si="391"/>
        <v>976.66817413190017</v>
      </c>
      <c r="K856" s="307">
        <f t="shared" ca="1" si="392"/>
        <v>-10.940347304479818</v>
      </c>
      <c r="L856" s="304">
        <f t="shared" ca="1" si="377"/>
        <v>976.72944747318968</v>
      </c>
      <c r="M856" s="306">
        <f t="shared" ca="1" si="393"/>
        <v>-1.5284099376701719</v>
      </c>
      <c r="N856" s="304">
        <f t="shared" ca="1" si="394"/>
        <v>-87.571438794354066</v>
      </c>
      <c r="P856" s="310">
        <f t="shared" ca="1" si="395"/>
        <v>23</v>
      </c>
      <c r="Q856" s="304">
        <f t="shared" ca="1" si="396"/>
        <v>0</v>
      </c>
      <c r="R856" s="306">
        <f t="shared" ca="1" si="397"/>
        <v>0</v>
      </c>
      <c r="S856" s="307">
        <f t="shared" ca="1" si="398"/>
        <v>5.0829999999999913</v>
      </c>
      <c r="T856" s="304">
        <f t="shared" ca="1" si="378"/>
        <v>49.864229999999914</v>
      </c>
      <c r="U856" s="311">
        <f t="shared" ca="1" si="379"/>
        <v>0</v>
      </c>
      <c r="V856" s="306">
        <f t="shared" ca="1" si="380"/>
        <v>1.2263409260546363</v>
      </c>
      <c r="W856" s="304">
        <f t="shared" ca="1" si="381"/>
        <v>50.268086302178361</v>
      </c>
      <c r="Y856" s="314" t="str">
        <f t="shared" ca="1" si="399"/>
        <v/>
      </c>
      <c r="Z856" s="315" t="str">
        <f t="shared" ca="1" si="400"/>
        <v/>
      </c>
      <c r="AA856" s="316" t="str">
        <f t="shared" ca="1" si="401"/>
        <v/>
      </c>
      <c r="AC856" s="310" t="e">
        <f t="shared" ca="1" si="402"/>
        <v>#N/A</v>
      </c>
      <c r="AD856" s="323" t="e">
        <f t="shared" ca="1" si="403"/>
        <v>#N/A</v>
      </c>
      <c r="AE856" s="324" t="e">
        <f t="shared" ca="1" si="382"/>
        <v>#N/A</v>
      </c>
      <c r="AG856" s="306">
        <f t="shared" ca="1" si="404"/>
        <v>-8.8253628602192435E-2</v>
      </c>
      <c r="AH856" s="304">
        <f t="shared" ca="1" si="405"/>
        <v>-9.8894424459830272</v>
      </c>
    </row>
    <row r="857" spans="1:34" x14ac:dyDescent="0.2">
      <c r="A857" s="347">
        <f t="shared" ca="1" si="383"/>
        <v>1E-4</v>
      </c>
      <c r="B857" s="304">
        <f t="shared" ca="1" si="384"/>
        <v>44.604700000000477</v>
      </c>
      <c r="D857" s="306">
        <f t="shared" ca="1" si="385"/>
        <v>-0.41905267053528222</v>
      </c>
      <c r="E857" s="307">
        <f t="shared" ca="1" si="386"/>
        <v>7.0569956737104533E-2</v>
      </c>
      <c r="F857" s="304">
        <f t="shared" ca="1" si="387"/>
        <v>0.42495324387116823</v>
      </c>
      <c r="G857" s="306">
        <f t="shared" ca="1" si="388"/>
        <v>4.8958882786087541</v>
      </c>
      <c r="H857" s="307">
        <f t="shared" ca="1" si="389"/>
        <v>-115.43794164595346</v>
      </c>
      <c r="I857" s="304">
        <f t="shared" ca="1" si="390"/>
        <v>115.54171581507336</v>
      </c>
      <c r="J857" s="306">
        <f t="shared" ca="1" si="391"/>
        <v>976.66817413190017</v>
      </c>
      <c r="K857" s="307">
        <f t="shared" ca="1" si="392"/>
        <v>-10.951891098997264</v>
      </c>
      <c r="L857" s="304">
        <f t="shared" ca="1" si="377"/>
        <v>976.72957684344954</v>
      </c>
      <c r="M857" s="306">
        <f t="shared" ca="1" si="393"/>
        <v>-1.528410297441513</v>
      </c>
      <c r="N857" s="304">
        <f t="shared" ca="1" si="394"/>
        <v>-87.571459407733499</v>
      </c>
      <c r="P857" s="310">
        <f t="shared" ca="1" si="395"/>
        <v>23</v>
      </c>
      <c r="Q857" s="304">
        <f t="shared" ca="1" si="396"/>
        <v>0</v>
      </c>
      <c r="R857" s="306">
        <f t="shared" ca="1" si="397"/>
        <v>0</v>
      </c>
      <c r="S857" s="307">
        <f t="shared" ca="1" si="398"/>
        <v>5.0829999999999913</v>
      </c>
      <c r="T857" s="304">
        <f t="shared" ca="1" si="378"/>
        <v>49.864229999999914</v>
      </c>
      <c r="U857" s="311">
        <f t="shared" ca="1" si="379"/>
        <v>0</v>
      </c>
      <c r="V857" s="306">
        <f t="shared" ca="1" si="380"/>
        <v>1.2263423417186432</v>
      </c>
      <c r="W857" s="304">
        <f t="shared" ca="1" si="381"/>
        <v>50.26813665062253</v>
      </c>
      <c r="Y857" s="314" t="str">
        <f t="shared" ca="1" si="399"/>
        <v/>
      </c>
      <c r="Z857" s="315" t="str">
        <f t="shared" ca="1" si="400"/>
        <v/>
      </c>
      <c r="AA857" s="316" t="str">
        <f t="shared" ca="1" si="401"/>
        <v/>
      </c>
      <c r="AC857" s="310" t="e">
        <f t="shared" ca="1" si="402"/>
        <v>#N/A</v>
      </c>
      <c r="AD857" s="323" t="e">
        <f t="shared" ca="1" si="403"/>
        <v>#N/A</v>
      </c>
      <c r="AE857" s="324" t="e">
        <f t="shared" ca="1" si="382"/>
        <v>#N/A</v>
      </c>
      <c r="AG857" s="306">
        <f t="shared" ca="1" si="404"/>
        <v>-8.8263384467783368E-2</v>
      </c>
      <c r="AH857" s="304">
        <f t="shared" ca="1" si="405"/>
        <v>-9.8894523514024097</v>
      </c>
    </row>
    <row r="858" spans="1:34" x14ac:dyDescent="0.2">
      <c r="A858" s="347">
        <f t="shared" ca="1" si="383"/>
        <v>1E-4</v>
      </c>
      <c r="B858" s="304">
        <f t="shared" ca="1" si="384"/>
        <v>44.604800000000481</v>
      </c>
      <c r="D858" s="306">
        <f t="shared" ca="1" si="385"/>
        <v>-0.41904953550835217</v>
      </c>
      <c r="E858" s="307">
        <f t="shared" ca="1" si="386"/>
        <v>7.058000386465757E-2</v>
      </c>
      <c r="F858" s="304">
        <f t="shared" ca="1" si="387"/>
        <v>0.42495182098127404</v>
      </c>
      <c r="G858" s="306">
        <f t="shared" ca="1" si="388"/>
        <v>4.8958463736552034</v>
      </c>
      <c r="H858" s="307">
        <f t="shared" ca="1" si="389"/>
        <v>-115.43793458795307</v>
      </c>
      <c r="I858" s="304">
        <f t="shared" ca="1" si="390"/>
        <v>115.54170698776682</v>
      </c>
      <c r="J858" s="306">
        <f t="shared" ca="1" si="391"/>
        <v>976.66817413190017</v>
      </c>
      <c r="K858" s="307">
        <f t="shared" ca="1" si="392"/>
        <v>-10.963434892808959</v>
      </c>
      <c r="L858" s="304">
        <f t="shared" ca="1" si="377"/>
        <v>976.72970635011848</v>
      </c>
      <c r="M858" s="306">
        <f t="shared" ca="1" si="393"/>
        <v>-1.5284106572098297</v>
      </c>
      <c r="N858" s="304">
        <f t="shared" ca="1" si="394"/>
        <v>-87.571480020939646</v>
      </c>
      <c r="P858" s="310">
        <f t="shared" ca="1" si="395"/>
        <v>23</v>
      </c>
      <c r="Q858" s="304">
        <f t="shared" ca="1" si="396"/>
        <v>0</v>
      </c>
      <c r="R858" s="306">
        <f t="shared" ca="1" si="397"/>
        <v>0</v>
      </c>
      <c r="S858" s="307">
        <f t="shared" ca="1" si="398"/>
        <v>5.0829999999999913</v>
      </c>
      <c r="T858" s="304">
        <f t="shared" ca="1" si="378"/>
        <v>49.864229999999914</v>
      </c>
      <c r="U858" s="311">
        <f t="shared" ca="1" si="379"/>
        <v>0</v>
      </c>
      <c r="V858" s="306">
        <f t="shared" ca="1" si="380"/>
        <v>1.2263437573841987</v>
      </c>
      <c r="W858" s="304">
        <f t="shared" ca="1" si="381"/>
        <v>50.268186998264142</v>
      </c>
      <c r="Y858" s="314" t="str">
        <f t="shared" ca="1" si="399"/>
        <v/>
      </c>
      <c r="Z858" s="315" t="str">
        <f t="shared" ca="1" si="400"/>
        <v/>
      </c>
      <c r="AA858" s="316" t="str">
        <f t="shared" ca="1" si="401"/>
        <v/>
      </c>
      <c r="AC858" s="310" t="e">
        <f t="shared" ca="1" si="402"/>
        <v>#N/A</v>
      </c>
      <c r="AD858" s="323" t="e">
        <f t="shared" ca="1" si="403"/>
        <v>#N/A</v>
      </c>
      <c r="AE858" s="324" t="e">
        <f t="shared" ca="1" si="382"/>
        <v>#N/A</v>
      </c>
      <c r="AG858" s="306">
        <f t="shared" ca="1" si="404"/>
        <v>-8.8273140178007026E-2</v>
      </c>
      <c r="AH858" s="304">
        <f t="shared" ca="1" si="405"/>
        <v>-9.8894622566639026</v>
      </c>
    </row>
    <row r="859" spans="1:34" x14ac:dyDescent="0.2">
      <c r="A859" s="347">
        <f t="shared" ca="1" si="383"/>
        <v>1E-4</v>
      </c>
      <c r="B859" s="304">
        <f t="shared" ca="1" si="384"/>
        <v>44.604900000000484</v>
      </c>
      <c r="D859" s="306">
        <f t="shared" ca="1" si="385"/>
        <v>-0.41904640049744035</v>
      </c>
      <c r="E859" s="307">
        <f t="shared" ca="1" si="386"/>
        <v>7.0590050832215923E-2</v>
      </c>
      <c r="F859" s="304">
        <f t="shared" ca="1" si="387"/>
        <v>0.42495039833650705</v>
      </c>
      <c r="G859" s="306">
        <f t="shared" ca="1" si="388"/>
        <v>4.8958044690151539</v>
      </c>
      <c r="H859" s="307">
        <f t="shared" ca="1" si="389"/>
        <v>-115.43792752894798</v>
      </c>
      <c r="I859" s="304">
        <f t="shared" ca="1" si="390"/>
        <v>115.54169815948471</v>
      </c>
      <c r="J859" s="306">
        <f t="shared" ca="1" si="391"/>
        <v>976.66817413190017</v>
      </c>
      <c r="K859" s="307">
        <f t="shared" ca="1" si="392"/>
        <v>-10.974978685914804</v>
      </c>
      <c r="L859" s="304">
        <f t="shared" ca="1" si="377"/>
        <v>976.72983599319628</v>
      </c>
      <c r="M859" s="306">
        <f t="shared" ca="1" si="393"/>
        <v>-1.5284110169751222</v>
      </c>
      <c r="N859" s="304">
        <f t="shared" ca="1" si="394"/>
        <v>-87.571500633972519</v>
      </c>
      <c r="P859" s="310">
        <f t="shared" ca="1" si="395"/>
        <v>23</v>
      </c>
      <c r="Q859" s="304">
        <f t="shared" ca="1" si="396"/>
        <v>0</v>
      </c>
      <c r="R859" s="306">
        <f t="shared" ca="1" si="397"/>
        <v>0</v>
      </c>
      <c r="S859" s="307">
        <f t="shared" ca="1" si="398"/>
        <v>5.0829999999999913</v>
      </c>
      <c r="T859" s="304">
        <f t="shared" ca="1" si="378"/>
        <v>49.864229999999914</v>
      </c>
      <c r="U859" s="311">
        <f t="shared" ca="1" si="379"/>
        <v>0</v>
      </c>
      <c r="V859" s="306">
        <f t="shared" ca="1" si="380"/>
        <v>1.2263451730513029</v>
      </c>
      <c r="W859" s="304">
        <f t="shared" ca="1" si="381"/>
        <v>50.268237345103223</v>
      </c>
      <c r="Y859" s="314" t="str">
        <f t="shared" ca="1" si="399"/>
        <v/>
      </c>
      <c r="Z859" s="315" t="str">
        <f t="shared" ca="1" si="400"/>
        <v/>
      </c>
      <c r="AA859" s="316" t="str">
        <f t="shared" ca="1" si="401"/>
        <v/>
      </c>
      <c r="AC859" s="310" t="e">
        <f t="shared" ca="1" si="402"/>
        <v>#N/A</v>
      </c>
      <c r="AD859" s="323" t="e">
        <f t="shared" ca="1" si="403"/>
        <v>#N/A</v>
      </c>
      <c r="AE859" s="324" t="e">
        <f t="shared" ca="1" si="382"/>
        <v>#N/A</v>
      </c>
      <c r="AG859" s="306">
        <f t="shared" ca="1" si="404"/>
        <v>-8.8282895732866962E-2</v>
      </c>
      <c r="AH859" s="304">
        <f t="shared" ca="1" si="405"/>
        <v>-9.8894721617675057</v>
      </c>
    </row>
    <row r="860" spans="1:34" x14ac:dyDescent="0.2">
      <c r="A860" s="347">
        <f t="shared" ca="1" si="383"/>
        <v>1E-4</v>
      </c>
      <c r="B860" s="304">
        <f t="shared" ca="1" si="384"/>
        <v>44.605000000000487</v>
      </c>
      <c r="D860" s="306">
        <f t="shared" ca="1" si="385"/>
        <v>-0.41904326550254495</v>
      </c>
      <c r="E860" s="307">
        <f t="shared" ca="1" si="386"/>
        <v>7.0600097639788473E-2</v>
      </c>
      <c r="F860" s="304">
        <f t="shared" ca="1" si="387"/>
        <v>0.42494897593685765</v>
      </c>
      <c r="G860" s="306">
        <f t="shared" ca="1" si="388"/>
        <v>4.8957625646886038</v>
      </c>
      <c r="H860" s="307">
        <f t="shared" ca="1" si="389"/>
        <v>-115.43792046893822</v>
      </c>
      <c r="I860" s="304">
        <f t="shared" ca="1" si="390"/>
        <v>115.54168933022709</v>
      </c>
      <c r="J860" s="306">
        <f t="shared" ca="1" si="391"/>
        <v>976.66817413190017</v>
      </c>
      <c r="K860" s="307">
        <f t="shared" ca="1" si="392"/>
        <v>-10.986522478314699</v>
      </c>
      <c r="L860" s="304">
        <f t="shared" ca="1" si="377"/>
        <v>976.72996577268282</v>
      </c>
      <c r="M860" s="306">
        <f t="shared" ca="1" si="393"/>
        <v>-1.5284113767373904</v>
      </c>
      <c r="N860" s="304">
        <f t="shared" ca="1" si="394"/>
        <v>-87.57152124683212</v>
      </c>
      <c r="P860" s="310">
        <f t="shared" ca="1" si="395"/>
        <v>23</v>
      </c>
      <c r="Q860" s="304">
        <f t="shared" ca="1" si="396"/>
        <v>0</v>
      </c>
      <c r="R860" s="306">
        <f t="shared" ca="1" si="397"/>
        <v>0</v>
      </c>
      <c r="S860" s="307">
        <f t="shared" ca="1" si="398"/>
        <v>5.0829999999999913</v>
      </c>
      <c r="T860" s="304">
        <f t="shared" ca="1" si="378"/>
        <v>49.864229999999914</v>
      </c>
      <c r="U860" s="311">
        <f t="shared" ca="1" si="379"/>
        <v>0</v>
      </c>
      <c r="V860" s="306">
        <f t="shared" ca="1" si="380"/>
        <v>1.2263465887199556</v>
      </c>
      <c r="W860" s="304">
        <f t="shared" ca="1" si="381"/>
        <v>50.268287691139811</v>
      </c>
      <c r="Y860" s="314" t="str">
        <f t="shared" ca="1" si="399"/>
        <v/>
      </c>
      <c r="Z860" s="315" t="str">
        <f t="shared" ca="1" si="400"/>
        <v/>
      </c>
      <c r="AA860" s="316" t="str">
        <f t="shared" ca="1" si="401"/>
        <v/>
      </c>
      <c r="AC860" s="310" t="e">
        <f t="shared" ca="1" si="402"/>
        <v>#N/A</v>
      </c>
      <c r="AD860" s="323" t="e">
        <f t="shared" ca="1" si="403"/>
        <v>#N/A</v>
      </c>
      <c r="AE860" s="324" t="e">
        <f t="shared" ca="1" si="382"/>
        <v>#N/A</v>
      </c>
      <c r="AG860" s="306">
        <f t="shared" ca="1" si="404"/>
        <v>-8.8292651132366728E-2</v>
      </c>
      <c r="AH860" s="304">
        <f t="shared" ca="1" si="405"/>
        <v>-9.8894820667132226</v>
      </c>
    </row>
    <row r="861" spans="1:34" x14ac:dyDescent="0.2">
      <c r="A861" s="347">
        <f t="shared" ca="1" si="383"/>
        <v>1E-4</v>
      </c>
      <c r="B861" s="304">
        <f t="shared" ca="1" si="384"/>
        <v>44.60510000000049</v>
      </c>
      <c r="D861" s="306">
        <f t="shared" ca="1" si="385"/>
        <v>-0.41904013052366657</v>
      </c>
      <c r="E861" s="307">
        <f t="shared" ca="1" si="386"/>
        <v>7.0610144287378773E-2</v>
      </c>
      <c r="F861" s="304">
        <f t="shared" ca="1" si="387"/>
        <v>0.42494755378231791</v>
      </c>
      <c r="G861" s="306">
        <f t="shared" ca="1" si="388"/>
        <v>4.8957206606755514</v>
      </c>
      <c r="H861" s="307">
        <f t="shared" ca="1" si="389"/>
        <v>-115.43791340792379</v>
      </c>
      <c r="I861" s="304">
        <f t="shared" ca="1" si="390"/>
        <v>115.54168049999392</v>
      </c>
      <c r="J861" s="306">
        <f t="shared" ca="1" si="391"/>
        <v>976.66817413190017</v>
      </c>
      <c r="K861" s="307">
        <f t="shared" ca="1" si="392"/>
        <v>-10.998066270008541</v>
      </c>
      <c r="L861" s="304">
        <f t="shared" ca="1" si="377"/>
        <v>976.73009568857822</v>
      </c>
      <c r="M861" s="306">
        <f t="shared" ca="1" si="393"/>
        <v>-1.5284117364966341</v>
      </c>
      <c r="N861" s="304">
        <f t="shared" ca="1" si="394"/>
        <v>-87.571541859518419</v>
      </c>
      <c r="P861" s="310">
        <f t="shared" ca="1" si="395"/>
        <v>23</v>
      </c>
      <c r="Q861" s="304">
        <f t="shared" ca="1" si="396"/>
        <v>0</v>
      </c>
      <c r="R861" s="306">
        <f t="shared" ca="1" si="397"/>
        <v>0</v>
      </c>
      <c r="S861" s="307">
        <f t="shared" ca="1" si="398"/>
        <v>5.0829999999999913</v>
      </c>
      <c r="T861" s="304">
        <f t="shared" ca="1" si="378"/>
        <v>49.864229999999914</v>
      </c>
      <c r="U861" s="311">
        <f t="shared" ca="1" si="379"/>
        <v>0</v>
      </c>
      <c r="V861" s="306">
        <f t="shared" ca="1" si="380"/>
        <v>1.2263480043901567</v>
      </c>
      <c r="W861" s="304">
        <f t="shared" ca="1" si="381"/>
        <v>50.268338036373855</v>
      </c>
      <c r="Y861" s="314" t="str">
        <f t="shared" ca="1" si="399"/>
        <v/>
      </c>
      <c r="Z861" s="315" t="str">
        <f t="shared" ca="1" si="400"/>
        <v/>
      </c>
      <c r="AA861" s="316" t="str">
        <f t="shared" ca="1" si="401"/>
        <v/>
      </c>
      <c r="AC861" s="310" t="e">
        <f t="shared" ca="1" si="402"/>
        <v>#N/A</v>
      </c>
      <c r="AD861" s="323" t="e">
        <f t="shared" ca="1" si="403"/>
        <v>#N/A</v>
      </c>
      <c r="AE861" s="324" t="e">
        <f t="shared" ca="1" si="382"/>
        <v>#N/A</v>
      </c>
      <c r="AG861" s="306">
        <f t="shared" ca="1" si="404"/>
        <v>-8.8302406376516984E-2</v>
      </c>
      <c r="AH861" s="304">
        <f t="shared" ca="1" si="405"/>
        <v>-9.8894919715010623</v>
      </c>
    </row>
    <row r="862" spans="1:34" x14ac:dyDescent="0.2">
      <c r="A862" s="347">
        <f t="shared" ca="1" si="383"/>
        <v>1E-4</v>
      </c>
      <c r="B862" s="304">
        <f t="shared" ca="1" si="384"/>
        <v>44.605200000000494</v>
      </c>
      <c r="D862" s="306">
        <f t="shared" ca="1" si="385"/>
        <v>-0.41903699556080726</v>
      </c>
      <c r="E862" s="307">
        <f t="shared" ca="1" si="386"/>
        <v>7.0620190774981495E-2</v>
      </c>
      <c r="F862" s="304">
        <f t="shared" ca="1" si="387"/>
        <v>0.42494613187287961</v>
      </c>
      <c r="G862" s="306">
        <f t="shared" ca="1" si="388"/>
        <v>4.895678756975995</v>
      </c>
      <c r="H862" s="307">
        <f t="shared" ca="1" si="389"/>
        <v>-115.43790634590471</v>
      </c>
      <c r="I862" s="304">
        <f t="shared" ca="1" si="390"/>
        <v>115.54167166878526</v>
      </c>
      <c r="J862" s="306">
        <f t="shared" ca="1" si="391"/>
        <v>976.66817413190017</v>
      </c>
      <c r="K862" s="307">
        <f t="shared" ca="1" si="392"/>
        <v>-11.009610060996232</v>
      </c>
      <c r="L862" s="304">
        <f t="shared" ca="1" si="377"/>
        <v>976.73022574088236</v>
      </c>
      <c r="M862" s="306">
        <f t="shared" ca="1" si="393"/>
        <v>-1.5284120962528536</v>
      </c>
      <c r="N862" s="304">
        <f t="shared" ca="1" si="394"/>
        <v>-87.571562472031459</v>
      </c>
      <c r="P862" s="310">
        <f t="shared" ca="1" si="395"/>
        <v>23</v>
      </c>
      <c r="Q862" s="304">
        <f t="shared" ca="1" si="396"/>
        <v>0</v>
      </c>
      <c r="R862" s="306">
        <f t="shared" ca="1" si="397"/>
        <v>0</v>
      </c>
      <c r="S862" s="307">
        <f t="shared" ca="1" si="398"/>
        <v>5.0829999999999913</v>
      </c>
      <c r="T862" s="304">
        <f t="shared" ca="1" si="378"/>
        <v>49.864229999999914</v>
      </c>
      <c r="U862" s="311">
        <f t="shared" ca="1" si="379"/>
        <v>0</v>
      </c>
      <c r="V862" s="306">
        <f t="shared" ca="1" si="380"/>
        <v>1.2263494200619065</v>
      </c>
      <c r="W862" s="304">
        <f t="shared" ca="1" si="381"/>
        <v>50.268388380805426</v>
      </c>
      <c r="Y862" s="314" t="str">
        <f t="shared" ca="1" si="399"/>
        <v/>
      </c>
      <c r="Z862" s="315" t="str">
        <f t="shared" ca="1" si="400"/>
        <v/>
      </c>
      <c r="AA862" s="316" t="str">
        <f t="shared" ca="1" si="401"/>
        <v/>
      </c>
      <c r="AC862" s="310" t="e">
        <f t="shared" ca="1" si="402"/>
        <v>#N/A</v>
      </c>
      <c r="AD862" s="323" t="e">
        <f t="shared" ca="1" si="403"/>
        <v>#N/A</v>
      </c>
      <c r="AE862" s="324" t="e">
        <f t="shared" ca="1" si="382"/>
        <v>#N/A</v>
      </c>
      <c r="AG862" s="306">
        <f t="shared" ca="1" si="404"/>
        <v>-8.8312161465301742E-2</v>
      </c>
      <c r="AH862" s="304">
        <f t="shared" ca="1" si="405"/>
        <v>-9.8895018761310141</v>
      </c>
    </row>
    <row r="863" spans="1:34" x14ac:dyDescent="0.2">
      <c r="A863" s="347">
        <f t="shared" ca="1" si="383"/>
        <v>1E-4</v>
      </c>
      <c r="B863" s="304">
        <f t="shared" ca="1" si="384"/>
        <v>44.605300000000497</v>
      </c>
      <c r="D863" s="306">
        <f t="shared" ca="1" si="385"/>
        <v>-0.41903386061396558</v>
      </c>
      <c r="E863" s="307">
        <f t="shared" ca="1" si="386"/>
        <v>7.0630237102603743E-2</v>
      </c>
      <c r="F863" s="304">
        <f t="shared" ca="1" si="387"/>
        <v>0.42494471020853331</v>
      </c>
      <c r="G863" s="306">
        <f t="shared" ca="1" si="388"/>
        <v>4.8956368535899335</v>
      </c>
      <c r="H863" s="307">
        <f t="shared" ca="1" si="389"/>
        <v>-115.43789928288099</v>
      </c>
      <c r="I863" s="304">
        <f t="shared" ca="1" si="390"/>
        <v>115.54166283660108</v>
      </c>
      <c r="J863" s="306">
        <f t="shared" ca="1" si="391"/>
        <v>976.66817413190017</v>
      </c>
      <c r="K863" s="307">
        <f t="shared" ca="1" si="392"/>
        <v>-11.021153851277672</v>
      </c>
      <c r="L863" s="304">
        <f t="shared" ca="1" si="377"/>
        <v>976.73035592959491</v>
      </c>
      <c r="M863" s="306">
        <f t="shared" ca="1" si="393"/>
        <v>-1.5284124560060488</v>
      </c>
      <c r="N863" s="304">
        <f t="shared" ca="1" si="394"/>
        <v>-87.571583084371213</v>
      </c>
      <c r="P863" s="310">
        <f t="shared" ca="1" si="395"/>
        <v>23</v>
      </c>
      <c r="Q863" s="304">
        <f t="shared" ca="1" si="396"/>
        <v>0</v>
      </c>
      <c r="R863" s="306">
        <f t="shared" ca="1" si="397"/>
        <v>0</v>
      </c>
      <c r="S863" s="307">
        <f t="shared" ca="1" si="398"/>
        <v>5.0829999999999913</v>
      </c>
      <c r="T863" s="304">
        <f t="shared" ca="1" si="378"/>
        <v>49.864229999999914</v>
      </c>
      <c r="U863" s="311">
        <f t="shared" ca="1" si="379"/>
        <v>0</v>
      </c>
      <c r="V863" s="306">
        <f t="shared" ca="1" si="380"/>
        <v>1.2263508357352049</v>
      </c>
      <c r="W863" s="304">
        <f t="shared" ca="1" si="381"/>
        <v>50.268438724434482</v>
      </c>
      <c r="Y863" s="314" t="str">
        <f t="shared" ca="1" si="399"/>
        <v/>
      </c>
      <c r="Z863" s="315" t="str">
        <f t="shared" ca="1" si="400"/>
        <v/>
      </c>
      <c r="AA863" s="316" t="str">
        <f t="shared" ca="1" si="401"/>
        <v/>
      </c>
      <c r="AC863" s="310" t="e">
        <f t="shared" ca="1" si="402"/>
        <v>#N/A</v>
      </c>
      <c r="AD863" s="323" t="e">
        <f t="shared" ca="1" si="403"/>
        <v>#N/A</v>
      </c>
      <c r="AE863" s="324" t="e">
        <f t="shared" ca="1" si="382"/>
        <v>#N/A</v>
      </c>
      <c r="AG863" s="306">
        <f t="shared" ca="1" si="404"/>
        <v>-8.8321916398738765E-2</v>
      </c>
      <c r="AH863" s="304">
        <f t="shared" ca="1" si="405"/>
        <v>-9.8895117806030903</v>
      </c>
    </row>
    <row r="864" spans="1:34" x14ac:dyDescent="0.2">
      <c r="A864" s="347">
        <f t="shared" ca="1" si="383"/>
        <v>1E-4</v>
      </c>
      <c r="B864" s="304">
        <f t="shared" ca="1" si="384"/>
        <v>44.6054000000005</v>
      </c>
      <c r="D864" s="306">
        <f t="shared" ca="1" si="385"/>
        <v>-0.41903072568314159</v>
      </c>
      <c r="E864" s="307">
        <f t="shared" ca="1" si="386"/>
        <v>7.0640283270243742E-2</v>
      </c>
      <c r="F864" s="304">
        <f t="shared" ca="1" si="387"/>
        <v>0.42494328878926957</v>
      </c>
      <c r="G864" s="306">
        <f t="shared" ca="1" si="388"/>
        <v>4.8955949505173653</v>
      </c>
      <c r="H864" s="307">
        <f t="shared" ca="1" si="389"/>
        <v>-115.43789221885267</v>
      </c>
      <c r="I864" s="304">
        <f t="shared" ca="1" si="390"/>
        <v>115.54165400344144</v>
      </c>
      <c r="J864" s="306">
        <f t="shared" ca="1" si="391"/>
        <v>976.66817413190017</v>
      </c>
      <c r="K864" s="307">
        <f t="shared" ca="1" si="392"/>
        <v>-11.032697640852758</v>
      </c>
      <c r="L864" s="304">
        <f t="shared" ca="1" si="377"/>
        <v>976.73048625471608</v>
      </c>
      <c r="M864" s="306">
        <f t="shared" ca="1" si="393"/>
        <v>-1.5284128157562198</v>
      </c>
      <c r="N864" s="304">
        <f t="shared" ca="1" si="394"/>
        <v>-87.571603696537679</v>
      </c>
      <c r="P864" s="310">
        <f t="shared" ca="1" si="395"/>
        <v>23</v>
      </c>
      <c r="Q864" s="304">
        <f t="shared" ca="1" si="396"/>
        <v>0</v>
      </c>
      <c r="R864" s="306">
        <f t="shared" ca="1" si="397"/>
        <v>0</v>
      </c>
      <c r="S864" s="307">
        <f t="shared" ca="1" si="398"/>
        <v>5.0829999999999913</v>
      </c>
      <c r="T864" s="304">
        <f t="shared" ca="1" si="378"/>
        <v>49.864229999999914</v>
      </c>
      <c r="U864" s="311">
        <f t="shared" ca="1" si="379"/>
        <v>0</v>
      </c>
      <c r="V864" s="306">
        <f t="shared" ca="1" si="380"/>
        <v>1.2263522514100518</v>
      </c>
      <c r="W864" s="304">
        <f t="shared" ca="1" si="381"/>
        <v>50.268489067261065</v>
      </c>
      <c r="Y864" s="314" t="str">
        <f t="shared" ca="1" si="399"/>
        <v/>
      </c>
      <c r="Z864" s="315" t="str">
        <f t="shared" ca="1" si="400"/>
        <v/>
      </c>
      <c r="AA864" s="316" t="str">
        <f t="shared" ca="1" si="401"/>
        <v/>
      </c>
      <c r="AC864" s="310" t="e">
        <f t="shared" ca="1" si="402"/>
        <v>#N/A</v>
      </c>
      <c r="AD864" s="323" t="e">
        <f t="shared" ca="1" si="403"/>
        <v>#N/A</v>
      </c>
      <c r="AE864" s="324" t="e">
        <f t="shared" ca="1" si="382"/>
        <v>#N/A</v>
      </c>
      <c r="AG864" s="306">
        <f t="shared" ca="1" si="404"/>
        <v>-8.8331671176819171E-2</v>
      </c>
      <c r="AH864" s="304">
        <f t="shared" ca="1" si="405"/>
        <v>-9.8895216849172858</v>
      </c>
    </row>
    <row r="865" spans="1:34" x14ac:dyDescent="0.2">
      <c r="A865" s="347">
        <f t="shared" ca="1" si="383"/>
        <v>1E-4</v>
      </c>
      <c r="B865" s="304">
        <f t="shared" ca="1" si="384"/>
        <v>44.605500000000504</v>
      </c>
      <c r="D865" s="306">
        <f t="shared" ca="1" si="385"/>
        <v>-0.41902759076833579</v>
      </c>
      <c r="E865" s="307">
        <f t="shared" ca="1" si="386"/>
        <v>7.0650329277908597E-2</v>
      </c>
      <c r="F865" s="304">
        <f t="shared" ca="1" si="387"/>
        <v>0.42494186761508074</v>
      </c>
      <c r="G865" s="306">
        <f t="shared" ca="1" si="388"/>
        <v>4.8955530477582885</v>
      </c>
      <c r="H865" s="307">
        <f t="shared" ca="1" si="389"/>
        <v>-115.43788515381974</v>
      </c>
      <c r="I865" s="304">
        <f t="shared" ca="1" si="390"/>
        <v>115.54164516930634</v>
      </c>
      <c r="J865" s="306">
        <f t="shared" ca="1" si="391"/>
        <v>976.66817413190017</v>
      </c>
      <c r="K865" s="307">
        <f t="shared" ca="1" si="392"/>
        <v>-11.044241429721392</v>
      </c>
      <c r="L865" s="304">
        <f t="shared" ca="1" si="377"/>
        <v>976.73061671624578</v>
      </c>
      <c r="M865" s="306">
        <f t="shared" ca="1" si="393"/>
        <v>-1.5284131755033665</v>
      </c>
      <c r="N865" s="304">
        <f t="shared" ca="1" si="394"/>
        <v>-87.571624308530886</v>
      </c>
      <c r="P865" s="310">
        <f t="shared" ca="1" si="395"/>
        <v>23</v>
      </c>
      <c r="Q865" s="304">
        <f t="shared" ca="1" si="396"/>
        <v>0</v>
      </c>
      <c r="R865" s="306">
        <f t="shared" ca="1" si="397"/>
        <v>0</v>
      </c>
      <c r="S865" s="307">
        <f t="shared" ca="1" si="398"/>
        <v>5.0829999999999913</v>
      </c>
      <c r="T865" s="304">
        <f t="shared" ca="1" si="378"/>
        <v>49.864229999999914</v>
      </c>
      <c r="U865" s="311">
        <f t="shared" ca="1" si="379"/>
        <v>0</v>
      </c>
      <c r="V865" s="306">
        <f t="shared" ca="1" si="380"/>
        <v>1.2263536670864468</v>
      </c>
      <c r="W865" s="304">
        <f t="shared" ca="1" si="381"/>
        <v>50.268539409285175</v>
      </c>
      <c r="Y865" s="314" t="str">
        <f t="shared" ca="1" si="399"/>
        <v/>
      </c>
      <c r="Z865" s="315" t="str">
        <f t="shared" ca="1" si="400"/>
        <v/>
      </c>
      <c r="AA865" s="316" t="str">
        <f t="shared" ca="1" si="401"/>
        <v/>
      </c>
      <c r="AC865" s="310" t="e">
        <f t="shared" ca="1" si="402"/>
        <v>#N/A</v>
      </c>
      <c r="AD865" s="323" t="e">
        <f t="shared" ca="1" si="403"/>
        <v>#N/A</v>
      </c>
      <c r="AE865" s="324" t="e">
        <f t="shared" ca="1" si="382"/>
        <v>#N/A</v>
      </c>
      <c r="AG865" s="306">
        <f t="shared" ca="1" si="404"/>
        <v>-8.8341425799551843E-2</v>
      </c>
      <c r="AH865" s="304">
        <f t="shared" ca="1" si="405"/>
        <v>-9.8895315890736075</v>
      </c>
    </row>
    <row r="866" spans="1:34" x14ac:dyDescent="0.2">
      <c r="A866" s="347">
        <f t="shared" ca="1" si="383"/>
        <v>1E-4</v>
      </c>
      <c r="B866" s="304">
        <f t="shared" ca="1" si="384"/>
        <v>44.605600000000507</v>
      </c>
      <c r="D866" s="306">
        <f t="shared" ca="1" si="385"/>
        <v>-0.41902445586954862</v>
      </c>
      <c r="E866" s="307">
        <f t="shared" ca="1" si="386"/>
        <v>7.0660375125594754E-2</v>
      </c>
      <c r="F866" s="304">
        <f t="shared" ca="1" si="387"/>
        <v>0.42494044668595748</v>
      </c>
      <c r="G866" s="306">
        <f t="shared" ca="1" si="388"/>
        <v>4.8955111453127014</v>
      </c>
      <c r="H866" s="307">
        <f t="shared" ca="1" si="389"/>
        <v>-115.43787808778222</v>
      </c>
      <c r="I866" s="304">
        <f t="shared" ca="1" si="390"/>
        <v>115.54163633419579</v>
      </c>
      <c r="J866" s="306">
        <f t="shared" ca="1" si="391"/>
        <v>976.66817413190017</v>
      </c>
      <c r="K866" s="307">
        <f t="shared" ca="1" si="392"/>
        <v>-11.055785217883471</v>
      </c>
      <c r="L866" s="304">
        <f t="shared" ca="1" si="377"/>
        <v>976.73074731418365</v>
      </c>
      <c r="M866" s="306">
        <f t="shared" ca="1" si="393"/>
        <v>-1.5284135352474892</v>
      </c>
      <c r="N866" s="304">
        <f t="shared" ca="1" si="394"/>
        <v>-87.57164492035082</v>
      </c>
      <c r="P866" s="310">
        <f t="shared" ca="1" si="395"/>
        <v>23</v>
      </c>
      <c r="Q866" s="304">
        <f t="shared" ca="1" si="396"/>
        <v>0</v>
      </c>
      <c r="R866" s="306">
        <f t="shared" ca="1" si="397"/>
        <v>0</v>
      </c>
      <c r="S866" s="307">
        <f t="shared" ca="1" si="398"/>
        <v>5.0829999999999913</v>
      </c>
      <c r="T866" s="304">
        <f t="shared" ca="1" si="378"/>
        <v>49.864229999999914</v>
      </c>
      <c r="U866" s="311">
        <f t="shared" ca="1" si="379"/>
        <v>0</v>
      </c>
      <c r="V866" s="306">
        <f t="shared" ca="1" si="380"/>
        <v>1.2263550827643905</v>
      </c>
      <c r="W866" s="304">
        <f t="shared" ca="1" si="381"/>
        <v>50.268589750506834</v>
      </c>
      <c r="Y866" s="314" t="str">
        <f t="shared" ca="1" si="399"/>
        <v/>
      </c>
      <c r="Z866" s="315" t="str">
        <f t="shared" ca="1" si="400"/>
        <v/>
      </c>
      <c r="AA866" s="316" t="str">
        <f t="shared" ca="1" si="401"/>
        <v/>
      </c>
      <c r="AC866" s="310" t="e">
        <f t="shared" ca="1" si="402"/>
        <v>#N/A</v>
      </c>
      <c r="AD866" s="323" t="e">
        <f t="shared" ca="1" si="403"/>
        <v>#N/A</v>
      </c>
      <c r="AE866" s="324" t="e">
        <f t="shared" ca="1" si="382"/>
        <v>#N/A</v>
      </c>
      <c r="AG866" s="306">
        <f t="shared" ca="1" si="404"/>
        <v>-8.835118026693678E-2</v>
      </c>
      <c r="AH866" s="304">
        <f t="shared" ca="1" si="405"/>
        <v>-9.8895414930720555</v>
      </c>
    </row>
    <row r="867" spans="1:34" x14ac:dyDescent="0.2">
      <c r="A867" s="347">
        <f t="shared" ca="1" si="383"/>
        <v>1E-4</v>
      </c>
      <c r="B867" s="304">
        <f t="shared" ca="1" si="384"/>
        <v>44.60570000000051</v>
      </c>
      <c r="D867" s="306">
        <f t="shared" ca="1" si="385"/>
        <v>-0.41902132098677808</v>
      </c>
      <c r="E867" s="307">
        <f t="shared" ca="1" si="386"/>
        <v>7.0670420813312873E-2</v>
      </c>
      <c r="F867" s="304">
        <f t="shared" ca="1" si="387"/>
        <v>0.42493902600189032</v>
      </c>
      <c r="G867" s="306">
        <f t="shared" ca="1" si="388"/>
        <v>4.8954692431806031</v>
      </c>
      <c r="H867" s="307">
        <f t="shared" ca="1" si="389"/>
        <v>-115.43787102074015</v>
      </c>
      <c r="I867" s="304">
        <f t="shared" ca="1" si="390"/>
        <v>115.54162749810982</v>
      </c>
      <c r="J867" s="306">
        <f t="shared" ca="1" si="391"/>
        <v>976.66817413190017</v>
      </c>
      <c r="K867" s="307">
        <f t="shared" ca="1" si="392"/>
        <v>-11.067329005338898</v>
      </c>
      <c r="L867" s="304">
        <f t="shared" ca="1" si="377"/>
        <v>976.7308780485298</v>
      </c>
      <c r="M867" s="306">
        <f t="shared" ca="1" si="393"/>
        <v>-1.5284138949885877</v>
      </c>
      <c r="N867" s="304">
        <f t="shared" ca="1" si="394"/>
        <v>-87.571665531997482</v>
      </c>
      <c r="P867" s="310">
        <f t="shared" ca="1" si="395"/>
        <v>23</v>
      </c>
      <c r="Q867" s="304">
        <f t="shared" ca="1" si="396"/>
        <v>0</v>
      </c>
      <c r="R867" s="306">
        <f t="shared" ca="1" si="397"/>
        <v>0</v>
      </c>
      <c r="S867" s="307">
        <f t="shared" ca="1" si="398"/>
        <v>5.0829999999999913</v>
      </c>
      <c r="T867" s="304">
        <f t="shared" ca="1" si="378"/>
        <v>49.864229999999914</v>
      </c>
      <c r="U867" s="311">
        <f t="shared" ca="1" si="379"/>
        <v>0</v>
      </c>
      <c r="V867" s="306">
        <f t="shared" ca="1" si="380"/>
        <v>1.2263564984438826</v>
      </c>
      <c r="W867" s="304">
        <f t="shared" ca="1" si="381"/>
        <v>50.268640090926041</v>
      </c>
      <c r="Y867" s="314" t="str">
        <f t="shared" ca="1" si="399"/>
        <v/>
      </c>
      <c r="Z867" s="315" t="str">
        <f t="shared" ca="1" si="400"/>
        <v/>
      </c>
      <c r="AA867" s="316" t="str">
        <f t="shared" ca="1" si="401"/>
        <v/>
      </c>
      <c r="AC867" s="310" t="e">
        <f t="shared" ca="1" si="402"/>
        <v>#N/A</v>
      </c>
      <c r="AD867" s="323" t="e">
        <f t="shared" ca="1" si="403"/>
        <v>#N/A</v>
      </c>
      <c r="AE867" s="324" t="e">
        <f t="shared" ca="1" si="382"/>
        <v>#N/A</v>
      </c>
      <c r="AG867" s="306">
        <f t="shared" ca="1" si="404"/>
        <v>-8.8360934578977535E-2</v>
      </c>
      <c r="AH867" s="304">
        <f t="shared" ca="1" si="405"/>
        <v>-9.8895513969126334</v>
      </c>
    </row>
    <row r="868" spans="1:34" x14ac:dyDescent="0.2">
      <c r="A868" s="347">
        <f t="shared" ca="1" si="383"/>
        <v>1E-4</v>
      </c>
      <c r="B868" s="304">
        <f t="shared" ca="1" si="384"/>
        <v>44.605800000000514</v>
      </c>
      <c r="D868" s="306">
        <f t="shared" ca="1" si="385"/>
        <v>-0.41901818612002678</v>
      </c>
      <c r="E868" s="307">
        <f t="shared" ca="1" si="386"/>
        <v>7.0680466341057624E-2</v>
      </c>
      <c r="F868" s="304">
        <f t="shared" ca="1" si="387"/>
        <v>0.42493760556287175</v>
      </c>
      <c r="G868" s="306">
        <f t="shared" ca="1" si="388"/>
        <v>4.8954273413619909</v>
      </c>
      <c r="H868" s="307">
        <f t="shared" ca="1" si="389"/>
        <v>-115.43786395269352</v>
      </c>
      <c r="I868" s="304">
        <f t="shared" ca="1" si="390"/>
        <v>115.54161866104842</v>
      </c>
      <c r="J868" s="306">
        <f t="shared" ca="1" si="391"/>
        <v>976.66817413190017</v>
      </c>
      <c r="K868" s="307">
        <f t="shared" ca="1" si="392"/>
        <v>-11.078872792087569</v>
      </c>
      <c r="L868" s="304">
        <f t="shared" ca="1" si="377"/>
        <v>976.73100891928425</v>
      </c>
      <c r="M868" s="306">
        <f t="shared" ca="1" si="393"/>
        <v>-1.5284142547266621</v>
      </c>
      <c r="N868" s="304">
        <f t="shared" ca="1" si="394"/>
        <v>-87.57168614347087</v>
      </c>
      <c r="P868" s="310">
        <f t="shared" ca="1" si="395"/>
        <v>23</v>
      </c>
      <c r="Q868" s="304">
        <f t="shared" ca="1" si="396"/>
        <v>0</v>
      </c>
      <c r="R868" s="306">
        <f t="shared" ca="1" si="397"/>
        <v>0</v>
      </c>
      <c r="S868" s="307">
        <f t="shared" ca="1" si="398"/>
        <v>5.0829999999999913</v>
      </c>
      <c r="T868" s="304">
        <f t="shared" ca="1" si="378"/>
        <v>49.864229999999914</v>
      </c>
      <c r="U868" s="311">
        <f t="shared" ca="1" si="379"/>
        <v>0</v>
      </c>
      <c r="V868" s="306">
        <f t="shared" ca="1" si="380"/>
        <v>1.2263579141249235</v>
      </c>
      <c r="W868" s="304">
        <f t="shared" ca="1" si="381"/>
        <v>50.268690430542804</v>
      </c>
      <c r="Y868" s="314" t="str">
        <f t="shared" ca="1" si="399"/>
        <v/>
      </c>
      <c r="Z868" s="315" t="str">
        <f t="shared" ca="1" si="400"/>
        <v/>
      </c>
      <c r="AA868" s="316" t="str">
        <f t="shared" ca="1" si="401"/>
        <v/>
      </c>
      <c r="AC868" s="310" t="e">
        <f t="shared" ca="1" si="402"/>
        <v>#N/A</v>
      </c>
      <c r="AD868" s="323" t="e">
        <f t="shared" ca="1" si="403"/>
        <v>#N/A</v>
      </c>
      <c r="AE868" s="324" t="e">
        <f t="shared" ca="1" si="382"/>
        <v>#N/A</v>
      </c>
      <c r="AG868" s="306">
        <f t="shared" ca="1" si="404"/>
        <v>-8.8370688735674108E-2</v>
      </c>
      <c r="AH868" s="304">
        <f t="shared" ca="1" si="405"/>
        <v>-9.8895613005953429</v>
      </c>
    </row>
    <row r="869" spans="1:34" x14ac:dyDescent="0.2">
      <c r="A869" s="347">
        <f t="shared" ca="1" si="383"/>
        <v>1E-4</v>
      </c>
      <c r="B869" s="304">
        <f t="shared" ca="1" si="384"/>
        <v>44.605900000000517</v>
      </c>
      <c r="D869" s="306">
        <f t="shared" ca="1" si="385"/>
        <v>-0.41901505126929278</v>
      </c>
      <c r="E869" s="307">
        <f t="shared" ca="1" si="386"/>
        <v>7.0690511708830783E-2</v>
      </c>
      <c r="F869" s="304">
        <f t="shared" ca="1" si="387"/>
        <v>0.42493618536889088</v>
      </c>
      <c r="G869" s="306">
        <f t="shared" ca="1" si="388"/>
        <v>4.8953854398568639</v>
      </c>
      <c r="H869" s="307">
        <f t="shared" ca="1" si="389"/>
        <v>-115.43785688364235</v>
      </c>
      <c r="I869" s="304">
        <f t="shared" ca="1" si="390"/>
        <v>115.54160982301163</v>
      </c>
      <c r="J869" s="306">
        <f t="shared" ca="1" si="391"/>
        <v>976.66817413190017</v>
      </c>
      <c r="K869" s="307">
        <f t="shared" ca="1" si="392"/>
        <v>-11.090416578129386</v>
      </c>
      <c r="L869" s="304">
        <f t="shared" ca="1" si="377"/>
        <v>976.73113992644676</v>
      </c>
      <c r="M869" s="306">
        <f t="shared" ca="1" si="393"/>
        <v>-1.5284146144617126</v>
      </c>
      <c r="N869" s="304">
        <f t="shared" ca="1" si="394"/>
        <v>-87.571706754771014</v>
      </c>
      <c r="P869" s="310">
        <f t="shared" ca="1" si="395"/>
        <v>23</v>
      </c>
      <c r="Q869" s="304">
        <f t="shared" ca="1" si="396"/>
        <v>0</v>
      </c>
      <c r="R869" s="306">
        <f t="shared" ca="1" si="397"/>
        <v>0</v>
      </c>
      <c r="S869" s="307">
        <f t="shared" ca="1" si="398"/>
        <v>5.0829999999999913</v>
      </c>
      <c r="T869" s="304">
        <f t="shared" ca="1" si="378"/>
        <v>49.864229999999914</v>
      </c>
      <c r="U869" s="311">
        <f t="shared" ca="1" si="379"/>
        <v>0</v>
      </c>
      <c r="V869" s="306">
        <f t="shared" ca="1" si="380"/>
        <v>1.2263593298075124</v>
      </c>
      <c r="W869" s="304">
        <f t="shared" ca="1" si="381"/>
        <v>50.268740769357137</v>
      </c>
      <c r="Y869" s="314" t="str">
        <f t="shared" ca="1" si="399"/>
        <v/>
      </c>
      <c r="Z869" s="315" t="str">
        <f t="shared" ca="1" si="400"/>
        <v/>
      </c>
      <c r="AA869" s="316" t="str">
        <f t="shared" ca="1" si="401"/>
        <v/>
      </c>
      <c r="AC869" s="310" t="e">
        <f t="shared" ca="1" si="402"/>
        <v>#N/A</v>
      </c>
      <c r="AD869" s="323" t="e">
        <f t="shared" ca="1" si="403"/>
        <v>#N/A</v>
      </c>
      <c r="AE869" s="324" t="e">
        <f t="shared" ca="1" si="382"/>
        <v>#N/A</v>
      </c>
      <c r="AG869" s="306">
        <f t="shared" ca="1" si="404"/>
        <v>-8.8380442737026499E-2</v>
      </c>
      <c r="AH869" s="304">
        <f t="shared" ca="1" si="405"/>
        <v>-9.8895712041201822</v>
      </c>
    </row>
    <row r="870" spans="1:34" x14ac:dyDescent="0.2">
      <c r="A870" s="347">
        <f t="shared" ca="1" si="383"/>
        <v>1E-4</v>
      </c>
      <c r="B870" s="304">
        <f t="shared" ca="1" si="384"/>
        <v>44.60600000000052</v>
      </c>
      <c r="D870" s="306">
        <f t="shared" ca="1" si="385"/>
        <v>-0.41901191643457658</v>
      </c>
      <c r="E870" s="307">
        <f t="shared" ca="1" si="386"/>
        <v>7.070055691663768E-2</v>
      </c>
      <c r="F870" s="304">
        <f t="shared" ca="1" si="387"/>
        <v>0.42493476541993985</v>
      </c>
      <c r="G870" s="306">
        <f t="shared" ca="1" si="388"/>
        <v>4.8953435386652204</v>
      </c>
      <c r="H870" s="307">
        <f t="shared" ca="1" si="389"/>
        <v>-115.43784981358667</v>
      </c>
      <c r="I870" s="304">
        <f t="shared" ca="1" si="390"/>
        <v>115.54160098399946</v>
      </c>
      <c r="J870" s="306">
        <f t="shared" ca="1" si="391"/>
        <v>976.66817413190017</v>
      </c>
      <c r="K870" s="307">
        <f t="shared" ca="1" si="392"/>
        <v>-11.101960363464247</v>
      </c>
      <c r="L870" s="304">
        <f t="shared" ca="1" si="377"/>
        <v>976.73127107001733</v>
      </c>
      <c r="M870" s="306">
        <f t="shared" ca="1" si="393"/>
        <v>-1.528414974193739</v>
      </c>
      <c r="N870" s="304">
        <f t="shared" ca="1" si="394"/>
        <v>-87.571727365897871</v>
      </c>
      <c r="P870" s="310">
        <f t="shared" ca="1" si="395"/>
        <v>23</v>
      </c>
      <c r="Q870" s="304">
        <f t="shared" ca="1" si="396"/>
        <v>0</v>
      </c>
      <c r="R870" s="306">
        <f t="shared" ca="1" si="397"/>
        <v>0</v>
      </c>
      <c r="S870" s="307">
        <f t="shared" ca="1" si="398"/>
        <v>5.0829999999999913</v>
      </c>
      <c r="T870" s="304">
        <f t="shared" ca="1" si="378"/>
        <v>49.864229999999914</v>
      </c>
      <c r="U870" s="311">
        <f t="shared" ca="1" si="379"/>
        <v>0</v>
      </c>
      <c r="V870" s="306">
        <f t="shared" ca="1" si="380"/>
        <v>1.2263607454916499</v>
      </c>
      <c r="W870" s="304">
        <f t="shared" ca="1" si="381"/>
        <v>50.268791107369069</v>
      </c>
      <c r="Y870" s="314" t="str">
        <f t="shared" ca="1" si="399"/>
        <v/>
      </c>
      <c r="Z870" s="315" t="str">
        <f t="shared" ca="1" si="400"/>
        <v/>
      </c>
      <c r="AA870" s="316" t="str">
        <f t="shared" ca="1" si="401"/>
        <v/>
      </c>
      <c r="AC870" s="310" t="e">
        <f t="shared" ca="1" si="402"/>
        <v>#N/A</v>
      </c>
      <c r="AD870" s="323" t="e">
        <f t="shared" ca="1" si="403"/>
        <v>#N/A</v>
      </c>
      <c r="AE870" s="324" t="e">
        <f t="shared" ca="1" si="382"/>
        <v>#N/A</v>
      </c>
      <c r="AG870" s="306">
        <f t="shared" ca="1" si="404"/>
        <v>-8.8390196583040037E-2</v>
      </c>
      <c r="AH870" s="304">
        <f t="shared" ca="1" si="405"/>
        <v>-9.8895811074871585</v>
      </c>
    </row>
    <row r="871" spans="1:34" x14ac:dyDescent="0.2">
      <c r="A871" s="347">
        <f t="shared" ca="1" si="383"/>
        <v>1E-4</v>
      </c>
      <c r="B871" s="304">
        <f t="shared" ca="1" si="384"/>
        <v>44.606100000000524</v>
      </c>
      <c r="D871" s="306">
        <f t="shared" ca="1" si="385"/>
        <v>-0.41900878161587851</v>
      </c>
      <c r="E871" s="307">
        <f t="shared" ca="1" si="386"/>
        <v>7.0710601964481867E-2</v>
      </c>
      <c r="F871" s="304">
        <f t="shared" ca="1" si="387"/>
        <v>0.42493334571601032</v>
      </c>
      <c r="G871" s="306">
        <f t="shared" ca="1" si="388"/>
        <v>4.8953016377870586</v>
      </c>
      <c r="H871" s="307">
        <f t="shared" ca="1" si="389"/>
        <v>-115.43784274252647</v>
      </c>
      <c r="I871" s="304">
        <f t="shared" ca="1" si="390"/>
        <v>115.5415921440119</v>
      </c>
      <c r="J871" s="306">
        <f t="shared" ca="1" si="391"/>
        <v>976.66817413190017</v>
      </c>
      <c r="K871" s="307">
        <f t="shared" ca="1" si="392"/>
        <v>-11.113504148092053</v>
      </c>
      <c r="L871" s="304">
        <f t="shared" ca="1" si="377"/>
        <v>976.73140234999585</v>
      </c>
      <c r="M871" s="306">
        <f t="shared" ca="1" si="393"/>
        <v>-1.5284153339227411</v>
      </c>
      <c r="N871" s="304">
        <f t="shared" ca="1" si="394"/>
        <v>-87.571747976851469</v>
      </c>
      <c r="P871" s="310">
        <f t="shared" ca="1" si="395"/>
        <v>23</v>
      </c>
      <c r="Q871" s="304">
        <f t="shared" ca="1" si="396"/>
        <v>0</v>
      </c>
      <c r="R871" s="306">
        <f t="shared" ca="1" si="397"/>
        <v>0</v>
      </c>
      <c r="S871" s="307">
        <f t="shared" ca="1" si="398"/>
        <v>5.0829999999999913</v>
      </c>
      <c r="T871" s="304">
        <f t="shared" ca="1" si="378"/>
        <v>49.864229999999914</v>
      </c>
      <c r="U871" s="311">
        <f t="shared" ca="1" si="379"/>
        <v>0</v>
      </c>
      <c r="V871" s="306">
        <f t="shared" ca="1" si="380"/>
        <v>1.2263621611773361</v>
      </c>
      <c r="W871" s="304">
        <f t="shared" ca="1" si="381"/>
        <v>50.268841444578577</v>
      </c>
      <c r="Y871" s="314" t="str">
        <f t="shared" ca="1" si="399"/>
        <v/>
      </c>
      <c r="Z871" s="315" t="str">
        <f t="shared" ca="1" si="400"/>
        <v/>
      </c>
      <c r="AA871" s="316" t="str">
        <f t="shared" ca="1" si="401"/>
        <v/>
      </c>
      <c r="AC871" s="310" t="e">
        <f t="shared" ca="1" si="402"/>
        <v>#N/A</v>
      </c>
      <c r="AD871" s="323" t="e">
        <f t="shared" ca="1" si="403"/>
        <v>#N/A</v>
      </c>
      <c r="AE871" s="324" t="e">
        <f t="shared" ca="1" si="382"/>
        <v>#N/A</v>
      </c>
      <c r="AG871" s="306">
        <f t="shared" ca="1" si="404"/>
        <v>-8.8399950273720052E-2</v>
      </c>
      <c r="AH871" s="304">
        <f t="shared" ca="1" si="405"/>
        <v>-9.8895910106962734</v>
      </c>
    </row>
    <row r="872" spans="1:34" x14ac:dyDescent="0.2">
      <c r="A872" s="347">
        <f t="shared" ca="1" si="383"/>
        <v>1E-4</v>
      </c>
      <c r="B872" s="304">
        <f t="shared" ca="1" si="384"/>
        <v>44.606200000000527</v>
      </c>
      <c r="D872" s="306">
        <f t="shared" ca="1" si="385"/>
        <v>-0.4190056468132009</v>
      </c>
      <c r="E872" s="307">
        <f t="shared" ca="1" si="386"/>
        <v>7.0720646852358016E-2</v>
      </c>
      <c r="F872" s="304">
        <f t="shared" ca="1" si="387"/>
        <v>0.42493192625709447</v>
      </c>
      <c r="G872" s="306">
        <f t="shared" ca="1" si="388"/>
        <v>4.8952597372223776</v>
      </c>
      <c r="H872" s="307">
        <f t="shared" ca="1" si="389"/>
        <v>-115.43783567046178</v>
      </c>
      <c r="I872" s="304">
        <f t="shared" ca="1" si="390"/>
        <v>115.54158330304898</v>
      </c>
      <c r="J872" s="306">
        <f t="shared" ca="1" si="391"/>
        <v>976.66817413190017</v>
      </c>
      <c r="K872" s="307">
        <f t="shared" ca="1" si="392"/>
        <v>-11.125047932012702</v>
      </c>
      <c r="L872" s="304">
        <f t="shared" ca="1" si="377"/>
        <v>976.7315337663822</v>
      </c>
      <c r="M872" s="306">
        <f t="shared" ca="1" si="393"/>
        <v>-1.5284156936487194</v>
      </c>
      <c r="N872" s="304">
        <f t="shared" ca="1" si="394"/>
        <v>-87.571768587631809</v>
      </c>
      <c r="P872" s="310">
        <f t="shared" ca="1" si="395"/>
        <v>23</v>
      </c>
      <c r="Q872" s="304">
        <f t="shared" ca="1" si="396"/>
        <v>0</v>
      </c>
      <c r="R872" s="306">
        <f t="shared" ca="1" si="397"/>
        <v>0</v>
      </c>
      <c r="S872" s="307">
        <f t="shared" ca="1" si="398"/>
        <v>5.0829999999999913</v>
      </c>
      <c r="T872" s="304">
        <f t="shared" ca="1" si="378"/>
        <v>49.864229999999914</v>
      </c>
      <c r="U872" s="311">
        <f t="shared" ca="1" si="379"/>
        <v>0</v>
      </c>
      <c r="V872" s="306">
        <f t="shared" ca="1" si="380"/>
        <v>1.2263635768645704</v>
      </c>
      <c r="W872" s="304">
        <f t="shared" ca="1" si="381"/>
        <v>50.268891780985669</v>
      </c>
      <c r="Y872" s="314" t="str">
        <f t="shared" ca="1" si="399"/>
        <v/>
      </c>
      <c r="Z872" s="315" t="str">
        <f t="shared" ca="1" si="400"/>
        <v/>
      </c>
      <c r="AA872" s="316" t="str">
        <f t="shared" ca="1" si="401"/>
        <v/>
      </c>
      <c r="AC872" s="310" t="e">
        <f t="shared" ca="1" si="402"/>
        <v>#N/A</v>
      </c>
      <c r="AD872" s="323" t="e">
        <f t="shared" ca="1" si="403"/>
        <v>#N/A</v>
      </c>
      <c r="AE872" s="324" t="e">
        <f t="shared" ca="1" si="382"/>
        <v>#N/A</v>
      </c>
      <c r="AG872" s="306">
        <f t="shared" ca="1" si="404"/>
        <v>-8.8409703809059437E-2</v>
      </c>
      <c r="AH872" s="304">
        <f t="shared" ca="1" si="405"/>
        <v>-9.8896009137475236</v>
      </c>
    </row>
    <row r="873" spans="1:34" x14ac:dyDescent="0.2">
      <c r="A873" s="347">
        <f t="shared" ca="1" si="383"/>
        <v>1E-4</v>
      </c>
      <c r="B873" s="304">
        <f t="shared" ca="1" si="384"/>
        <v>44.60630000000053</v>
      </c>
      <c r="D873" s="306">
        <f t="shared" ca="1" si="385"/>
        <v>-0.41900251202653971</v>
      </c>
      <c r="E873" s="307">
        <f t="shared" ca="1" si="386"/>
        <v>7.0730691580271454E-2</v>
      </c>
      <c r="F873" s="304">
        <f t="shared" ca="1" si="387"/>
        <v>0.42493050704318003</v>
      </c>
      <c r="G873" s="306">
        <f t="shared" ca="1" si="388"/>
        <v>4.8952178369711747</v>
      </c>
      <c r="H873" s="307">
        <f t="shared" ca="1" si="389"/>
        <v>-115.43782859739262</v>
      </c>
      <c r="I873" s="304">
        <f t="shared" ca="1" si="390"/>
        <v>115.54157446111074</v>
      </c>
      <c r="J873" s="306">
        <f t="shared" ca="1" si="391"/>
        <v>976.66817413190017</v>
      </c>
      <c r="K873" s="307">
        <f t="shared" ca="1" si="392"/>
        <v>-11.136591715226094</v>
      </c>
      <c r="L873" s="304">
        <f t="shared" ca="1" si="377"/>
        <v>976.73166531917627</v>
      </c>
      <c r="M873" s="306">
        <f t="shared" ca="1" si="393"/>
        <v>-1.5284160533716737</v>
      </c>
      <c r="N873" s="304">
        <f t="shared" ca="1" si="394"/>
        <v>-87.571789198238889</v>
      </c>
      <c r="P873" s="310">
        <f t="shared" ca="1" si="395"/>
        <v>23</v>
      </c>
      <c r="Q873" s="304">
        <f t="shared" ca="1" si="396"/>
        <v>0</v>
      </c>
      <c r="R873" s="306">
        <f t="shared" ca="1" si="397"/>
        <v>0</v>
      </c>
      <c r="S873" s="307">
        <f t="shared" ca="1" si="398"/>
        <v>5.0829999999999913</v>
      </c>
      <c r="T873" s="304">
        <f t="shared" ca="1" si="378"/>
        <v>49.864229999999914</v>
      </c>
      <c r="U873" s="311">
        <f t="shared" ca="1" si="379"/>
        <v>0</v>
      </c>
      <c r="V873" s="306">
        <f t="shared" ca="1" si="380"/>
        <v>1.2263649925533533</v>
      </c>
      <c r="W873" s="304">
        <f t="shared" ca="1" si="381"/>
        <v>50.268942116590395</v>
      </c>
      <c r="Y873" s="314" t="str">
        <f t="shared" ca="1" si="399"/>
        <v/>
      </c>
      <c r="Z873" s="315" t="str">
        <f t="shared" ca="1" si="400"/>
        <v/>
      </c>
      <c r="AA873" s="316" t="str">
        <f t="shared" ca="1" si="401"/>
        <v/>
      </c>
      <c r="AC873" s="310" t="e">
        <f t="shared" ca="1" si="402"/>
        <v>#N/A</v>
      </c>
      <c r="AD873" s="323" t="e">
        <f t="shared" ca="1" si="403"/>
        <v>#N/A</v>
      </c>
      <c r="AE873" s="324" t="e">
        <f t="shared" ca="1" si="382"/>
        <v>#N/A</v>
      </c>
      <c r="AG873" s="306">
        <f t="shared" ca="1" si="404"/>
        <v>-8.8419457189061745E-2</v>
      </c>
      <c r="AH873" s="304">
        <f t="shared" ca="1" si="405"/>
        <v>-9.8896108166409125</v>
      </c>
    </row>
    <row r="874" spans="1:34" x14ac:dyDescent="0.2">
      <c r="A874" s="347">
        <f t="shared" ca="1" si="383"/>
        <v>1E-4</v>
      </c>
      <c r="B874" s="304">
        <f t="shared" ca="1" si="384"/>
        <v>44.606400000000534</v>
      </c>
      <c r="D874" s="306">
        <f t="shared" ca="1" si="385"/>
        <v>-0.41899937725589786</v>
      </c>
      <c r="E874" s="307">
        <f t="shared" ca="1" si="386"/>
        <v>7.0740736148231065E-2</v>
      </c>
      <c r="F874" s="304">
        <f t="shared" ca="1" si="387"/>
        <v>0.42492908807426194</v>
      </c>
      <c r="G874" s="306">
        <f t="shared" ca="1" si="388"/>
        <v>4.8951759370334491</v>
      </c>
      <c r="H874" s="307">
        <f t="shared" ca="1" si="389"/>
        <v>-115.43782152331902</v>
      </c>
      <c r="I874" s="304">
        <f t="shared" ca="1" si="390"/>
        <v>115.54156561819718</v>
      </c>
      <c r="J874" s="306">
        <f t="shared" ca="1" si="391"/>
        <v>976.66817413190017</v>
      </c>
      <c r="K874" s="307">
        <f t="shared" ca="1" si="392"/>
        <v>-11.148135497732129</v>
      </c>
      <c r="L874" s="304">
        <f t="shared" ca="1" si="377"/>
        <v>976.73179700837807</v>
      </c>
      <c r="M874" s="306">
        <f t="shared" ca="1" si="393"/>
        <v>-1.5284164130916043</v>
      </c>
      <c r="N874" s="304">
        <f t="shared" ca="1" si="394"/>
        <v>-87.571809808672711</v>
      </c>
      <c r="P874" s="310">
        <f t="shared" ca="1" si="395"/>
        <v>23</v>
      </c>
      <c r="Q874" s="304">
        <f t="shared" ca="1" si="396"/>
        <v>0</v>
      </c>
      <c r="R874" s="306">
        <f t="shared" ca="1" si="397"/>
        <v>0</v>
      </c>
      <c r="S874" s="307">
        <f t="shared" ca="1" si="398"/>
        <v>5.0829999999999913</v>
      </c>
      <c r="T874" s="304">
        <f t="shared" ca="1" si="378"/>
        <v>49.864229999999914</v>
      </c>
      <c r="U874" s="311">
        <f t="shared" ca="1" si="379"/>
        <v>0</v>
      </c>
      <c r="V874" s="306">
        <f t="shared" ca="1" si="380"/>
        <v>1.2263664082436847</v>
      </c>
      <c r="W874" s="304">
        <f t="shared" ca="1" si="381"/>
        <v>50.268992451392755</v>
      </c>
      <c r="Y874" s="314" t="str">
        <f t="shared" ca="1" si="399"/>
        <v/>
      </c>
      <c r="Z874" s="315" t="str">
        <f t="shared" ca="1" si="400"/>
        <v/>
      </c>
      <c r="AA874" s="316" t="str">
        <f t="shared" ca="1" si="401"/>
        <v/>
      </c>
      <c r="AC874" s="310" t="e">
        <f t="shared" ca="1" si="402"/>
        <v>#N/A</v>
      </c>
      <c r="AD874" s="323" t="e">
        <f t="shared" ca="1" si="403"/>
        <v>#N/A</v>
      </c>
      <c r="AE874" s="324" t="e">
        <f t="shared" ca="1" si="382"/>
        <v>#N/A</v>
      </c>
      <c r="AG874" s="306">
        <f t="shared" ca="1" si="404"/>
        <v>-8.8429210413735859E-2</v>
      </c>
      <c r="AH874" s="304">
        <f t="shared" ca="1" si="405"/>
        <v>-9.8896207193764472</v>
      </c>
    </row>
    <row r="875" spans="1:34" x14ac:dyDescent="0.2">
      <c r="A875" s="347">
        <f t="shared" ca="1" si="383"/>
        <v>1E-4</v>
      </c>
      <c r="B875" s="304">
        <f t="shared" ca="1" si="384"/>
        <v>44.606500000000537</v>
      </c>
      <c r="D875" s="306">
        <f t="shared" ca="1" si="385"/>
        <v>-0.41899624250127332</v>
      </c>
      <c r="E875" s="307">
        <f t="shared" ca="1" si="386"/>
        <v>7.0750780556235071E-2</v>
      </c>
      <c r="F875" s="304">
        <f t="shared" ca="1" si="387"/>
        <v>0.42492766935032877</v>
      </c>
      <c r="G875" s="306">
        <f t="shared" ca="1" si="388"/>
        <v>4.8951340374091989</v>
      </c>
      <c r="H875" s="307">
        <f t="shared" ca="1" si="389"/>
        <v>-115.43781444824096</v>
      </c>
      <c r="I875" s="304">
        <f t="shared" ca="1" si="390"/>
        <v>115.5415567743083</v>
      </c>
      <c r="J875" s="306">
        <f t="shared" ca="1" si="391"/>
        <v>976.66817413190017</v>
      </c>
      <c r="K875" s="307">
        <f t="shared" ca="1" si="392"/>
        <v>-11.159679279530707</v>
      </c>
      <c r="L875" s="304">
        <f t="shared" ca="1" si="377"/>
        <v>976.73192883398747</v>
      </c>
      <c r="M875" s="306">
        <f t="shared" ca="1" si="393"/>
        <v>-1.5284167728085107</v>
      </c>
      <c r="N875" s="304">
        <f t="shared" ca="1" si="394"/>
        <v>-87.571830418933274</v>
      </c>
      <c r="P875" s="310">
        <f t="shared" ca="1" si="395"/>
        <v>23</v>
      </c>
      <c r="Q875" s="304">
        <f t="shared" ca="1" si="396"/>
        <v>0</v>
      </c>
      <c r="R875" s="306">
        <f t="shared" ca="1" si="397"/>
        <v>0</v>
      </c>
      <c r="S875" s="307">
        <f t="shared" ca="1" si="398"/>
        <v>5.0829999999999913</v>
      </c>
      <c r="T875" s="304">
        <f t="shared" ca="1" si="378"/>
        <v>49.864229999999914</v>
      </c>
      <c r="U875" s="311">
        <f t="shared" ca="1" si="379"/>
        <v>0</v>
      </c>
      <c r="V875" s="306">
        <f t="shared" ca="1" si="380"/>
        <v>1.2263678239355642</v>
      </c>
      <c r="W875" s="304">
        <f t="shared" ca="1" si="381"/>
        <v>50.26904278539272</v>
      </c>
      <c r="Y875" s="314" t="str">
        <f t="shared" ca="1" si="399"/>
        <v/>
      </c>
      <c r="Z875" s="315" t="str">
        <f t="shared" ca="1" si="400"/>
        <v/>
      </c>
      <c r="AA875" s="316" t="str">
        <f t="shared" ca="1" si="401"/>
        <v/>
      </c>
      <c r="AC875" s="310" t="e">
        <f t="shared" ca="1" si="402"/>
        <v>#N/A</v>
      </c>
      <c r="AD875" s="323" t="e">
        <f t="shared" ca="1" si="403"/>
        <v>#N/A</v>
      </c>
      <c r="AE875" s="324" t="e">
        <f t="shared" ca="1" si="382"/>
        <v>#N/A</v>
      </c>
      <c r="AG875" s="306">
        <f t="shared" ca="1" si="404"/>
        <v>-8.8438963483081778E-2</v>
      </c>
      <c r="AH875" s="304">
        <f t="shared" ca="1" si="405"/>
        <v>-9.8896306219541295</v>
      </c>
    </row>
    <row r="876" spans="1:34" x14ac:dyDescent="0.2">
      <c r="A876" s="347">
        <f t="shared" ca="1" si="383"/>
        <v>1E-4</v>
      </c>
      <c r="B876" s="304">
        <f t="shared" ca="1" si="384"/>
        <v>44.60660000000054</v>
      </c>
      <c r="D876" s="306">
        <f t="shared" ca="1" si="385"/>
        <v>-0.4189931077626684</v>
      </c>
      <c r="E876" s="307">
        <f t="shared" ca="1" si="386"/>
        <v>7.0760824804278144E-2</v>
      </c>
      <c r="F876" s="304">
        <f t="shared" ca="1" si="387"/>
        <v>0.4249262508713727</v>
      </c>
      <c r="G876" s="306">
        <f t="shared" ca="1" si="388"/>
        <v>4.8950921380984225</v>
      </c>
      <c r="H876" s="307">
        <f t="shared" ca="1" si="389"/>
        <v>-115.43780737215847</v>
      </c>
      <c r="I876" s="304">
        <f t="shared" ca="1" si="390"/>
        <v>115.54154792944415</v>
      </c>
      <c r="J876" s="306">
        <f t="shared" ca="1" si="391"/>
        <v>976.66817413190017</v>
      </c>
      <c r="K876" s="307">
        <f t="shared" ca="1" si="392"/>
        <v>-11.171223060621728</v>
      </c>
      <c r="L876" s="304">
        <f t="shared" ca="1" si="377"/>
        <v>976.73206079600448</v>
      </c>
      <c r="M876" s="306">
        <f t="shared" ca="1" si="393"/>
        <v>-1.5284171325223932</v>
      </c>
      <c r="N876" s="304">
        <f t="shared" ca="1" si="394"/>
        <v>-87.571851029020564</v>
      </c>
      <c r="P876" s="310">
        <f t="shared" ca="1" si="395"/>
        <v>23</v>
      </c>
      <c r="Q876" s="304">
        <f t="shared" ca="1" si="396"/>
        <v>0</v>
      </c>
      <c r="R876" s="306">
        <f t="shared" ca="1" si="397"/>
        <v>0</v>
      </c>
      <c r="S876" s="307">
        <f t="shared" ca="1" si="398"/>
        <v>5.0829999999999913</v>
      </c>
      <c r="T876" s="304">
        <f t="shared" ca="1" si="378"/>
        <v>49.864229999999914</v>
      </c>
      <c r="U876" s="311">
        <f t="shared" ca="1" si="379"/>
        <v>0</v>
      </c>
      <c r="V876" s="306">
        <f t="shared" ca="1" si="380"/>
        <v>1.226369239628992</v>
      </c>
      <c r="W876" s="304">
        <f t="shared" ca="1" si="381"/>
        <v>50.269093118590341</v>
      </c>
      <c r="Y876" s="314" t="str">
        <f t="shared" ca="1" si="399"/>
        <v/>
      </c>
      <c r="Z876" s="315" t="str">
        <f t="shared" ca="1" si="400"/>
        <v/>
      </c>
      <c r="AA876" s="316" t="str">
        <f t="shared" ca="1" si="401"/>
        <v/>
      </c>
      <c r="AC876" s="310" t="e">
        <f t="shared" ca="1" si="402"/>
        <v>#N/A</v>
      </c>
      <c r="AD876" s="323" t="e">
        <f t="shared" ca="1" si="403"/>
        <v>#N/A</v>
      </c>
      <c r="AE876" s="324" t="e">
        <f t="shared" ca="1" si="382"/>
        <v>#N/A</v>
      </c>
      <c r="AG876" s="306">
        <f t="shared" ca="1" si="404"/>
        <v>-8.8448716397094174E-2</v>
      </c>
      <c r="AH876" s="304">
        <f t="shared" ca="1" si="405"/>
        <v>-9.889640524373954</v>
      </c>
    </row>
    <row r="877" spans="1:34" x14ac:dyDescent="0.2">
      <c r="A877" s="347">
        <f t="shared" ca="1" si="383"/>
        <v>1E-4</v>
      </c>
      <c r="B877" s="304">
        <f t="shared" ca="1" si="384"/>
        <v>44.606700000000544</v>
      </c>
      <c r="D877" s="306">
        <f t="shared" ca="1" si="385"/>
        <v>-0.41898997304008367</v>
      </c>
      <c r="E877" s="307">
        <f t="shared" ca="1" si="386"/>
        <v>7.0770868892370942E-2</v>
      </c>
      <c r="F877" s="304">
        <f t="shared" ca="1" si="387"/>
        <v>0.42492483263738684</v>
      </c>
      <c r="G877" s="306">
        <f t="shared" ca="1" si="388"/>
        <v>4.8950502391011188</v>
      </c>
      <c r="H877" s="307">
        <f t="shared" ca="1" si="389"/>
        <v>-115.43780029507158</v>
      </c>
      <c r="I877" s="304">
        <f t="shared" ca="1" si="390"/>
        <v>115.5415390836047</v>
      </c>
      <c r="J877" s="306">
        <f t="shared" ca="1" si="391"/>
        <v>976.66817413190017</v>
      </c>
      <c r="K877" s="307">
        <f t="shared" ca="1" si="392"/>
        <v>-11.182766841005089</v>
      </c>
      <c r="L877" s="304">
        <f t="shared" ca="1" si="377"/>
        <v>976.73219289442898</v>
      </c>
      <c r="M877" s="306">
        <f t="shared" ca="1" si="393"/>
        <v>-1.5284174922332521</v>
      </c>
      <c r="N877" s="304">
        <f t="shared" ca="1" si="394"/>
        <v>-87.571871638934624</v>
      </c>
      <c r="P877" s="310">
        <f t="shared" ca="1" si="395"/>
        <v>23</v>
      </c>
      <c r="Q877" s="304">
        <f t="shared" ca="1" si="396"/>
        <v>0</v>
      </c>
      <c r="R877" s="306">
        <f t="shared" ca="1" si="397"/>
        <v>0</v>
      </c>
      <c r="S877" s="307">
        <f t="shared" ca="1" si="398"/>
        <v>5.0829999999999913</v>
      </c>
      <c r="T877" s="304">
        <f t="shared" ca="1" si="378"/>
        <v>49.864229999999914</v>
      </c>
      <c r="U877" s="311">
        <f t="shared" ca="1" si="379"/>
        <v>0</v>
      </c>
      <c r="V877" s="306">
        <f t="shared" ca="1" si="380"/>
        <v>1.2263706553239686</v>
      </c>
      <c r="W877" s="304">
        <f t="shared" ca="1" si="381"/>
        <v>50.269143450985609</v>
      </c>
      <c r="Y877" s="314" t="str">
        <f t="shared" ca="1" si="399"/>
        <v/>
      </c>
      <c r="Z877" s="315" t="str">
        <f t="shared" ca="1" si="400"/>
        <v/>
      </c>
      <c r="AA877" s="316" t="str">
        <f t="shared" ca="1" si="401"/>
        <v/>
      </c>
      <c r="AC877" s="310" t="e">
        <f t="shared" ca="1" si="402"/>
        <v>#N/A</v>
      </c>
      <c r="AD877" s="323" t="e">
        <f t="shared" ca="1" si="403"/>
        <v>#N/A</v>
      </c>
      <c r="AE877" s="324" t="e">
        <f t="shared" ca="1" si="382"/>
        <v>#N/A</v>
      </c>
      <c r="AG877" s="306">
        <f t="shared" ca="1" si="404"/>
        <v>-8.845846915578548E-2</v>
      </c>
      <c r="AH877" s="304">
        <f t="shared" ca="1" si="405"/>
        <v>-9.8896504266359297</v>
      </c>
    </row>
    <row r="878" spans="1:34" x14ac:dyDescent="0.2">
      <c r="A878" s="347">
        <f t="shared" ca="1" si="383"/>
        <v>1E-4</v>
      </c>
      <c r="B878" s="304">
        <f t="shared" ca="1" si="384"/>
        <v>44.606800000000547</v>
      </c>
      <c r="D878" s="306">
        <f t="shared" ca="1" si="385"/>
        <v>-0.41898683833351508</v>
      </c>
      <c r="E878" s="307">
        <f t="shared" ca="1" si="386"/>
        <v>7.0780912820511688E-2</v>
      </c>
      <c r="F878" s="304">
        <f t="shared" ca="1" si="387"/>
        <v>0.42492341464835748</v>
      </c>
      <c r="G878" s="306">
        <f t="shared" ca="1" si="388"/>
        <v>4.8950083404172853</v>
      </c>
      <c r="H878" s="307">
        <f t="shared" ca="1" si="389"/>
        <v>-115.4377932169803</v>
      </c>
      <c r="I878" s="304">
        <f t="shared" ca="1" si="390"/>
        <v>115.54153023679</v>
      </c>
      <c r="J878" s="306">
        <f t="shared" ca="1" si="391"/>
        <v>976.66817413190017</v>
      </c>
      <c r="K878" s="307">
        <f t="shared" ca="1" si="392"/>
        <v>-11.194310620680691</v>
      </c>
      <c r="L878" s="304">
        <f t="shared" ca="1" si="377"/>
        <v>976.73232512926074</v>
      </c>
      <c r="M878" s="306">
        <f t="shared" ca="1" si="393"/>
        <v>-1.5284178519410869</v>
      </c>
      <c r="N878" s="304">
        <f t="shared" ca="1" si="394"/>
        <v>-87.571892248675425</v>
      </c>
      <c r="P878" s="310">
        <f t="shared" ca="1" si="395"/>
        <v>23</v>
      </c>
      <c r="Q878" s="304">
        <f t="shared" ca="1" si="396"/>
        <v>0</v>
      </c>
      <c r="R878" s="306">
        <f t="shared" ca="1" si="397"/>
        <v>0</v>
      </c>
      <c r="S878" s="307">
        <f t="shared" ca="1" si="398"/>
        <v>5.0829999999999913</v>
      </c>
      <c r="T878" s="304">
        <f t="shared" ca="1" si="378"/>
        <v>49.864229999999914</v>
      </c>
      <c r="U878" s="311">
        <f t="shared" ca="1" si="379"/>
        <v>0</v>
      </c>
      <c r="V878" s="306">
        <f t="shared" ca="1" si="380"/>
        <v>1.2263720710204935</v>
      </c>
      <c r="W878" s="304">
        <f t="shared" ca="1" si="381"/>
        <v>50.269193782578547</v>
      </c>
      <c r="Y878" s="314" t="str">
        <f t="shared" ca="1" si="399"/>
        <v/>
      </c>
      <c r="Z878" s="315" t="str">
        <f t="shared" ca="1" si="400"/>
        <v/>
      </c>
      <c r="AA878" s="316" t="str">
        <f t="shared" ca="1" si="401"/>
        <v/>
      </c>
      <c r="AC878" s="310" t="e">
        <f t="shared" ca="1" si="402"/>
        <v>#N/A</v>
      </c>
      <c r="AD878" s="323" t="e">
        <f t="shared" ca="1" si="403"/>
        <v>#N/A</v>
      </c>
      <c r="AE878" s="324" t="e">
        <f t="shared" ca="1" si="382"/>
        <v>#N/A</v>
      </c>
      <c r="AG878" s="306">
        <f t="shared" ca="1" si="404"/>
        <v>-8.8468221759148591E-2</v>
      </c>
      <c r="AH878" s="304">
        <f t="shared" ca="1" si="405"/>
        <v>-9.8896603287400549</v>
      </c>
    </row>
    <row r="879" spans="1:34" x14ac:dyDescent="0.2">
      <c r="A879" s="347">
        <f t="shared" ca="1" si="383"/>
        <v>1E-4</v>
      </c>
      <c r="B879" s="304">
        <f t="shared" ca="1" si="384"/>
        <v>44.60690000000055</v>
      </c>
      <c r="D879" s="306">
        <f t="shared" ca="1" si="385"/>
        <v>-0.41898370364296728</v>
      </c>
      <c r="E879" s="307">
        <f t="shared" ca="1" si="386"/>
        <v>7.0790956588702159E-2</v>
      </c>
      <c r="F879" s="304">
        <f t="shared" ca="1" si="387"/>
        <v>0.42492199690428051</v>
      </c>
      <c r="G879" s="306">
        <f t="shared" ca="1" si="388"/>
        <v>4.894966442046921</v>
      </c>
      <c r="H879" s="307">
        <f t="shared" ca="1" si="389"/>
        <v>-115.43778613788464</v>
      </c>
      <c r="I879" s="304">
        <f t="shared" ca="1" si="390"/>
        <v>115.54152138900005</v>
      </c>
      <c r="J879" s="306">
        <f t="shared" ca="1" si="391"/>
        <v>976.66817413190017</v>
      </c>
      <c r="K879" s="307">
        <f t="shared" ca="1" si="392"/>
        <v>-11.205854399648434</v>
      </c>
      <c r="L879" s="304">
        <f t="shared" ca="1" si="377"/>
        <v>976.73245750049989</v>
      </c>
      <c r="M879" s="306">
        <f t="shared" ca="1" si="393"/>
        <v>-1.528418211645898</v>
      </c>
      <c r="N879" s="304">
        <f t="shared" ca="1" si="394"/>
        <v>-87.571912858242968</v>
      </c>
      <c r="P879" s="310">
        <f t="shared" ca="1" si="395"/>
        <v>23</v>
      </c>
      <c r="Q879" s="304">
        <f t="shared" ca="1" si="396"/>
        <v>0</v>
      </c>
      <c r="R879" s="306">
        <f t="shared" ca="1" si="397"/>
        <v>0</v>
      </c>
      <c r="S879" s="307">
        <f t="shared" ca="1" si="398"/>
        <v>5.0829999999999913</v>
      </c>
      <c r="T879" s="304">
        <f t="shared" ca="1" si="378"/>
        <v>49.864229999999914</v>
      </c>
      <c r="U879" s="311">
        <f t="shared" ca="1" si="379"/>
        <v>0</v>
      </c>
      <c r="V879" s="306">
        <f t="shared" ca="1" si="380"/>
        <v>1.2263734867185667</v>
      </c>
      <c r="W879" s="304">
        <f t="shared" ca="1" si="381"/>
        <v>50.269244113369169</v>
      </c>
      <c r="Y879" s="314" t="str">
        <f t="shared" ca="1" si="399"/>
        <v/>
      </c>
      <c r="Z879" s="315" t="str">
        <f t="shared" ca="1" si="400"/>
        <v/>
      </c>
      <c r="AA879" s="316" t="str">
        <f t="shared" ca="1" si="401"/>
        <v/>
      </c>
      <c r="AC879" s="310" t="e">
        <f t="shared" ca="1" si="402"/>
        <v>#N/A</v>
      </c>
      <c r="AD879" s="323" t="e">
        <f t="shared" ca="1" si="403"/>
        <v>#N/A</v>
      </c>
      <c r="AE879" s="324" t="e">
        <f t="shared" ca="1" si="382"/>
        <v>#N/A</v>
      </c>
      <c r="AG879" s="306">
        <f t="shared" ca="1" si="404"/>
        <v>-8.8477974207192389E-2</v>
      </c>
      <c r="AH879" s="304">
        <f t="shared" ca="1" si="405"/>
        <v>-9.8896702306863329</v>
      </c>
    </row>
    <row r="880" spans="1:34" x14ac:dyDescent="0.2">
      <c r="A880" s="347">
        <f t="shared" ca="1" si="383"/>
        <v>1E-4</v>
      </c>
      <c r="B880" s="304">
        <f t="shared" ca="1" si="384"/>
        <v>44.607000000000554</v>
      </c>
      <c r="D880" s="306">
        <f t="shared" ca="1" si="385"/>
        <v>-0.4189805689684386</v>
      </c>
      <c r="E880" s="307">
        <f t="shared" ca="1" si="386"/>
        <v>7.080100019694946E-2</v>
      </c>
      <c r="F880" s="304">
        <f t="shared" ca="1" si="387"/>
        <v>0.42492057940514599</v>
      </c>
      <c r="G880" s="306">
        <f t="shared" ca="1" si="388"/>
        <v>4.8949245439900242</v>
      </c>
      <c r="H880" s="307">
        <f t="shared" ca="1" si="389"/>
        <v>-115.43777905778462</v>
      </c>
      <c r="I880" s="304">
        <f t="shared" ca="1" si="390"/>
        <v>115.54151254023489</v>
      </c>
      <c r="J880" s="306">
        <f t="shared" ca="1" si="391"/>
        <v>976.66817413190017</v>
      </c>
      <c r="K880" s="307">
        <f t="shared" ca="1" si="392"/>
        <v>-11.217398177908217</v>
      </c>
      <c r="L880" s="304">
        <f t="shared" ca="1" si="377"/>
        <v>976.73259000814619</v>
      </c>
      <c r="M880" s="306">
        <f t="shared" ca="1" si="393"/>
        <v>-1.5284185713476854</v>
      </c>
      <c r="N880" s="304">
        <f t="shared" ca="1" si="394"/>
        <v>-87.571933467637265</v>
      </c>
      <c r="P880" s="310">
        <f t="shared" ca="1" si="395"/>
        <v>23</v>
      </c>
      <c r="Q880" s="304">
        <f t="shared" ca="1" si="396"/>
        <v>0</v>
      </c>
      <c r="R880" s="306">
        <f t="shared" ca="1" si="397"/>
        <v>0</v>
      </c>
      <c r="S880" s="307">
        <f t="shared" ca="1" si="398"/>
        <v>5.0829999999999913</v>
      </c>
      <c r="T880" s="304">
        <f t="shared" ca="1" si="378"/>
        <v>49.864229999999914</v>
      </c>
      <c r="U880" s="311">
        <f t="shared" ca="1" si="379"/>
        <v>0</v>
      </c>
      <c r="V880" s="306">
        <f t="shared" ca="1" si="380"/>
        <v>1.2263749024181878</v>
      </c>
      <c r="W880" s="304">
        <f t="shared" ca="1" si="381"/>
        <v>50.26929444335746</v>
      </c>
      <c r="Y880" s="314" t="str">
        <f t="shared" ca="1" si="399"/>
        <v/>
      </c>
      <c r="Z880" s="315" t="str">
        <f t="shared" ca="1" si="400"/>
        <v/>
      </c>
      <c r="AA880" s="316" t="str">
        <f t="shared" ca="1" si="401"/>
        <v/>
      </c>
      <c r="AC880" s="310" t="e">
        <f t="shared" ca="1" si="402"/>
        <v>#N/A</v>
      </c>
      <c r="AD880" s="323" t="e">
        <f t="shared" ca="1" si="403"/>
        <v>#N/A</v>
      </c>
      <c r="AE880" s="324" t="e">
        <f t="shared" ca="1" si="382"/>
        <v>#N/A</v>
      </c>
      <c r="AG880" s="306">
        <f t="shared" ca="1" si="404"/>
        <v>-8.8487726499916874E-2</v>
      </c>
      <c r="AH880" s="304">
        <f t="shared" ca="1" si="405"/>
        <v>-9.8896801324747692</v>
      </c>
    </row>
    <row r="881" spans="1:34" x14ac:dyDescent="0.2">
      <c r="A881" s="347">
        <f t="shared" ca="1" si="383"/>
        <v>1E-4</v>
      </c>
      <c r="B881" s="304">
        <f t="shared" ca="1" si="384"/>
        <v>44.607100000000557</v>
      </c>
      <c r="D881" s="306">
        <f t="shared" ca="1" si="385"/>
        <v>-0.41897743430992695</v>
      </c>
      <c r="E881" s="307">
        <f t="shared" ca="1" si="386"/>
        <v>7.0811043645250038E-2</v>
      </c>
      <c r="F881" s="304">
        <f t="shared" ca="1" si="387"/>
        <v>0.42491916215094216</v>
      </c>
      <c r="G881" s="306">
        <f t="shared" ca="1" si="388"/>
        <v>4.8948826462465931</v>
      </c>
      <c r="H881" s="307">
        <f t="shared" ca="1" si="389"/>
        <v>-115.43777197668025</v>
      </c>
      <c r="I881" s="304">
        <f t="shared" ca="1" si="390"/>
        <v>115.54150369049448</v>
      </c>
      <c r="J881" s="306">
        <f t="shared" ca="1" si="391"/>
        <v>976.66817413190017</v>
      </c>
      <c r="K881" s="307">
        <f t="shared" ca="1" si="392"/>
        <v>-11.228941955459941</v>
      </c>
      <c r="L881" s="304">
        <f t="shared" ca="1" si="377"/>
        <v>976.73272265219964</v>
      </c>
      <c r="M881" s="306">
        <f t="shared" ca="1" si="393"/>
        <v>-1.5284189310464491</v>
      </c>
      <c r="N881" s="304">
        <f t="shared" ca="1" si="394"/>
        <v>-87.571954076858319</v>
      </c>
      <c r="P881" s="310">
        <f t="shared" ca="1" si="395"/>
        <v>23</v>
      </c>
      <c r="Q881" s="304">
        <f t="shared" ca="1" si="396"/>
        <v>0</v>
      </c>
      <c r="R881" s="306">
        <f t="shared" ca="1" si="397"/>
        <v>0</v>
      </c>
      <c r="S881" s="307">
        <f t="shared" ca="1" si="398"/>
        <v>5.0829999999999913</v>
      </c>
      <c r="T881" s="304">
        <f t="shared" ca="1" si="378"/>
        <v>49.864229999999914</v>
      </c>
      <c r="U881" s="311">
        <f t="shared" ca="1" si="379"/>
        <v>0</v>
      </c>
      <c r="V881" s="306">
        <f t="shared" ca="1" si="380"/>
        <v>1.2263763181193574</v>
      </c>
      <c r="W881" s="304">
        <f t="shared" ca="1" si="381"/>
        <v>50.269344772543427</v>
      </c>
      <c r="Y881" s="314" t="str">
        <f t="shared" ca="1" si="399"/>
        <v/>
      </c>
      <c r="Z881" s="315" t="str">
        <f t="shared" ca="1" si="400"/>
        <v/>
      </c>
      <c r="AA881" s="316" t="str">
        <f t="shared" ca="1" si="401"/>
        <v/>
      </c>
      <c r="AC881" s="310" t="e">
        <f t="shared" ca="1" si="402"/>
        <v>#N/A</v>
      </c>
      <c r="AD881" s="323" t="e">
        <f t="shared" ca="1" si="403"/>
        <v>#N/A</v>
      </c>
      <c r="AE881" s="324" t="e">
        <f t="shared" ca="1" si="382"/>
        <v>#N/A</v>
      </c>
      <c r="AG881" s="306">
        <f t="shared" ca="1" si="404"/>
        <v>-8.8497478637322047E-2</v>
      </c>
      <c r="AH881" s="304">
        <f t="shared" ca="1" si="405"/>
        <v>-9.8896900341053602</v>
      </c>
    </row>
    <row r="882" spans="1:34" x14ac:dyDescent="0.2">
      <c r="A882" s="347">
        <f t="shared" ca="1" si="383"/>
        <v>1E-4</v>
      </c>
      <c r="B882" s="304">
        <f t="shared" ca="1" si="384"/>
        <v>44.60720000000056</v>
      </c>
      <c r="D882" s="306">
        <f t="shared" ca="1" si="385"/>
        <v>-0.41897429966743488</v>
      </c>
      <c r="E882" s="307">
        <f t="shared" ca="1" si="386"/>
        <v>7.0821086933603894E-2</v>
      </c>
      <c r="F882" s="304">
        <f t="shared" ca="1" si="387"/>
        <v>0.4249177451416622</v>
      </c>
      <c r="G882" s="306">
        <f t="shared" ca="1" si="388"/>
        <v>4.8948407488166259</v>
      </c>
      <c r="H882" s="307">
        <f t="shared" ca="1" si="389"/>
        <v>-115.43776489457156</v>
      </c>
      <c r="I882" s="304">
        <f t="shared" ca="1" si="390"/>
        <v>115.54149483977889</v>
      </c>
      <c r="J882" s="306">
        <f t="shared" ca="1" si="391"/>
        <v>976.66817413190017</v>
      </c>
      <c r="K882" s="307">
        <f t="shared" ca="1" si="392"/>
        <v>-11.240485732303505</v>
      </c>
      <c r="L882" s="304">
        <f t="shared" ca="1" si="377"/>
        <v>976.73285543266013</v>
      </c>
      <c r="M882" s="306">
        <f t="shared" ca="1" si="393"/>
        <v>-1.528419290742189</v>
      </c>
      <c r="N882" s="304">
        <f t="shared" ca="1" si="394"/>
        <v>-87.571974685906127</v>
      </c>
      <c r="P882" s="310">
        <f t="shared" ca="1" si="395"/>
        <v>23</v>
      </c>
      <c r="Q882" s="304">
        <f t="shared" ca="1" si="396"/>
        <v>0</v>
      </c>
      <c r="R882" s="306">
        <f t="shared" ca="1" si="397"/>
        <v>0</v>
      </c>
      <c r="S882" s="307">
        <f t="shared" ca="1" si="398"/>
        <v>5.0829999999999913</v>
      </c>
      <c r="T882" s="304">
        <f t="shared" ca="1" si="378"/>
        <v>49.864229999999914</v>
      </c>
      <c r="U882" s="311">
        <f t="shared" ca="1" si="379"/>
        <v>0</v>
      </c>
      <c r="V882" s="306">
        <f t="shared" ca="1" si="380"/>
        <v>1.2263777338220756</v>
      </c>
      <c r="W882" s="304">
        <f t="shared" ca="1" si="381"/>
        <v>50.26939510092712</v>
      </c>
      <c r="Y882" s="314" t="str">
        <f t="shared" ca="1" si="399"/>
        <v/>
      </c>
      <c r="Z882" s="315" t="str">
        <f t="shared" ca="1" si="400"/>
        <v/>
      </c>
      <c r="AA882" s="316" t="str">
        <f t="shared" ca="1" si="401"/>
        <v/>
      </c>
      <c r="AC882" s="310" t="e">
        <f t="shared" ca="1" si="402"/>
        <v>#N/A</v>
      </c>
      <c r="AD882" s="323" t="e">
        <f t="shared" ca="1" si="403"/>
        <v>#N/A</v>
      </c>
      <c r="AE882" s="324" t="e">
        <f t="shared" ca="1" si="382"/>
        <v>#N/A</v>
      </c>
      <c r="AG882" s="306">
        <f t="shared" ca="1" si="404"/>
        <v>-8.850723061940613E-2</v>
      </c>
      <c r="AH882" s="304">
        <f t="shared" ca="1" si="405"/>
        <v>-9.8896999355781059</v>
      </c>
    </row>
    <row r="883" spans="1:34" x14ac:dyDescent="0.2">
      <c r="A883" s="347">
        <f t="shared" ca="1" si="383"/>
        <v>1E-4</v>
      </c>
      <c r="B883" s="304">
        <f t="shared" ca="1" si="384"/>
        <v>44.607300000000564</v>
      </c>
      <c r="D883" s="306">
        <f t="shared" ca="1" si="385"/>
        <v>-0.41897116504096299</v>
      </c>
      <c r="E883" s="307">
        <f t="shared" ca="1" si="386"/>
        <v>7.0831130062019909E-2</v>
      </c>
      <c r="F883" s="304">
        <f t="shared" ca="1" si="387"/>
        <v>0.42491632837729904</v>
      </c>
      <c r="G883" s="306">
        <f t="shared" ca="1" si="388"/>
        <v>4.8947988517001217</v>
      </c>
      <c r="H883" s="307">
        <f t="shared" ca="1" si="389"/>
        <v>-115.43775781145855</v>
      </c>
      <c r="I883" s="304">
        <f t="shared" ca="1" si="390"/>
        <v>115.54148598808813</v>
      </c>
      <c r="J883" s="306">
        <f t="shared" ca="1" si="391"/>
        <v>976.66817413190017</v>
      </c>
      <c r="K883" s="307">
        <f t="shared" ca="1" si="392"/>
        <v>-11.252029508438806</v>
      </c>
      <c r="L883" s="304">
        <f t="shared" ca="1" si="377"/>
        <v>976.73298834952766</v>
      </c>
      <c r="M883" s="306">
        <f t="shared" ca="1" si="393"/>
        <v>-1.5284196504349052</v>
      </c>
      <c r="N883" s="304">
        <f t="shared" ca="1" si="394"/>
        <v>-87.571995294780692</v>
      </c>
      <c r="P883" s="310">
        <f t="shared" ca="1" si="395"/>
        <v>23</v>
      </c>
      <c r="Q883" s="304">
        <f t="shared" ca="1" si="396"/>
        <v>0</v>
      </c>
      <c r="R883" s="306">
        <f t="shared" ca="1" si="397"/>
        <v>0</v>
      </c>
      <c r="S883" s="307">
        <f t="shared" ca="1" si="398"/>
        <v>5.0829999999999913</v>
      </c>
      <c r="T883" s="304">
        <f t="shared" ca="1" si="378"/>
        <v>49.864229999999914</v>
      </c>
      <c r="U883" s="311">
        <f t="shared" ca="1" si="379"/>
        <v>0</v>
      </c>
      <c r="V883" s="306">
        <f t="shared" ca="1" si="380"/>
        <v>1.2263791495263423</v>
      </c>
      <c r="W883" s="304">
        <f t="shared" ca="1" si="381"/>
        <v>50.269445428508554</v>
      </c>
      <c r="Y883" s="314" t="str">
        <f t="shared" ca="1" si="399"/>
        <v/>
      </c>
      <c r="Z883" s="315" t="str">
        <f t="shared" ca="1" si="400"/>
        <v/>
      </c>
      <c r="AA883" s="316" t="str">
        <f t="shared" ca="1" si="401"/>
        <v/>
      </c>
      <c r="AC883" s="310" t="e">
        <f t="shared" ca="1" si="402"/>
        <v>#N/A</v>
      </c>
      <c r="AD883" s="323" t="e">
        <f t="shared" ca="1" si="403"/>
        <v>#N/A</v>
      </c>
      <c r="AE883" s="324" t="e">
        <f t="shared" ca="1" si="382"/>
        <v>#N/A</v>
      </c>
      <c r="AG883" s="306">
        <f t="shared" ca="1" si="404"/>
        <v>-8.8516982446181558E-2</v>
      </c>
      <c r="AH883" s="304">
        <f t="shared" ca="1" si="405"/>
        <v>-9.889709836893017</v>
      </c>
    </row>
    <row r="884" spans="1:34" x14ac:dyDescent="0.2">
      <c r="A884" s="347">
        <f t="shared" ca="1" si="383"/>
        <v>1E-4</v>
      </c>
      <c r="B884" s="304">
        <f t="shared" ca="1" si="384"/>
        <v>44.607400000000567</v>
      </c>
      <c r="D884" s="306">
        <f t="shared" ca="1" si="385"/>
        <v>-0.41896803043050956</v>
      </c>
      <c r="E884" s="307">
        <f t="shared" ca="1" si="386"/>
        <v>7.0841173030505189E-2</v>
      </c>
      <c r="F884" s="304">
        <f t="shared" ca="1" si="387"/>
        <v>0.42491491185784286</v>
      </c>
      <c r="G884" s="306">
        <f t="shared" ca="1" si="388"/>
        <v>4.8947569548970788</v>
      </c>
      <c r="H884" s="307">
        <f t="shared" ca="1" si="389"/>
        <v>-115.43775072734125</v>
      </c>
      <c r="I884" s="304">
        <f t="shared" ca="1" si="390"/>
        <v>115.54147713542218</v>
      </c>
      <c r="J884" s="306">
        <f t="shared" ca="1" si="391"/>
        <v>976.66817413190017</v>
      </c>
      <c r="K884" s="307">
        <f t="shared" ca="1" si="392"/>
        <v>-11.263573283865746</v>
      </c>
      <c r="L884" s="304">
        <f t="shared" ca="1" si="377"/>
        <v>976.733121402802</v>
      </c>
      <c r="M884" s="306">
        <f t="shared" ca="1" si="393"/>
        <v>-1.5284200101245977</v>
      </c>
      <c r="N884" s="304">
        <f t="shared" ca="1" si="394"/>
        <v>-87.572015903481997</v>
      </c>
      <c r="P884" s="310">
        <f t="shared" ca="1" si="395"/>
        <v>23</v>
      </c>
      <c r="Q884" s="304">
        <f t="shared" ca="1" si="396"/>
        <v>0</v>
      </c>
      <c r="R884" s="306">
        <f t="shared" ca="1" si="397"/>
        <v>0</v>
      </c>
      <c r="S884" s="307">
        <f t="shared" ca="1" si="398"/>
        <v>5.0829999999999913</v>
      </c>
      <c r="T884" s="304">
        <f t="shared" ca="1" si="378"/>
        <v>49.864229999999914</v>
      </c>
      <c r="U884" s="311">
        <f t="shared" ca="1" si="379"/>
        <v>0</v>
      </c>
      <c r="V884" s="306">
        <f t="shared" ca="1" si="380"/>
        <v>1.2263805652321569</v>
      </c>
      <c r="W884" s="304">
        <f t="shared" ca="1" si="381"/>
        <v>50.269495755287672</v>
      </c>
      <c r="Y884" s="314" t="str">
        <f t="shared" ca="1" si="399"/>
        <v/>
      </c>
      <c r="Z884" s="315" t="str">
        <f t="shared" ca="1" si="400"/>
        <v/>
      </c>
      <c r="AA884" s="316" t="str">
        <f t="shared" ca="1" si="401"/>
        <v/>
      </c>
      <c r="AC884" s="310" t="e">
        <f t="shared" ca="1" si="402"/>
        <v>#N/A</v>
      </c>
      <c r="AD884" s="323" t="e">
        <f t="shared" ca="1" si="403"/>
        <v>#N/A</v>
      </c>
      <c r="AE884" s="324" t="e">
        <f t="shared" ca="1" si="382"/>
        <v>#N/A</v>
      </c>
      <c r="AG884" s="306">
        <f t="shared" ca="1" si="404"/>
        <v>-8.8526734117648331E-2</v>
      </c>
      <c r="AH884" s="304">
        <f t="shared" ca="1" si="405"/>
        <v>-9.889719738050097</v>
      </c>
    </row>
    <row r="885" spans="1:34" x14ac:dyDescent="0.2">
      <c r="A885" s="347">
        <f t="shared" ca="1" si="383"/>
        <v>1E-4</v>
      </c>
      <c r="B885" s="304">
        <f t="shared" ca="1" si="384"/>
        <v>44.60750000000057</v>
      </c>
      <c r="D885" s="306">
        <f t="shared" ca="1" si="385"/>
        <v>-0.41896489583607643</v>
      </c>
      <c r="E885" s="307">
        <f t="shared" ca="1" si="386"/>
        <v>7.0851215839043746E-2</v>
      </c>
      <c r="F885" s="304">
        <f t="shared" ca="1" si="387"/>
        <v>0.42491349558328356</v>
      </c>
      <c r="G885" s="306">
        <f t="shared" ca="1" si="388"/>
        <v>4.8947150584074954</v>
      </c>
      <c r="H885" s="307">
        <f t="shared" ca="1" si="389"/>
        <v>-115.43774364221967</v>
      </c>
      <c r="I885" s="304">
        <f t="shared" ca="1" si="390"/>
        <v>115.54146828178111</v>
      </c>
      <c r="J885" s="306">
        <f t="shared" ca="1" si="391"/>
        <v>976.66817413190017</v>
      </c>
      <c r="K885" s="307">
        <f t="shared" ca="1" si="392"/>
        <v>-11.275117058584224</v>
      </c>
      <c r="L885" s="304">
        <f t="shared" ca="1" si="377"/>
        <v>976.73325459248315</v>
      </c>
      <c r="M885" s="306">
        <f t="shared" ca="1" si="393"/>
        <v>-1.5284203698112668</v>
      </c>
      <c r="N885" s="304">
        <f t="shared" ca="1" si="394"/>
        <v>-87.572036512010087</v>
      </c>
      <c r="P885" s="310">
        <f t="shared" ca="1" si="395"/>
        <v>23</v>
      </c>
      <c r="Q885" s="304">
        <f t="shared" ca="1" si="396"/>
        <v>0</v>
      </c>
      <c r="R885" s="306">
        <f t="shared" ca="1" si="397"/>
        <v>0</v>
      </c>
      <c r="S885" s="307">
        <f t="shared" ca="1" si="398"/>
        <v>5.0829999999999913</v>
      </c>
      <c r="T885" s="304">
        <f t="shared" ca="1" si="378"/>
        <v>49.864229999999914</v>
      </c>
      <c r="U885" s="311">
        <f t="shared" ca="1" si="379"/>
        <v>0</v>
      </c>
      <c r="V885" s="306">
        <f t="shared" ca="1" si="380"/>
        <v>1.2263819809395198</v>
      </c>
      <c r="W885" s="304">
        <f t="shared" ca="1" si="381"/>
        <v>50.269546081264551</v>
      </c>
      <c r="Y885" s="314" t="str">
        <f t="shared" ca="1" si="399"/>
        <v/>
      </c>
      <c r="Z885" s="315" t="str">
        <f t="shared" ca="1" si="400"/>
        <v/>
      </c>
      <c r="AA885" s="316" t="str">
        <f t="shared" ca="1" si="401"/>
        <v/>
      </c>
      <c r="AC885" s="310" t="e">
        <f t="shared" ca="1" si="402"/>
        <v>#N/A</v>
      </c>
      <c r="AD885" s="323" t="e">
        <f t="shared" ca="1" si="403"/>
        <v>#N/A</v>
      </c>
      <c r="AE885" s="324" t="e">
        <f t="shared" ca="1" si="382"/>
        <v>#N/A</v>
      </c>
      <c r="AG885" s="306">
        <f t="shared" ca="1" si="404"/>
        <v>-8.8536485633797568E-2</v>
      </c>
      <c r="AH885" s="304">
        <f t="shared" ca="1" si="405"/>
        <v>-9.8897296390493334</v>
      </c>
    </row>
    <row r="886" spans="1:34" x14ac:dyDescent="0.2">
      <c r="A886" s="347">
        <f t="shared" ca="1" si="383"/>
        <v>1E-4</v>
      </c>
      <c r="B886" s="304">
        <f t="shared" ca="1" si="384"/>
        <v>44.607600000000573</v>
      </c>
      <c r="D886" s="306">
        <f t="shared" ca="1" si="385"/>
        <v>-0.41896176125766021</v>
      </c>
      <c r="E886" s="307">
        <f t="shared" ca="1" si="386"/>
        <v>7.0861258487651568E-2</v>
      </c>
      <c r="F886" s="304">
        <f t="shared" ca="1" si="387"/>
        <v>0.42491207955361121</v>
      </c>
      <c r="G886" s="306">
        <f t="shared" ca="1" si="388"/>
        <v>4.8946731622313697</v>
      </c>
      <c r="H886" s="307">
        <f t="shared" ca="1" si="389"/>
        <v>-115.43773655609382</v>
      </c>
      <c r="I886" s="304">
        <f t="shared" ca="1" si="390"/>
        <v>115.54145942716488</v>
      </c>
      <c r="J886" s="306">
        <f t="shared" ca="1" si="391"/>
        <v>976.66817413190017</v>
      </c>
      <c r="K886" s="307">
        <f t="shared" ca="1" si="392"/>
        <v>-11.286660832594139</v>
      </c>
      <c r="L886" s="304">
        <f t="shared" ca="1" si="377"/>
        <v>976.733387918571</v>
      </c>
      <c r="M886" s="306">
        <f t="shared" ca="1" si="393"/>
        <v>-1.5284207294949121</v>
      </c>
      <c r="N886" s="304">
        <f t="shared" ca="1" si="394"/>
        <v>-87.572057120364931</v>
      </c>
      <c r="P886" s="310">
        <f t="shared" ca="1" si="395"/>
        <v>23</v>
      </c>
      <c r="Q886" s="304">
        <f t="shared" ca="1" si="396"/>
        <v>0</v>
      </c>
      <c r="R886" s="306">
        <f t="shared" ca="1" si="397"/>
        <v>0</v>
      </c>
      <c r="S886" s="307">
        <f t="shared" ca="1" si="398"/>
        <v>5.0829999999999913</v>
      </c>
      <c r="T886" s="304">
        <f t="shared" ca="1" si="378"/>
        <v>49.864229999999914</v>
      </c>
      <c r="U886" s="311">
        <f t="shared" ca="1" si="379"/>
        <v>0</v>
      </c>
      <c r="V886" s="306">
        <f t="shared" ca="1" si="380"/>
        <v>1.2263833966484312</v>
      </c>
      <c r="W886" s="304">
        <f t="shared" ca="1" si="381"/>
        <v>50.269596406439184</v>
      </c>
      <c r="Y886" s="314" t="str">
        <f t="shared" ca="1" si="399"/>
        <v/>
      </c>
      <c r="Z886" s="315" t="str">
        <f t="shared" ca="1" si="400"/>
        <v/>
      </c>
      <c r="AA886" s="316" t="str">
        <f t="shared" ca="1" si="401"/>
        <v/>
      </c>
      <c r="AC886" s="310" t="e">
        <f t="shared" ca="1" si="402"/>
        <v>#N/A</v>
      </c>
      <c r="AD886" s="323" t="e">
        <f t="shared" ca="1" si="403"/>
        <v>#N/A</v>
      </c>
      <c r="AE886" s="324" t="e">
        <f t="shared" ca="1" si="382"/>
        <v>#N/A</v>
      </c>
      <c r="AG886" s="306">
        <f t="shared" ca="1" si="404"/>
        <v>-8.8546236994641703E-2</v>
      </c>
      <c r="AH886" s="304">
        <f t="shared" ca="1" si="405"/>
        <v>-9.8897395398907406</v>
      </c>
    </row>
    <row r="887" spans="1:34" x14ac:dyDescent="0.2">
      <c r="A887" s="347">
        <f t="shared" ca="1" si="383"/>
        <v>1E-4</v>
      </c>
      <c r="B887" s="304">
        <f t="shared" ca="1" si="384"/>
        <v>44.607700000000577</v>
      </c>
      <c r="D887" s="306">
        <f t="shared" ca="1" si="385"/>
        <v>-0.41895862669526562</v>
      </c>
      <c r="E887" s="307">
        <f t="shared" ca="1" si="386"/>
        <v>7.0871300976330431E-2</v>
      </c>
      <c r="F887" s="304">
        <f t="shared" ca="1" si="387"/>
        <v>0.42491066376882158</v>
      </c>
      <c r="G887" s="306">
        <f t="shared" ca="1" si="388"/>
        <v>4.8946312663686999</v>
      </c>
      <c r="H887" s="307">
        <f t="shared" ca="1" si="389"/>
        <v>-115.43772946896372</v>
      </c>
      <c r="I887" s="304">
        <f t="shared" ca="1" si="390"/>
        <v>115.54145057157353</v>
      </c>
      <c r="J887" s="306">
        <f t="shared" ca="1" si="391"/>
        <v>976.66817413190017</v>
      </c>
      <c r="K887" s="307">
        <f t="shared" ca="1" si="392"/>
        <v>-11.298204605895391</v>
      </c>
      <c r="L887" s="304">
        <f t="shared" ca="1" si="377"/>
        <v>976.73352138106554</v>
      </c>
      <c r="M887" s="306">
        <f t="shared" ca="1" si="393"/>
        <v>-1.5284210891755339</v>
      </c>
      <c r="N887" s="304">
        <f t="shared" ca="1" si="394"/>
        <v>-87.572077728546518</v>
      </c>
      <c r="P887" s="310">
        <f t="shared" ca="1" si="395"/>
        <v>23</v>
      </c>
      <c r="Q887" s="304">
        <f t="shared" ca="1" si="396"/>
        <v>0</v>
      </c>
      <c r="R887" s="306">
        <f t="shared" ca="1" si="397"/>
        <v>0</v>
      </c>
      <c r="S887" s="307">
        <f t="shared" ca="1" si="398"/>
        <v>5.0829999999999913</v>
      </c>
      <c r="T887" s="304">
        <f t="shared" ca="1" si="378"/>
        <v>49.864229999999914</v>
      </c>
      <c r="U887" s="311">
        <f t="shared" ca="1" si="379"/>
        <v>0</v>
      </c>
      <c r="V887" s="306">
        <f t="shared" ca="1" si="380"/>
        <v>1.2263848123588912</v>
      </c>
      <c r="W887" s="304">
        <f t="shared" ca="1" si="381"/>
        <v>50.269646730811559</v>
      </c>
      <c r="Y887" s="314" t="str">
        <f t="shared" ca="1" si="399"/>
        <v/>
      </c>
      <c r="Z887" s="315" t="str">
        <f t="shared" ca="1" si="400"/>
        <v/>
      </c>
      <c r="AA887" s="316" t="str">
        <f t="shared" ca="1" si="401"/>
        <v/>
      </c>
      <c r="AC887" s="310" t="e">
        <f t="shared" ca="1" si="402"/>
        <v>#N/A</v>
      </c>
      <c r="AD887" s="323" t="e">
        <f t="shared" ca="1" si="403"/>
        <v>#N/A</v>
      </c>
      <c r="AE887" s="324" t="e">
        <f t="shared" ca="1" si="382"/>
        <v>#N/A</v>
      </c>
      <c r="AG887" s="306">
        <f t="shared" ca="1" si="404"/>
        <v>-8.8555988200184288E-2</v>
      </c>
      <c r="AH887" s="304">
        <f t="shared" ca="1" si="405"/>
        <v>-9.8897494405743203</v>
      </c>
    </row>
    <row r="888" spans="1:34" x14ac:dyDescent="0.2">
      <c r="A888" s="347">
        <f t="shared" ca="1" si="383"/>
        <v>1E-4</v>
      </c>
      <c r="B888" s="304">
        <f t="shared" ca="1" si="384"/>
        <v>44.60780000000058</v>
      </c>
      <c r="D888" s="306">
        <f t="shared" ca="1" si="385"/>
        <v>-0.41895549214889033</v>
      </c>
      <c r="E888" s="307">
        <f t="shared" ca="1" si="386"/>
        <v>7.0881343305075006E-2</v>
      </c>
      <c r="F888" s="304">
        <f t="shared" ca="1" si="387"/>
        <v>0.42490924822890219</v>
      </c>
      <c r="G888" s="306">
        <f t="shared" ca="1" si="388"/>
        <v>4.8945893708194852</v>
      </c>
      <c r="H888" s="307">
        <f t="shared" ca="1" si="389"/>
        <v>-115.4377223808294</v>
      </c>
      <c r="I888" s="304">
        <f t="shared" ca="1" si="390"/>
        <v>115.54144171500708</v>
      </c>
      <c r="J888" s="306">
        <f t="shared" ca="1" si="391"/>
        <v>976.66817413190017</v>
      </c>
      <c r="K888" s="307">
        <f t="shared" ca="1" si="392"/>
        <v>-11.30974837848788</v>
      </c>
      <c r="L888" s="304">
        <f t="shared" ca="1" si="377"/>
        <v>976.73365497996667</v>
      </c>
      <c r="M888" s="306">
        <f t="shared" ca="1" si="393"/>
        <v>-1.528421448853132</v>
      </c>
      <c r="N888" s="304">
        <f t="shared" ca="1" si="394"/>
        <v>-87.572098336554888</v>
      </c>
      <c r="P888" s="310">
        <f t="shared" ca="1" si="395"/>
        <v>23</v>
      </c>
      <c r="Q888" s="304">
        <f t="shared" ca="1" si="396"/>
        <v>0</v>
      </c>
      <c r="R888" s="306">
        <f t="shared" ca="1" si="397"/>
        <v>0</v>
      </c>
      <c r="S888" s="307">
        <f t="shared" ca="1" si="398"/>
        <v>5.0829999999999913</v>
      </c>
      <c r="T888" s="304">
        <f t="shared" ca="1" si="378"/>
        <v>49.864229999999914</v>
      </c>
      <c r="U888" s="311">
        <f t="shared" ca="1" si="379"/>
        <v>0</v>
      </c>
      <c r="V888" s="306">
        <f t="shared" ca="1" si="380"/>
        <v>1.2263862280708986</v>
      </c>
      <c r="W888" s="304">
        <f t="shared" ca="1" si="381"/>
        <v>50.269697054381695</v>
      </c>
      <c r="Y888" s="314" t="str">
        <f t="shared" ca="1" si="399"/>
        <v/>
      </c>
      <c r="Z888" s="315" t="str">
        <f t="shared" ca="1" si="400"/>
        <v/>
      </c>
      <c r="AA888" s="316" t="str">
        <f t="shared" ca="1" si="401"/>
        <v/>
      </c>
      <c r="AC888" s="310" t="e">
        <f t="shared" ca="1" si="402"/>
        <v>#N/A</v>
      </c>
      <c r="AD888" s="323" t="e">
        <f t="shared" ca="1" si="403"/>
        <v>#N/A</v>
      </c>
      <c r="AE888" s="324" t="e">
        <f t="shared" ca="1" si="382"/>
        <v>#N/A</v>
      </c>
      <c r="AG888" s="306">
        <f t="shared" ca="1" si="404"/>
        <v>-8.8565739250416442E-2</v>
      </c>
      <c r="AH888" s="304">
        <f t="shared" ca="1" si="405"/>
        <v>-9.889759341100067</v>
      </c>
    </row>
    <row r="889" spans="1:34" x14ac:dyDescent="0.2">
      <c r="A889" s="347">
        <f t="shared" ca="1" si="383"/>
        <v>1E-4</v>
      </c>
      <c r="B889" s="304">
        <f t="shared" ca="1" si="384"/>
        <v>44.607900000000583</v>
      </c>
      <c r="D889" s="306">
        <f t="shared" ca="1" si="385"/>
        <v>-0.41895235761853505</v>
      </c>
      <c r="E889" s="307">
        <f t="shared" ca="1" si="386"/>
        <v>7.0891385473892399E-2</v>
      </c>
      <c r="F889" s="304">
        <f t="shared" ca="1" si="387"/>
        <v>0.42490783293384565</v>
      </c>
      <c r="G889" s="306">
        <f t="shared" ca="1" si="388"/>
        <v>4.8945474755837237</v>
      </c>
      <c r="H889" s="307">
        <f t="shared" ca="1" si="389"/>
        <v>-115.43771529169085</v>
      </c>
      <c r="I889" s="304">
        <f t="shared" ca="1" si="390"/>
        <v>115.54143285746554</v>
      </c>
      <c r="J889" s="306">
        <f t="shared" ca="1" si="391"/>
        <v>976.66817413190017</v>
      </c>
      <c r="K889" s="307">
        <f t="shared" ca="1" si="392"/>
        <v>-11.321292150371507</v>
      </c>
      <c r="L889" s="304">
        <f t="shared" ca="1" si="377"/>
        <v>976.73378871527416</v>
      </c>
      <c r="M889" s="306">
        <f t="shared" ca="1" si="393"/>
        <v>-1.5284218085277068</v>
      </c>
      <c r="N889" s="304">
        <f t="shared" ca="1" si="394"/>
        <v>-87.572118944390013</v>
      </c>
      <c r="P889" s="310">
        <f t="shared" ca="1" si="395"/>
        <v>23</v>
      </c>
      <c r="Q889" s="304">
        <f t="shared" ca="1" si="396"/>
        <v>0</v>
      </c>
      <c r="R889" s="306">
        <f t="shared" ca="1" si="397"/>
        <v>0</v>
      </c>
      <c r="S889" s="307">
        <f t="shared" ca="1" si="398"/>
        <v>5.0829999999999913</v>
      </c>
      <c r="T889" s="304">
        <f t="shared" ca="1" si="378"/>
        <v>49.864229999999914</v>
      </c>
      <c r="U889" s="311">
        <f t="shared" ca="1" si="379"/>
        <v>0</v>
      </c>
      <c r="V889" s="306">
        <f t="shared" ca="1" si="380"/>
        <v>1.226387643784455</v>
      </c>
      <c r="W889" s="304">
        <f t="shared" ca="1" si="381"/>
        <v>50.269747377149621</v>
      </c>
      <c r="Y889" s="314" t="str">
        <f t="shared" ca="1" si="399"/>
        <v/>
      </c>
      <c r="Z889" s="315" t="str">
        <f t="shared" ca="1" si="400"/>
        <v/>
      </c>
      <c r="AA889" s="316" t="str">
        <f t="shared" ca="1" si="401"/>
        <v/>
      </c>
      <c r="AC889" s="310" t="e">
        <f t="shared" ca="1" si="402"/>
        <v>#N/A</v>
      </c>
      <c r="AD889" s="323" t="e">
        <f t="shared" ca="1" si="403"/>
        <v>#N/A</v>
      </c>
      <c r="AE889" s="324" t="e">
        <f t="shared" ca="1" si="382"/>
        <v>#N/A</v>
      </c>
      <c r="AG889" s="306">
        <f t="shared" ca="1" si="404"/>
        <v>-8.8575490145348823E-2</v>
      </c>
      <c r="AH889" s="304">
        <f t="shared" ca="1" si="405"/>
        <v>-9.8897692414679881</v>
      </c>
    </row>
    <row r="890" spans="1:34" x14ac:dyDescent="0.2">
      <c r="A890" s="347">
        <f t="shared" ca="1" si="383"/>
        <v>1E-4</v>
      </c>
      <c r="B890" s="304">
        <f t="shared" ca="1" si="384"/>
        <v>44.608000000000587</v>
      </c>
      <c r="D890" s="306">
        <f t="shared" ca="1" si="385"/>
        <v>-0.41894922310419785</v>
      </c>
      <c r="E890" s="307">
        <f t="shared" ca="1" si="386"/>
        <v>7.0901427482782609E-2</v>
      </c>
      <c r="F890" s="304">
        <f t="shared" ca="1" si="387"/>
        <v>0.42490641788364086</v>
      </c>
      <c r="G890" s="306">
        <f t="shared" ca="1" si="388"/>
        <v>4.8945055806614137</v>
      </c>
      <c r="H890" s="307">
        <f t="shared" ca="1" si="389"/>
        <v>-115.43770820154811</v>
      </c>
      <c r="I890" s="304">
        <f t="shared" ca="1" si="390"/>
        <v>115.54142399894893</v>
      </c>
      <c r="J890" s="306">
        <f t="shared" ca="1" si="391"/>
        <v>976.66817413190017</v>
      </c>
      <c r="K890" s="307">
        <f t="shared" ca="1" si="392"/>
        <v>-11.332835921546168</v>
      </c>
      <c r="L890" s="304">
        <f t="shared" ca="1" si="377"/>
        <v>976.73392258698811</v>
      </c>
      <c r="M890" s="306">
        <f t="shared" ca="1" si="393"/>
        <v>-1.528422168199258</v>
      </c>
      <c r="N890" s="304">
        <f t="shared" ca="1" si="394"/>
        <v>-87.572139552051908</v>
      </c>
      <c r="P890" s="310">
        <f t="shared" ca="1" si="395"/>
        <v>23</v>
      </c>
      <c r="Q890" s="304">
        <f t="shared" ca="1" si="396"/>
        <v>0</v>
      </c>
      <c r="R890" s="306">
        <f t="shared" ca="1" si="397"/>
        <v>0</v>
      </c>
      <c r="S890" s="307">
        <f t="shared" ca="1" si="398"/>
        <v>5.0829999999999913</v>
      </c>
      <c r="T890" s="304">
        <f t="shared" ca="1" si="378"/>
        <v>49.864229999999914</v>
      </c>
      <c r="U890" s="311">
        <f t="shared" ca="1" si="379"/>
        <v>0</v>
      </c>
      <c r="V890" s="306">
        <f t="shared" ca="1" si="380"/>
        <v>1.226389059499559</v>
      </c>
      <c r="W890" s="304">
        <f t="shared" ca="1" si="381"/>
        <v>50.269797699115323</v>
      </c>
      <c r="Y890" s="314" t="str">
        <f t="shared" ca="1" si="399"/>
        <v/>
      </c>
      <c r="Z890" s="315" t="str">
        <f t="shared" ca="1" si="400"/>
        <v/>
      </c>
      <c r="AA890" s="316" t="str">
        <f t="shared" ca="1" si="401"/>
        <v/>
      </c>
      <c r="AC890" s="310" t="e">
        <f t="shared" ca="1" si="402"/>
        <v>#N/A</v>
      </c>
      <c r="AD890" s="323" t="e">
        <f t="shared" ca="1" si="403"/>
        <v>#N/A</v>
      </c>
      <c r="AE890" s="324" t="e">
        <f t="shared" ca="1" si="382"/>
        <v>#N/A</v>
      </c>
      <c r="AG890" s="306">
        <f t="shared" ca="1" si="404"/>
        <v>-8.8585240884981431E-2</v>
      </c>
      <c r="AH890" s="304">
        <f t="shared" ca="1" si="405"/>
        <v>-9.8897791416780851</v>
      </c>
    </row>
    <row r="891" spans="1:34" x14ac:dyDescent="0.2">
      <c r="A891" s="347">
        <f t="shared" ca="1" si="383"/>
        <v>1E-4</v>
      </c>
      <c r="B891" s="304">
        <f t="shared" ca="1" si="384"/>
        <v>44.60810000000059</v>
      </c>
      <c r="D891" s="306">
        <f t="shared" ca="1" si="385"/>
        <v>-0.41894608860588128</v>
      </c>
      <c r="E891" s="307">
        <f t="shared" ca="1" si="386"/>
        <v>7.0911469331749188E-2</v>
      </c>
      <c r="F891" s="304">
        <f t="shared" ca="1" si="387"/>
        <v>0.42490500307828166</v>
      </c>
      <c r="G891" s="306">
        <f t="shared" ca="1" si="388"/>
        <v>4.8944636860525534</v>
      </c>
      <c r="H891" s="307">
        <f t="shared" ca="1" si="389"/>
        <v>-115.43770111040118</v>
      </c>
      <c r="I891" s="304">
        <f t="shared" ca="1" si="390"/>
        <v>115.54141513945727</v>
      </c>
      <c r="J891" s="306">
        <f t="shared" ca="1" si="391"/>
        <v>976.66817413190017</v>
      </c>
      <c r="K891" s="307">
        <f t="shared" ca="1" si="392"/>
        <v>-11.344379692011765</v>
      </c>
      <c r="L891" s="304">
        <f t="shared" ca="1" si="377"/>
        <v>976.73405659510831</v>
      </c>
      <c r="M891" s="306">
        <f t="shared" ca="1" si="393"/>
        <v>-1.5284225278677859</v>
      </c>
      <c r="N891" s="304">
        <f t="shared" ca="1" si="394"/>
        <v>-87.572160159540587</v>
      </c>
      <c r="P891" s="310">
        <f t="shared" ca="1" si="395"/>
        <v>23</v>
      </c>
      <c r="Q891" s="304">
        <f t="shared" ca="1" si="396"/>
        <v>0</v>
      </c>
      <c r="R891" s="306">
        <f t="shared" ca="1" si="397"/>
        <v>0</v>
      </c>
      <c r="S891" s="307">
        <f t="shared" ca="1" si="398"/>
        <v>5.0829999999999913</v>
      </c>
      <c r="T891" s="304">
        <f t="shared" ca="1" si="378"/>
        <v>49.864229999999914</v>
      </c>
      <c r="U891" s="311">
        <f t="shared" ca="1" si="379"/>
        <v>0</v>
      </c>
      <c r="V891" s="306">
        <f t="shared" ca="1" si="380"/>
        <v>1.2263904752162116</v>
      </c>
      <c r="W891" s="304">
        <f t="shared" ca="1" si="381"/>
        <v>50.269848020278843</v>
      </c>
      <c r="Y891" s="314" t="str">
        <f t="shared" ca="1" si="399"/>
        <v/>
      </c>
      <c r="Z891" s="315" t="str">
        <f t="shared" ca="1" si="400"/>
        <v/>
      </c>
      <c r="AA891" s="316" t="str">
        <f t="shared" ca="1" si="401"/>
        <v/>
      </c>
      <c r="AC891" s="310" t="e">
        <f t="shared" ca="1" si="402"/>
        <v>#N/A</v>
      </c>
      <c r="AD891" s="323" t="e">
        <f t="shared" ca="1" si="403"/>
        <v>#N/A</v>
      </c>
      <c r="AE891" s="324" t="e">
        <f t="shared" ca="1" si="382"/>
        <v>#N/A</v>
      </c>
      <c r="AG891" s="306">
        <f t="shared" ca="1" si="404"/>
        <v>-8.8594991469314266E-2</v>
      </c>
      <c r="AH891" s="304">
        <f t="shared" ca="1" si="405"/>
        <v>-9.8897890417303582</v>
      </c>
    </row>
    <row r="892" spans="1:34" x14ac:dyDescent="0.2">
      <c r="A892" s="347">
        <f t="shared" ca="1" si="383"/>
        <v>1E-4</v>
      </c>
      <c r="B892" s="304">
        <f t="shared" ca="1" si="384"/>
        <v>44.608200000000593</v>
      </c>
      <c r="D892" s="306">
        <f t="shared" ca="1" si="385"/>
        <v>-0.41894295412358362</v>
      </c>
      <c r="E892" s="307">
        <f t="shared" ca="1" si="386"/>
        <v>7.0921511020797467E-2</v>
      </c>
      <c r="F892" s="304">
        <f t="shared" ca="1" si="387"/>
        <v>0.424903588517758</v>
      </c>
      <c r="G892" s="306">
        <f t="shared" ca="1" si="388"/>
        <v>4.8944217917571411</v>
      </c>
      <c r="H892" s="307">
        <f t="shared" ca="1" si="389"/>
        <v>-115.43769401825007</v>
      </c>
      <c r="I892" s="304">
        <f t="shared" ca="1" si="390"/>
        <v>115.54140627899054</v>
      </c>
      <c r="J892" s="306">
        <f t="shared" ca="1" si="391"/>
        <v>976.66817413190017</v>
      </c>
      <c r="K892" s="307">
        <f t="shared" ca="1" si="392"/>
        <v>-11.355923461768198</v>
      </c>
      <c r="L892" s="304">
        <f t="shared" ca="1" si="377"/>
        <v>976.73419073963476</v>
      </c>
      <c r="M892" s="306">
        <f t="shared" ca="1" si="393"/>
        <v>-1.5284228875332901</v>
      </c>
      <c r="N892" s="304">
        <f t="shared" ca="1" si="394"/>
        <v>-87.572180766856007</v>
      </c>
      <c r="P892" s="310">
        <f t="shared" ca="1" si="395"/>
        <v>23</v>
      </c>
      <c r="Q892" s="304">
        <f t="shared" ca="1" si="396"/>
        <v>0</v>
      </c>
      <c r="R892" s="306">
        <f t="shared" ca="1" si="397"/>
        <v>0</v>
      </c>
      <c r="S892" s="307">
        <f t="shared" ca="1" si="398"/>
        <v>5.0829999999999913</v>
      </c>
      <c r="T892" s="304">
        <f t="shared" ca="1" si="378"/>
        <v>49.864229999999914</v>
      </c>
      <c r="U892" s="311">
        <f t="shared" ca="1" si="379"/>
        <v>0</v>
      </c>
      <c r="V892" s="306">
        <f t="shared" ca="1" si="380"/>
        <v>1.2263918909344127</v>
      </c>
      <c r="W892" s="304">
        <f t="shared" ca="1" si="381"/>
        <v>50.269898340640161</v>
      </c>
      <c r="Y892" s="314" t="str">
        <f t="shared" ca="1" si="399"/>
        <v/>
      </c>
      <c r="Z892" s="315" t="str">
        <f t="shared" ca="1" si="400"/>
        <v/>
      </c>
      <c r="AA892" s="316" t="str">
        <f t="shared" ca="1" si="401"/>
        <v/>
      </c>
      <c r="AC892" s="310" t="e">
        <f t="shared" ca="1" si="402"/>
        <v>#N/A</v>
      </c>
      <c r="AD892" s="323" t="e">
        <f t="shared" ca="1" si="403"/>
        <v>#N/A</v>
      </c>
      <c r="AE892" s="324" t="e">
        <f t="shared" ca="1" si="382"/>
        <v>#N/A</v>
      </c>
      <c r="AG892" s="306">
        <f t="shared" ca="1" si="404"/>
        <v>-8.8604741898354433E-2</v>
      </c>
      <c r="AH892" s="304">
        <f t="shared" ca="1" si="405"/>
        <v>-9.8897989416248144</v>
      </c>
    </row>
    <row r="893" spans="1:34" x14ac:dyDescent="0.2">
      <c r="A893" s="347">
        <f t="shared" ca="1" si="383"/>
        <v>1E-4</v>
      </c>
      <c r="B893" s="304">
        <f t="shared" ca="1" si="384"/>
        <v>44.608300000000597</v>
      </c>
      <c r="D893" s="306">
        <f t="shared" ca="1" si="385"/>
        <v>-0.41893981965730714</v>
      </c>
      <c r="E893" s="307">
        <f t="shared" ca="1" si="386"/>
        <v>7.093155254992034E-2</v>
      </c>
      <c r="F893" s="304">
        <f t="shared" ca="1" si="387"/>
        <v>0.42490217420206161</v>
      </c>
      <c r="G893" s="306">
        <f t="shared" ca="1" si="388"/>
        <v>4.8943798977751758</v>
      </c>
      <c r="H893" s="307">
        <f t="shared" ca="1" si="389"/>
        <v>-115.43768692509481</v>
      </c>
      <c r="I893" s="304">
        <f t="shared" ca="1" si="390"/>
        <v>115.54139741754879</v>
      </c>
      <c r="J893" s="306">
        <f t="shared" ca="1" si="391"/>
        <v>976.66817413190017</v>
      </c>
      <c r="K893" s="307">
        <f t="shared" ca="1" si="392"/>
        <v>-11.367467230815365</v>
      </c>
      <c r="L893" s="304">
        <f t="shared" ca="1" si="377"/>
        <v>976.73432502056733</v>
      </c>
      <c r="M893" s="306">
        <f t="shared" ca="1" si="393"/>
        <v>-1.5284232471957711</v>
      </c>
      <c r="N893" s="304">
        <f t="shared" ca="1" si="394"/>
        <v>-87.572201373998212</v>
      </c>
      <c r="P893" s="310">
        <f t="shared" ca="1" si="395"/>
        <v>23</v>
      </c>
      <c r="Q893" s="304">
        <f t="shared" ca="1" si="396"/>
        <v>0</v>
      </c>
      <c r="R893" s="306">
        <f t="shared" ca="1" si="397"/>
        <v>0</v>
      </c>
      <c r="S893" s="307">
        <f t="shared" ca="1" si="398"/>
        <v>5.0829999999999913</v>
      </c>
      <c r="T893" s="304">
        <f t="shared" ca="1" si="378"/>
        <v>49.864229999999914</v>
      </c>
      <c r="U893" s="311">
        <f t="shared" ca="1" si="379"/>
        <v>0</v>
      </c>
      <c r="V893" s="306">
        <f t="shared" ca="1" si="380"/>
        <v>1.2263933066541617</v>
      </c>
      <c r="W893" s="304">
        <f t="shared" ca="1" si="381"/>
        <v>50.269948660199297</v>
      </c>
      <c r="Y893" s="314" t="str">
        <f t="shared" ca="1" si="399"/>
        <v/>
      </c>
      <c r="Z893" s="315" t="str">
        <f t="shared" ca="1" si="400"/>
        <v/>
      </c>
      <c r="AA893" s="316" t="str">
        <f t="shared" ca="1" si="401"/>
        <v/>
      </c>
      <c r="AC893" s="310" t="e">
        <f t="shared" ca="1" si="402"/>
        <v>#N/A</v>
      </c>
      <c r="AD893" s="323" t="e">
        <f t="shared" ca="1" si="403"/>
        <v>#N/A</v>
      </c>
      <c r="AE893" s="324" t="e">
        <f t="shared" ca="1" si="382"/>
        <v>#N/A</v>
      </c>
      <c r="AG893" s="306">
        <f t="shared" ca="1" si="404"/>
        <v>-8.8614492172096604E-2</v>
      </c>
      <c r="AH893" s="304">
        <f t="shared" ca="1" si="405"/>
        <v>-9.8898088413614484</v>
      </c>
    </row>
    <row r="894" spans="1:34" x14ac:dyDescent="0.2">
      <c r="A894" s="347">
        <f t="shared" ca="1" si="383"/>
        <v>1E-4</v>
      </c>
      <c r="B894" s="304">
        <f t="shared" ca="1" si="384"/>
        <v>44.6084000000006</v>
      </c>
      <c r="D894" s="306">
        <f t="shared" ca="1" si="385"/>
        <v>-0.41893668520705019</v>
      </c>
      <c r="E894" s="307">
        <f t="shared" ca="1" si="386"/>
        <v>7.0941593919126689E-2</v>
      </c>
      <c r="F894" s="304">
        <f t="shared" ca="1" si="387"/>
        <v>0.42490076013118327</v>
      </c>
      <c r="G894" s="306">
        <f t="shared" ca="1" si="388"/>
        <v>4.8943380041066549</v>
      </c>
      <c r="H894" s="307">
        <f t="shared" ca="1" si="389"/>
        <v>-115.43767983093542</v>
      </c>
      <c r="I894" s="304">
        <f t="shared" ca="1" si="390"/>
        <v>115.54138855513204</v>
      </c>
      <c r="J894" s="306">
        <f t="shared" ca="1" si="391"/>
        <v>976.66817413190017</v>
      </c>
      <c r="K894" s="307">
        <f t="shared" ca="1" si="392"/>
        <v>-11.379010999153166</v>
      </c>
      <c r="L894" s="304">
        <f t="shared" ca="1" si="377"/>
        <v>976.73445943790603</v>
      </c>
      <c r="M894" s="306">
        <f t="shared" ca="1" si="393"/>
        <v>-1.5284236068552286</v>
      </c>
      <c r="N894" s="304">
        <f t="shared" ca="1" si="394"/>
        <v>-87.5722219809672</v>
      </c>
      <c r="P894" s="310">
        <f t="shared" ca="1" si="395"/>
        <v>23</v>
      </c>
      <c r="Q894" s="304">
        <f t="shared" ca="1" si="396"/>
        <v>0</v>
      </c>
      <c r="R894" s="306">
        <f t="shared" ca="1" si="397"/>
        <v>0</v>
      </c>
      <c r="S894" s="307">
        <f t="shared" ca="1" si="398"/>
        <v>5.0829999999999913</v>
      </c>
      <c r="T894" s="304">
        <f t="shared" ca="1" si="378"/>
        <v>49.864229999999914</v>
      </c>
      <c r="U894" s="311">
        <f t="shared" ca="1" si="379"/>
        <v>0</v>
      </c>
      <c r="V894" s="306">
        <f t="shared" ca="1" si="380"/>
        <v>1.226394722375459</v>
      </c>
      <c r="W894" s="304">
        <f t="shared" ca="1" si="381"/>
        <v>50.269998978956259</v>
      </c>
      <c r="Y894" s="314" t="str">
        <f t="shared" ca="1" si="399"/>
        <v/>
      </c>
      <c r="Z894" s="315" t="str">
        <f t="shared" ca="1" si="400"/>
        <v/>
      </c>
      <c r="AA894" s="316" t="str">
        <f t="shared" ca="1" si="401"/>
        <v/>
      </c>
      <c r="AC894" s="310" t="e">
        <f t="shared" ca="1" si="402"/>
        <v>#N/A</v>
      </c>
      <c r="AD894" s="323" t="e">
        <f t="shared" ca="1" si="403"/>
        <v>#N/A</v>
      </c>
      <c r="AE894" s="324" t="e">
        <f t="shared" ca="1" si="382"/>
        <v>#N/A</v>
      </c>
      <c r="AG894" s="306">
        <f t="shared" ca="1" si="404"/>
        <v>-8.8624242290547883E-2</v>
      </c>
      <c r="AH894" s="304">
        <f t="shared" ca="1" si="405"/>
        <v>-9.8898187409402674</v>
      </c>
    </row>
    <row r="895" spans="1:34" x14ac:dyDescent="0.2">
      <c r="A895" s="347">
        <f t="shared" ca="1" si="383"/>
        <v>1E-4</v>
      </c>
      <c r="B895" s="304">
        <f t="shared" ca="1" si="384"/>
        <v>44.608500000000603</v>
      </c>
      <c r="D895" s="306">
        <f t="shared" ca="1" si="385"/>
        <v>-0.41893355077281297</v>
      </c>
      <c r="E895" s="307">
        <f t="shared" ca="1" si="386"/>
        <v>7.0951635128418289E-2</v>
      </c>
      <c r="F895" s="304">
        <f t="shared" ca="1" si="387"/>
        <v>0.42489934630511406</v>
      </c>
      <c r="G895" s="306">
        <f t="shared" ca="1" si="388"/>
        <v>4.8942961107515774</v>
      </c>
      <c r="H895" s="307">
        <f t="shared" ca="1" si="389"/>
        <v>-115.43767273577191</v>
      </c>
      <c r="I895" s="304">
        <f t="shared" ca="1" si="390"/>
        <v>115.5413796917403</v>
      </c>
      <c r="J895" s="306">
        <f t="shared" ca="1" si="391"/>
        <v>976.66817413190017</v>
      </c>
      <c r="K895" s="307">
        <f t="shared" ca="1" si="392"/>
        <v>-11.390554766781502</v>
      </c>
      <c r="L895" s="304">
        <f t="shared" ca="1" si="377"/>
        <v>976.73459399165074</v>
      </c>
      <c r="M895" s="306">
        <f t="shared" ca="1" si="393"/>
        <v>-1.528423966511663</v>
      </c>
      <c r="N895" s="304">
        <f t="shared" ca="1" si="394"/>
        <v>-87.572242587762958</v>
      </c>
      <c r="P895" s="310">
        <f t="shared" ca="1" si="395"/>
        <v>23</v>
      </c>
      <c r="Q895" s="304">
        <f t="shared" ca="1" si="396"/>
        <v>0</v>
      </c>
      <c r="R895" s="306">
        <f t="shared" ca="1" si="397"/>
        <v>0</v>
      </c>
      <c r="S895" s="307">
        <f t="shared" ca="1" si="398"/>
        <v>5.0829999999999913</v>
      </c>
      <c r="T895" s="304">
        <f t="shared" ca="1" si="378"/>
        <v>49.864229999999914</v>
      </c>
      <c r="U895" s="311">
        <f t="shared" ca="1" si="379"/>
        <v>0</v>
      </c>
      <c r="V895" s="306">
        <f t="shared" ca="1" si="380"/>
        <v>1.2263961380983044</v>
      </c>
      <c r="W895" s="304">
        <f t="shared" ca="1" si="381"/>
        <v>50.270049296911075</v>
      </c>
      <c r="Y895" s="314" t="str">
        <f t="shared" ca="1" si="399"/>
        <v/>
      </c>
      <c r="Z895" s="315" t="str">
        <f t="shared" ca="1" si="400"/>
        <v/>
      </c>
      <c r="AA895" s="316" t="str">
        <f t="shared" ca="1" si="401"/>
        <v/>
      </c>
      <c r="AC895" s="310" t="e">
        <f t="shared" ca="1" si="402"/>
        <v>#N/A</v>
      </c>
      <c r="AD895" s="323" t="e">
        <f t="shared" ca="1" si="403"/>
        <v>#N/A</v>
      </c>
      <c r="AE895" s="324" t="e">
        <f t="shared" ca="1" si="382"/>
        <v>#N/A</v>
      </c>
      <c r="AG895" s="306">
        <f t="shared" ca="1" si="404"/>
        <v>-8.8633992253708271E-2</v>
      </c>
      <c r="AH895" s="304">
        <f t="shared" ca="1" si="405"/>
        <v>-9.8898286403612712</v>
      </c>
    </row>
    <row r="896" spans="1:34" x14ac:dyDescent="0.2">
      <c r="A896" s="347">
        <f t="shared" ca="1" si="383"/>
        <v>1E-4</v>
      </c>
      <c r="B896" s="304">
        <f t="shared" ca="1" si="384"/>
        <v>44.608600000000607</v>
      </c>
      <c r="D896" s="306">
        <f t="shared" ca="1" si="385"/>
        <v>-0.41893041635459399</v>
      </c>
      <c r="E896" s="307">
        <f t="shared" ca="1" si="386"/>
        <v>7.0961676177798694E-2</v>
      </c>
      <c r="F896" s="304">
        <f t="shared" ca="1" si="387"/>
        <v>0.42489793272384396</v>
      </c>
      <c r="G896" s="306">
        <f t="shared" ca="1" si="388"/>
        <v>4.8942542177099417</v>
      </c>
      <c r="H896" s="307">
        <f t="shared" ca="1" si="389"/>
        <v>-115.43766563960429</v>
      </c>
      <c r="I896" s="304">
        <f t="shared" ca="1" si="390"/>
        <v>115.54137082737356</v>
      </c>
      <c r="J896" s="306">
        <f t="shared" ca="1" si="391"/>
        <v>976.66817413190017</v>
      </c>
      <c r="K896" s="307">
        <f t="shared" ca="1" si="392"/>
        <v>-11.40209853370027</v>
      </c>
      <c r="L896" s="304">
        <f t="shared" ca="1" si="377"/>
        <v>976.73472868180124</v>
      </c>
      <c r="M896" s="306">
        <f t="shared" ca="1" si="393"/>
        <v>-1.5284243261650738</v>
      </c>
      <c r="N896" s="304">
        <f t="shared" ca="1" si="394"/>
        <v>-87.572263194385485</v>
      </c>
      <c r="P896" s="310">
        <f t="shared" ca="1" si="395"/>
        <v>23</v>
      </c>
      <c r="Q896" s="304">
        <f t="shared" ca="1" si="396"/>
        <v>0</v>
      </c>
      <c r="R896" s="306">
        <f t="shared" ca="1" si="397"/>
        <v>0</v>
      </c>
      <c r="S896" s="307">
        <f t="shared" ca="1" si="398"/>
        <v>5.0829999999999913</v>
      </c>
      <c r="T896" s="304">
        <f t="shared" ca="1" si="378"/>
        <v>49.864229999999914</v>
      </c>
      <c r="U896" s="311">
        <f t="shared" ca="1" si="379"/>
        <v>0</v>
      </c>
      <c r="V896" s="306">
        <f t="shared" ca="1" si="380"/>
        <v>1.2263975538226981</v>
      </c>
      <c r="W896" s="304">
        <f t="shared" ca="1" si="381"/>
        <v>50.270099614063717</v>
      </c>
      <c r="Y896" s="314" t="str">
        <f t="shared" ca="1" si="399"/>
        <v/>
      </c>
      <c r="Z896" s="315" t="str">
        <f t="shared" ca="1" si="400"/>
        <v/>
      </c>
      <c r="AA896" s="316" t="str">
        <f t="shared" ca="1" si="401"/>
        <v/>
      </c>
      <c r="AC896" s="310" t="e">
        <f t="shared" ca="1" si="402"/>
        <v>#N/A</v>
      </c>
      <c r="AD896" s="323" t="e">
        <f t="shared" ca="1" si="403"/>
        <v>#N/A</v>
      </c>
      <c r="AE896" s="324" t="e">
        <f t="shared" ca="1" si="382"/>
        <v>#N/A</v>
      </c>
      <c r="AG896" s="306">
        <f t="shared" ca="1" si="404"/>
        <v>-8.864374206158665E-2</v>
      </c>
      <c r="AH896" s="304">
        <f t="shared" ca="1" si="405"/>
        <v>-9.889838539624467</v>
      </c>
    </row>
    <row r="897" spans="1:34" x14ac:dyDescent="0.2">
      <c r="A897" s="347">
        <f t="shared" ca="1" si="383"/>
        <v>1E-4</v>
      </c>
      <c r="B897" s="304">
        <f t="shared" ca="1" si="384"/>
        <v>44.60870000000061</v>
      </c>
      <c r="D897" s="306">
        <f t="shared" ca="1" si="385"/>
        <v>-0.41892728195239748</v>
      </c>
      <c r="E897" s="307">
        <f t="shared" ca="1" si="386"/>
        <v>7.0971717067260798E-2</v>
      </c>
      <c r="F897" s="304">
        <f t="shared" ca="1" si="387"/>
        <v>0.42489651938736667</v>
      </c>
      <c r="G897" s="306">
        <f t="shared" ca="1" si="388"/>
        <v>4.8942123249817469</v>
      </c>
      <c r="H897" s="307">
        <f t="shared" ca="1" si="389"/>
        <v>-115.43765854243259</v>
      </c>
      <c r="I897" s="304">
        <f t="shared" ca="1" si="390"/>
        <v>115.54136196203186</v>
      </c>
      <c r="J897" s="306">
        <f t="shared" ca="1" si="391"/>
        <v>976.66817413190017</v>
      </c>
      <c r="K897" s="307">
        <f t="shared" ca="1" si="392"/>
        <v>-11.413642299909371</v>
      </c>
      <c r="L897" s="304">
        <f t="shared" ca="1" si="377"/>
        <v>976.73486350835765</v>
      </c>
      <c r="M897" s="306">
        <f t="shared" ca="1" si="393"/>
        <v>-1.5284246858154615</v>
      </c>
      <c r="N897" s="304">
        <f t="shared" ca="1" si="394"/>
        <v>-87.572283800834811</v>
      </c>
      <c r="P897" s="310">
        <f t="shared" ca="1" si="395"/>
        <v>23</v>
      </c>
      <c r="Q897" s="304">
        <f t="shared" ca="1" si="396"/>
        <v>0</v>
      </c>
      <c r="R897" s="306">
        <f t="shared" ca="1" si="397"/>
        <v>0</v>
      </c>
      <c r="S897" s="307">
        <f t="shared" ca="1" si="398"/>
        <v>5.0829999999999913</v>
      </c>
      <c r="T897" s="304">
        <f t="shared" ca="1" si="378"/>
        <v>49.864229999999914</v>
      </c>
      <c r="U897" s="311">
        <f t="shared" ca="1" si="379"/>
        <v>0</v>
      </c>
      <c r="V897" s="306">
        <f t="shared" ca="1" si="380"/>
        <v>1.2263989695486399</v>
      </c>
      <c r="W897" s="304">
        <f t="shared" ca="1" si="381"/>
        <v>50.270149930414242</v>
      </c>
      <c r="Y897" s="314" t="str">
        <f t="shared" ca="1" si="399"/>
        <v/>
      </c>
      <c r="Z897" s="315" t="str">
        <f t="shared" ca="1" si="400"/>
        <v/>
      </c>
      <c r="AA897" s="316" t="str">
        <f t="shared" ca="1" si="401"/>
        <v/>
      </c>
      <c r="AC897" s="310" t="e">
        <f t="shared" ca="1" si="402"/>
        <v>#N/A</v>
      </c>
      <c r="AD897" s="323" t="e">
        <f t="shared" ca="1" si="403"/>
        <v>#N/A</v>
      </c>
      <c r="AE897" s="324" t="e">
        <f t="shared" ca="1" si="382"/>
        <v>#N/A</v>
      </c>
      <c r="AG897" s="306">
        <f t="shared" ca="1" si="404"/>
        <v>-8.8653491714170585E-2</v>
      </c>
      <c r="AH897" s="304">
        <f t="shared" ca="1" si="405"/>
        <v>-9.889848438729846</v>
      </c>
    </row>
    <row r="898" spans="1:34" x14ac:dyDescent="0.2">
      <c r="A898" s="347">
        <f t="shared" ca="1" si="383"/>
        <v>1E-4</v>
      </c>
      <c r="B898" s="304">
        <f t="shared" ca="1" si="384"/>
        <v>44.608800000000613</v>
      </c>
      <c r="D898" s="306">
        <f t="shared" ca="1" si="385"/>
        <v>-0.41892414756621976</v>
      </c>
      <c r="E898" s="307">
        <f t="shared" ca="1" si="386"/>
        <v>7.0981757796817035E-2</v>
      </c>
      <c r="F898" s="304">
        <f t="shared" ca="1" si="387"/>
        <v>0.4248951062956714</v>
      </c>
      <c r="G898" s="306">
        <f t="shared" ca="1" si="388"/>
        <v>4.8941704325669901</v>
      </c>
      <c r="H898" s="307">
        <f t="shared" ca="1" si="389"/>
        <v>-115.4376514442568</v>
      </c>
      <c r="I898" s="304">
        <f t="shared" ca="1" si="390"/>
        <v>115.54135309571521</v>
      </c>
      <c r="J898" s="306">
        <f t="shared" ca="1" si="391"/>
        <v>976.66817413190017</v>
      </c>
      <c r="K898" s="307">
        <f t="shared" ca="1" si="392"/>
        <v>-11.425186065408706</v>
      </c>
      <c r="L898" s="304">
        <f t="shared" ca="1" si="377"/>
        <v>976.73499847131973</v>
      </c>
      <c r="M898" s="306">
        <f t="shared" ca="1" si="393"/>
        <v>-1.5284250454628259</v>
      </c>
      <c r="N898" s="304">
        <f t="shared" ca="1" si="394"/>
        <v>-87.572304407110892</v>
      </c>
      <c r="P898" s="310">
        <f t="shared" ca="1" si="395"/>
        <v>23</v>
      </c>
      <c r="Q898" s="304">
        <f t="shared" ca="1" si="396"/>
        <v>0</v>
      </c>
      <c r="R898" s="306">
        <f t="shared" ca="1" si="397"/>
        <v>0</v>
      </c>
      <c r="S898" s="307">
        <f t="shared" ca="1" si="398"/>
        <v>5.0829999999999913</v>
      </c>
      <c r="T898" s="304">
        <f t="shared" ca="1" si="378"/>
        <v>49.864229999999914</v>
      </c>
      <c r="U898" s="311">
        <f t="shared" ca="1" si="379"/>
        <v>0</v>
      </c>
      <c r="V898" s="306">
        <f t="shared" ca="1" si="380"/>
        <v>1.2264003852761296</v>
      </c>
      <c r="W898" s="304">
        <f t="shared" ca="1" si="381"/>
        <v>50.270200245962606</v>
      </c>
      <c r="Y898" s="314" t="str">
        <f t="shared" ca="1" si="399"/>
        <v/>
      </c>
      <c r="Z898" s="315" t="str">
        <f t="shared" ca="1" si="400"/>
        <v/>
      </c>
      <c r="AA898" s="316" t="str">
        <f t="shared" ca="1" si="401"/>
        <v/>
      </c>
      <c r="AC898" s="310" t="e">
        <f t="shared" ca="1" si="402"/>
        <v>#N/A</v>
      </c>
      <c r="AD898" s="323" t="e">
        <f t="shared" ca="1" si="403"/>
        <v>#N/A</v>
      </c>
      <c r="AE898" s="324" t="e">
        <f t="shared" ca="1" si="382"/>
        <v>#N/A</v>
      </c>
      <c r="AG898" s="306">
        <f t="shared" ca="1" si="404"/>
        <v>-8.8663241211474286E-2</v>
      </c>
      <c r="AH898" s="304">
        <f t="shared" ca="1" si="405"/>
        <v>-9.8898583376774205</v>
      </c>
    </row>
    <row r="899" spans="1:34" x14ac:dyDescent="0.2">
      <c r="A899" s="347">
        <f t="shared" ca="1" si="383"/>
        <v>1E-4</v>
      </c>
      <c r="B899" s="304">
        <f t="shared" ca="1" si="384"/>
        <v>44.608900000000617</v>
      </c>
      <c r="D899" s="306">
        <f t="shared" ca="1" si="385"/>
        <v>-0.41892101319606306</v>
      </c>
      <c r="E899" s="307">
        <f t="shared" ca="1" si="386"/>
        <v>7.0991798366462078E-2</v>
      </c>
      <c r="F899" s="304">
        <f t="shared" ca="1" si="387"/>
        <v>0.42489369344875011</v>
      </c>
      <c r="G899" s="306">
        <f t="shared" ca="1" si="388"/>
        <v>4.8941285404656707</v>
      </c>
      <c r="H899" s="307">
        <f t="shared" ca="1" si="389"/>
        <v>-115.43764434507696</v>
      </c>
      <c r="I899" s="304">
        <f t="shared" ca="1" si="390"/>
        <v>115.54134422842363</v>
      </c>
      <c r="J899" s="306">
        <f t="shared" ca="1" si="391"/>
        <v>976.66817413190017</v>
      </c>
      <c r="K899" s="307">
        <f t="shared" ca="1" si="392"/>
        <v>-11.436729830198173</v>
      </c>
      <c r="L899" s="304">
        <f t="shared" ca="1" si="377"/>
        <v>976.73513357068748</v>
      </c>
      <c r="M899" s="306">
        <f t="shared" ca="1" si="393"/>
        <v>-1.5284254051071671</v>
      </c>
      <c r="N899" s="304">
        <f t="shared" ca="1" si="394"/>
        <v>-87.572325013213771</v>
      </c>
      <c r="P899" s="310">
        <f t="shared" ca="1" si="395"/>
        <v>23</v>
      </c>
      <c r="Q899" s="304">
        <f t="shared" ca="1" si="396"/>
        <v>0</v>
      </c>
      <c r="R899" s="306">
        <f t="shared" ca="1" si="397"/>
        <v>0</v>
      </c>
      <c r="S899" s="307">
        <f t="shared" ca="1" si="398"/>
        <v>5.0829999999999913</v>
      </c>
      <c r="T899" s="304">
        <f t="shared" ca="1" si="378"/>
        <v>49.864229999999914</v>
      </c>
      <c r="U899" s="311">
        <f t="shared" ca="1" si="379"/>
        <v>0</v>
      </c>
      <c r="V899" s="306">
        <f t="shared" ca="1" si="380"/>
        <v>1.226401801005168</v>
      </c>
      <c r="W899" s="304">
        <f t="shared" ca="1" si="381"/>
        <v>50.270250560708888</v>
      </c>
      <c r="Y899" s="314" t="str">
        <f t="shared" ca="1" si="399"/>
        <v/>
      </c>
      <c r="Z899" s="315" t="str">
        <f t="shared" ca="1" si="400"/>
        <v/>
      </c>
      <c r="AA899" s="316" t="str">
        <f t="shared" ca="1" si="401"/>
        <v/>
      </c>
      <c r="AC899" s="310" t="e">
        <f t="shared" ca="1" si="402"/>
        <v>#N/A</v>
      </c>
      <c r="AD899" s="323" t="e">
        <f t="shared" ca="1" si="403"/>
        <v>#N/A</v>
      </c>
      <c r="AE899" s="324" t="e">
        <f t="shared" ca="1" si="382"/>
        <v>#N/A</v>
      </c>
      <c r="AG899" s="306">
        <f t="shared" ca="1" si="404"/>
        <v>-8.8672990553490649E-2</v>
      </c>
      <c r="AH899" s="304">
        <f t="shared" ca="1" si="405"/>
        <v>-9.8898682364671835</v>
      </c>
    </row>
    <row r="900" spans="1:34" x14ac:dyDescent="0.2">
      <c r="A900" s="347">
        <f t="shared" ca="1" si="383"/>
        <v>1E-4</v>
      </c>
      <c r="B900" s="304">
        <f t="shared" ca="1" si="384"/>
        <v>44.60900000000062</v>
      </c>
      <c r="D900" s="306">
        <f t="shared" ca="1" si="385"/>
        <v>-0.41891787884192594</v>
      </c>
      <c r="E900" s="307">
        <f t="shared" ca="1" si="386"/>
        <v>7.1001838776208359E-2</v>
      </c>
      <c r="F900" s="304">
        <f t="shared" ca="1" si="387"/>
        <v>0.42489228084659436</v>
      </c>
      <c r="G900" s="306">
        <f t="shared" ca="1" si="388"/>
        <v>4.8940866486777868</v>
      </c>
      <c r="H900" s="307">
        <f t="shared" ca="1" si="389"/>
        <v>-115.43763724489308</v>
      </c>
      <c r="I900" s="304">
        <f t="shared" ca="1" si="390"/>
        <v>115.54133536015712</v>
      </c>
      <c r="J900" s="306">
        <f t="shared" ca="1" si="391"/>
        <v>976.66817413190017</v>
      </c>
      <c r="K900" s="307">
        <f t="shared" ca="1" si="392"/>
        <v>-11.448273594277671</v>
      </c>
      <c r="L900" s="304">
        <f t="shared" ref="L900:L963" ca="1" si="406">SQRT(pos_x^2+pos_z^2)</f>
        <v>976.73526880646079</v>
      </c>
      <c r="M900" s="306">
        <f t="shared" ca="1" si="393"/>
        <v>-1.5284257647484849</v>
      </c>
      <c r="N900" s="304">
        <f t="shared" ca="1" si="394"/>
        <v>-87.57234561914342</v>
      </c>
      <c r="P900" s="310">
        <f t="shared" ca="1" si="395"/>
        <v>23</v>
      </c>
      <c r="Q900" s="304">
        <f t="shared" ca="1" si="396"/>
        <v>0</v>
      </c>
      <c r="R900" s="306">
        <f t="shared" ca="1" si="397"/>
        <v>0</v>
      </c>
      <c r="S900" s="307">
        <f t="shared" ca="1" si="398"/>
        <v>5.0829999999999913</v>
      </c>
      <c r="T900" s="304">
        <f t="shared" ref="T900:T963" ca="1" si="407">m*g</f>
        <v>49.864229999999914</v>
      </c>
      <c r="U900" s="311">
        <f t="shared" ref="U900:U963" ca="1" si="408">IF(pos_xz&lt;L_rampe,Poids*COS(Beta),0)</f>
        <v>0</v>
      </c>
      <c r="V900" s="306">
        <f t="shared" ref="V900:V963" ca="1" si="409">Rho_moyen*(20000-Alt_rampe-pos_z)/(20000+Alt_rampe+pos_z)</f>
        <v>1.2264032167357541</v>
      </c>
      <c r="W900" s="304">
        <f t="shared" ref="W900:W963" ca="1" si="410">1/2*Rho*Sref*Cx*vit_xz^2</f>
        <v>50.270300874653032</v>
      </c>
      <c r="Y900" s="314" t="str">
        <f t="shared" ca="1" si="399"/>
        <v/>
      </c>
      <c r="Z900" s="315" t="str">
        <f t="shared" ca="1" si="400"/>
        <v/>
      </c>
      <c r="AA900" s="316" t="str">
        <f t="shared" ca="1" si="401"/>
        <v/>
      </c>
      <c r="AC900" s="310" t="e">
        <f t="shared" ca="1" si="402"/>
        <v>#N/A</v>
      </c>
      <c r="AD900" s="323" t="e">
        <f t="shared" ca="1" si="403"/>
        <v>#N/A</v>
      </c>
      <c r="AE900" s="324" t="e">
        <f t="shared" ref="AE900:AE963" ca="1" si="411">IF(t&lt;T_para, pos_z, NA())</f>
        <v>#N/A</v>
      </c>
      <c r="AG900" s="306">
        <f t="shared" ca="1" si="404"/>
        <v>-8.8682739740232108E-2</v>
      </c>
      <c r="AH900" s="304">
        <f t="shared" ca="1" si="405"/>
        <v>-9.8898781350991491</v>
      </c>
    </row>
    <row r="901" spans="1:34" x14ac:dyDescent="0.2">
      <c r="A901" s="347">
        <f t="shared" ref="A901:A964" ca="1" si="412">IF(B900+0.01&lt;=T_ini+ROUNDUP(Temps_fin_propu,0), 0.01, IF(K900&gt;0, 0.1, 0.0001))</f>
        <v>1E-4</v>
      </c>
      <c r="B901" s="304">
        <f t="shared" ref="B901:B964" ca="1" si="413">B900+pas</f>
        <v>44.609100000000623</v>
      </c>
      <c r="D901" s="306">
        <f t="shared" ref="D901:D964" ca="1" si="414">IF(AND(L900&lt;L_rampe,Poussee&lt;Poids*SIN(M900)),0,(-W900+Poussee)/m*COS(M900)-U900/m*SIN(M900))</f>
        <v>-0.41891474450381061</v>
      </c>
      <c r="E901" s="307">
        <f t="shared" ref="E901:E964" ca="1" si="415">IF(AND(L900&lt;L_rampe,Poussee&lt;Poids*SIN(M900)),0,(-W900+Poussee)/m*SIN(M900)+U900/m*COS(M900)-Poids/m)</f>
        <v>7.1011879026043445E-2</v>
      </c>
      <c r="F901" s="304">
        <f t="shared" ref="F901:F964" ca="1" si="416">SQRT(acc_x^2+acc_z^2)</f>
        <v>0.42489086848919494</v>
      </c>
      <c r="G901" s="306">
        <f t="shared" ref="G901:G964" ca="1" si="417">G900+acc_x*pas</f>
        <v>4.8940447572033365</v>
      </c>
      <c r="H901" s="307">
        <f t="shared" ref="H901:H964" ca="1" si="418">H900+acc_z*pas</f>
        <v>-115.43763014370518</v>
      </c>
      <c r="I901" s="304">
        <f t="shared" ref="I901:I964" ca="1" si="419">SQRT(vit_x^2+vit_z^2)</f>
        <v>115.54132649091571</v>
      </c>
      <c r="J901" s="306">
        <f t="shared" ref="J901:J964" ca="1" si="420">J900+0.5*(vit_x+G900)*pas*(K900&gt;=0)</f>
        <v>976.66817413190017</v>
      </c>
      <c r="K901" s="307">
        <f t="shared" ref="K901:K964" ca="1" si="421">K900+0.5*(vit_z+H900)*pas</f>
        <v>-11.459817357647101</v>
      </c>
      <c r="L901" s="304">
        <f t="shared" ca="1" si="406"/>
        <v>976.73540417863956</v>
      </c>
      <c r="M901" s="306">
        <f t="shared" ref="M901:M964" ca="1" si="422">IF(AND(L900&gt;L_rampe,G901&gt;0),ATAN2(G901,H901),$M$4)</f>
        <v>-1.5284261243867796</v>
      </c>
      <c r="N901" s="304">
        <f t="shared" ref="N901:N964" ca="1" si="423">DEGREES(Beta)</f>
        <v>-87.572366224899866</v>
      </c>
      <c r="P901" s="310">
        <f t="shared" ref="P901:P964" ca="1" si="424">MATCH(t-pas/2-T_ini,CdP_t)</f>
        <v>23</v>
      </c>
      <c r="Q901" s="304">
        <f t="shared" ref="Q901:Q964" ca="1" si="425">(INDEX(CdP,2,i_P+1)-INDEX(CdP,2,i_P+0))/(INDEX(CdP,1,i_P+1)-INDEX(CdP,1,i_P+0))*(t-pas/2-T_ini-INDEX(CdP,1,i_P+0))+INDEX(CdP,2,i_P+0)</f>
        <v>0</v>
      </c>
      <c r="R901" s="306">
        <f t="shared" ref="R901:R964" ca="1" si="426">Poussee/(g*ISP)</f>
        <v>0</v>
      </c>
      <c r="S901" s="307">
        <f t="shared" ref="S901:S964" ca="1" si="427">S900-Débit*pas</f>
        <v>5.0829999999999913</v>
      </c>
      <c r="T901" s="304">
        <f t="shared" ca="1" si="407"/>
        <v>49.864229999999914</v>
      </c>
      <c r="U901" s="311">
        <f t="shared" ca="1" si="408"/>
        <v>0</v>
      </c>
      <c r="V901" s="306">
        <f t="shared" ca="1" si="409"/>
        <v>1.2264046324678888</v>
      </c>
      <c r="W901" s="304">
        <f t="shared" ca="1" si="410"/>
        <v>50.270351187795086</v>
      </c>
      <c r="Y901" s="314" t="str">
        <f t="shared" ref="Y901:Y964" ca="1" si="428">IF(AND(pos_z&lt;=0,K900&gt;0),"Impact balistique","") &amp; IF(AND(H902&lt;0,vit_z&gt;=0),"Apogée","") &amp; IF(AND(Poussee=0,Q900&gt;0),"Fin de propulsion","") &amp; IF(AND(L902&gt;L_rampe,pos_xz&lt;=L_rampe),"Sortie de rampe","")</f>
        <v/>
      </c>
      <c r="Z901" s="315" t="str">
        <f t="shared" ref="Z901:Z964" ca="1" si="429">IF(ABS(t-T_para)&lt;pas/2,"Para","")</f>
        <v/>
      </c>
      <c r="AA901" s="316" t="str">
        <f t="shared" ref="AA901:AA964" ca="1" si="430">IF(ABS(t-T_satellite)&lt;pas/2,"Satellite","")</f>
        <v/>
      </c>
      <c r="AC901" s="310" t="e">
        <f t="shared" ref="AC901:AC964" ca="1" si="431">IF(ABS(t-ROUND(t,0))&lt;0.001,t,NA())</f>
        <v>#N/A</v>
      </c>
      <c r="AD901" s="323" t="e">
        <f t="shared" ref="AD901:AD964" ca="1" si="432">IF(ABS(t-ROUND(t,0))&lt;0.001,pos_x,NA())</f>
        <v>#N/A</v>
      </c>
      <c r="AE901" s="324" t="e">
        <f t="shared" ca="1" si="411"/>
        <v>#N/A</v>
      </c>
      <c r="AG901" s="306">
        <f t="shared" ref="AG901:AG964" ca="1" si="433">IF(AND(L900&lt;L_rampe,Poussee&lt;Poids*SIN(M900)),0,(-W900+Poussee)/m-Poids*SIN(M900)/m)</f>
        <v>-8.8692488771693334E-2</v>
      </c>
      <c r="AH901" s="304">
        <f t="shared" ref="AH901:AH964" ca="1" si="434">IF(AND(L900&lt;L_rampe,Poussee&lt;Poids*SIN(M900)), g*SIN(M900), (-W900+Poussee)/m)</f>
        <v>-9.8898880335733068</v>
      </c>
    </row>
    <row r="902" spans="1:34" x14ac:dyDescent="0.2">
      <c r="A902" s="347">
        <f t="shared" ca="1" si="412"/>
        <v>1E-4</v>
      </c>
      <c r="B902" s="304">
        <f t="shared" ca="1" si="413"/>
        <v>44.609200000000627</v>
      </c>
      <c r="D902" s="306">
        <f t="shared" ca="1" si="414"/>
        <v>-0.4189116101817153</v>
      </c>
      <c r="E902" s="307">
        <f t="shared" ca="1" si="415"/>
        <v>7.102191911597977E-2</v>
      </c>
      <c r="F902" s="304">
        <f t="shared" ca="1" si="416"/>
        <v>0.42488945637654296</v>
      </c>
      <c r="G902" s="306">
        <f t="shared" ca="1" si="417"/>
        <v>4.8940028660423183</v>
      </c>
      <c r="H902" s="307">
        <f t="shared" ca="1" si="418"/>
        <v>-115.43762304151326</v>
      </c>
      <c r="I902" s="304">
        <f t="shared" ca="1" si="419"/>
        <v>115.54131762069942</v>
      </c>
      <c r="J902" s="306">
        <f t="shared" ca="1" si="420"/>
        <v>976.66817413190017</v>
      </c>
      <c r="K902" s="307">
        <f t="shared" ca="1" si="421"/>
        <v>-11.471361120306362</v>
      </c>
      <c r="L902" s="304">
        <f t="shared" ca="1" si="406"/>
        <v>976.73553968722376</v>
      </c>
      <c r="M902" s="306">
        <f t="shared" ca="1" si="422"/>
        <v>-1.5284264840220512</v>
      </c>
      <c r="N902" s="304">
        <f t="shared" ca="1" si="423"/>
        <v>-87.572386830483083</v>
      </c>
      <c r="P902" s="310">
        <f t="shared" ca="1" si="424"/>
        <v>23</v>
      </c>
      <c r="Q902" s="304">
        <f t="shared" ca="1" si="425"/>
        <v>0</v>
      </c>
      <c r="R902" s="306">
        <f t="shared" ca="1" si="426"/>
        <v>0</v>
      </c>
      <c r="S902" s="307">
        <f t="shared" ca="1" si="427"/>
        <v>5.0829999999999913</v>
      </c>
      <c r="T902" s="304">
        <f t="shared" ca="1" si="407"/>
        <v>49.864229999999914</v>
      </c>
      <c r="U902" s="311">
        <f t="shared" ca="1" si="408"/>
        <v>0</v>
      </c>
      <c r="V902" s="306">
        <f t="shared" ca="1" si="409"/>
        <v>1.2264060482015715</v>
      </c>
      <c r="W902" s="304">
        <f t="shared" ca="1" si="410"/>
        <v>50.270401500135073</v>
      </c>
      <c r="Y902" s="314" t="str">
        <f t="shared" ca="1" si="428"/>
        <v/>
      </c>
      <c r="Z902" s="315" t="str">
        <f t="shared" ca="1" si="429"/>
        <v/>
      </c>
      <c r="AA902" s="316" t="str">
        <f t="shared" ca="1" si="430"/>
        <v/>
      </c>
      <c r="AC902" s="310" t="e">
        <f t="shared" ca="1" si="431"/>
        <v>#N/A</v>
      </c>
      <c r="AD902" s="323" t="e">
        <f t="shared" ca="1" si="432"/>
        <v>#N/A</v>
      </c>
      <c r="AE902" s="324" t="e">
        <f t="shared" ca="1" si="411"/>
        <v>#N/A</v>
      </c>
      <c r="AG902" s="306">
        <f t="shared" ca="1" si="433"/>
        <v>-8.8702237647876103E-2</v>
      </c>
      <c r="AH902" s="304">
        <f t="shared" ca="1" si="434"/>
        <v>-9.8898979318896654</v>
      </c>
    </row>
    <row r="903" spans="1:34" x14ac:dyDescent="0.2">
      <c r="A903" s="347">
        <f t="shared" ca="1" si="412"/>
        <v>1E-4</v>
      </c>
      <c r="B903" s="304">
        <f t="shared" ca="1" si="413"/>
        <v>44.60930000000063</v>
      </c>
      <c r="D903" s="306">
        <f t="shared" ca="1" si="414"/>
        <v>-0.41890847587564078</v>
      </c>
      <c r="E903" s="307">
        <f t="shared" ca="1" si="415"/>
        <v>7.1031959046022664E-2</v>
      </c>
      <c r="F903" s="304">
        <f t="shared" ca="1" si="416"/>
        <v>0.42488804450863071</v>
      </c>
      <c r="G903" s="306">
        <f t="shared" ca="1" si="417"/>
        <v>4.8939609751947311</v>
      </c>
      <c r="H903" s="307">
        <f t="shared" ca="1" si="418"/>
        <v>-115.43761593831736</v>
      </c>
      <c r="I903" s="304">
        <f t="shared" ca="1" si="419"/>
        <v>115.54130874950826</v>
      </c>
      <c r="J903" s="306">
        <f t="shared" ca="1" si="420"/>
        <v>976.66817413190017</v>
      </c>
      <c r="K903" s="307">
        <f t="shared" ca="1" si="421"/>
        <v>-11.482904882255353</v>
      </c>
      <c r="L903" s="304">
        <f t="shared" ca="1" si="406"/>
        <v>976.7356753322133</v>
      </c>
      <c r="M903" s="306">
        <f t="shared" ca="1" si="422"/>
        <v>-1.5284268436542998</v>
      </c>
      <c r="N903" s="304">
        <f t="shared" ca="1" si="423"/>
        <v>-87.572407435893112</v>
      </c>
      <c r="P903" s="310">
        <f t="shared" ca="1" si="424"/>
        <v>23</v>
      </c>
      <c r="Q903" s="304">
        <f t="shared" ca="1" si="425"/>
        <v>0</v>
      </c>
      <c r="R903" s="306">
        <f t="shared" ca="1" si="426"/>
        <v>0</v>
      </c>
      <c r="S903" s="307">
        <f t="shared" ca="1" si="427"/>
        <v>5.0829999999999913</v>
      </c>
      <c r="T903" s="304">
        <f t="shared" ca="1" si="407"/>
        <v>49.864229999999914</v>
      </c>
      <c r="U903" s="311">
        <f t="shared" ca="1" si="408"/>
        <v>0</v>
      </c>
      <c r="V903" s="306">
        <f t="shared" ca="1" si="409"/>
        <v>1.2264074639368017</v>
      </c>
      <c r="W903" s="304">
        <f t="shared" ca="1" si="410"/>
        <v>50.270451811672949</v>
      </c>
      <c r="Y903" s="314" t="str">
        <f t="shared" ca="1" si="428"/>
        <v/>
      </c>
      <c r="Z903" s="315" t="str">
        <f t="shared" ca="1" si="429"/>
        <v/>
      </c>
      <c r="AA903" s="316" t="str">
        <f t="shared" ca="1" si="430"/>
        <v/>
      </c>
      <c r="AC903" s="310" t="e">
        <f t="shared" ca="1" si="431"/>
        <v>#N/A</v>
      </c>
      <c r="AD903" s="323" t="e">
        <f t="shared" ca="1" si="432"/>
        <v>#N/A</v>
      </c>
      <c r="AE903" s="324" t="e">
        <f t="shared" ca="1" si="411"/>
        <v>#N/A</v>
      </c>
      <c r="AG903" s="306">
        <f t="shared" ca="1" si="433"/>
        <v>-8.871198636879285E-2</v>
      </c>
      <c r="AH903" s="304">
        <f t="shared" ca="1" si="434"/>
        <v>-9.8899078300482319</v>
      </c>
    </row>
    <row r="904" spans="1:34" x14ac:dyDescent="0.2">
      <c r="A904" s="347">
        <f t="shared" ca="1" si="412"/>
        <v>1E-4</v>
      </c>
      <c r="B904" s="304">
        <f t="shared" ca="1" si="413"/>
        <v>44.609400000000633</v>
      </c>
      <c r="D904" s="306">
        <f t="shared" ca="1" si="414"/>
        <v>-0.41890534158558435</v>
      </c>
      <c r="E904" s="307">
        <f t="shared" ca="1" si="415"/>
        <v>7.1041998816157914E-2</v>
      </c>
      <c r="F904" s="304">
        <f t="shared" ca="1" si="416"/>
        <v>0.42488663288544404</v>
      </c>
      <c r="G904" s="306">
        <f t="shared" ca="1" si="417"/>
        <v>4.8939190846605722</v>
      </c>
      <c r="H904" s="307">
        <f t="shared" ca="1" si="418"/>
        <v>-115.43760883411748</v>
      </c>
      <c r="I904" s="304">
        <f t="shared" ca="1" si="419"/>
        <v>115.54129987734223</v>
      </c>
      <c r="J904" s="306">
        <f t="shared" ca="1" si="420"/>
        <v>976.66817413190017</v>
      </c>
      <c r="K904" s="307">
        <f t="shared" ca="1" si="421"/>
        <v>-11.494448643493975</v>
      </c>
      <c r="L904" s="304">
        <f t="shared" ca="1" si="406"/>
        <v>976.73581111360795</v>
      </c>
      <c r="M904" s="306">
        <f t="shared" ca="1" si="422"/>
        <v>-1.5284272032835251</v>
      </c>
      <c r="N904" s="304">
        <f t="shared" ca="1" si="423"/>
        <v>-87.572428041129911</v>
      </c>
      <c r="P904" s="310">
        <f t="shared" ca="1" si="424"/>
        <v>23</v>
      </c>
      <c r="Q904" s="304">
        <f t="shared" ca="1" si="425"/>
        <v>0</v>
      </c>
      <c r="R904" s="306">
        <f t="shared" ca="1" si="426"/>
        <v>0</v>
      </c>
      <c r="S904" s="307">
        <f t="shared" ca="1" si="427"/>
        <v>5.0829999999999913</v>
      </c>
      <c r="T904" s="304">
        <f t="shared" ca="1" si="407"/>
        <v>49.864229999999914</v>
      </c>
      <c r="U904" s="311">
        <f t="shared" ca="1" si="408"/>
        <v>0</v>
      </c>
      <c r="V904" s="306">
        <f t="shared" ca="1" si="409"/>
        <v>1.2264088796735808</v>
      </c>
      <c r="W904" s="304">
        <f t="shared" ca="1" si="410"/>
        <v>50.270502122408786</v>
      </c>
      <c r="Y904" s="314" t="str">
        <f t="shared" ca="1" si="428"/>
        <v/>
      </c>
      <c r="Z904" s="315" t="str">
        <f t="shared" ca="1" si="429"/>
        <v/>
      </c>
      <c r="AA904" s="316" t="str">
        <f t="shared" ca="1" si="430"/>
        <v/>
      </c>
      <c r="AC904" s="310" t="e">
        <f t="shared" ca="1" si="431"/>
        <v>#N/A</v>
      </c>
      <c r="AD904" s="323" t="e">
        <f t="shared" ca="1" si="432"/>
        <v>#N/A</v>
      </c>
      <c r="AE904" s="324" t="e">
        <f t="shared" ca="1" si="411"/>
        <v>#N/A</v>
      </c>
      <c r="AG904" s="306">
        <f t="shared" ca="1" si="433"/>
        <v>-8.8721734934427587E-2</v>
      </c>
      <c r="AH904" s="304">
        <f t="shared" ca="1" si="434"/>
        <v>-9.8899177280489941</v>
      </c>
    </row>
    <row r="905" spans="1:34" x14ac:dyDescent="0.2">
      <c r="A905" s="347">
        <f t="shared" ca="1" si="412"/>
        <v>1E-4</v>
      </c>
      <c r="B905" s="304">
        <f t="shared" ca="1" si="413"/>
        <v>44.609500000000637</v>
      </c>
      <c r="D905" s="306">
        <f t="shared" ca="1" si="414"/>
        <v>-0.41890220731155153</v>
      </c>
      <c r="E905" s="307">
        <f t="shared" ca="1" si="415"/>
        <v>7.1052038426406838E-2</v>
      </c>
      <c r="F905" s="304">
        <f t="shared" ca="1" si="416"/>
        <v>0.4248852215069826</v>
      </c>
      <c r="G905" s="306">
        <f t="shared" ca="1" si="417"/>
        <v>4.8938771944398409</v>
      </c>
      <c r="H905" s="307">
        <f t="shared" ca="1" si="418"/>
        <v>-115.43760172891363</v>
      </c>
      <c r="I905" s="304">
        <f t="shared" ca="1" si="419"/>
        <v>115.54129100420137</v>
      </c>
      <c r="J905" s="306">
        <f t="shared" ca="1" si="420"/>
        <v>976.66817413190017</v>
      </c>
      <c r="K905" s="307">
        <f t="shared" ca="1" si="421"/>
        <v>-11.505992404022127</v>
      </c>
      <c r="L905" s="304">
        <f t="shared" ca="1" si="406"/>
        <v>976.73594703140782</v>
      </c>
      <c r="M905" s="306">
        <f t="shared" ca="1" si="422"/>
        <v>-1.5284275629097275</v>
      </c>
      <c r="N905" s="304">
        <f t="shared" ca="1" si="423"/>
        <v>-87.572448646193507</v>
      </c>
      <c r="P905" s="310">
        <f t="shared" ca="1" si="424"/>
        <v>23</v>
      </c>
      <c r="Q905" s="304">
        <f t="shared" ca="1" si="425"/>
        <v>0</v>
      </c>
      <c r="R905" s="306">
        <f t="shared" ca="1" si="426"/>
        <v>0</v>
      </c>
      <c r="S905" s="307">
        <f t="shared" ca="1" si="427"/>
        <v>5.0829999999999913</v>
      </c>
      <c r="T905" s="304">
        <f t="shared" ca="1" si="407"/>
        <v>49.864229999999914</v>
      </c>
      <c r="U905" s="311">
        <f t="shared" ca="1" si="408"/>
        <v>0</v>
      </c>
      <c r="V905" s="306">
        <f t="shared" ca="1" si="409"/>
        <v>1.2264102954119076</v>
      </c>
      <c r="W905" s="304">
        <f t="shared" ca="1" si="410"/>
        <v>50.270552432342555</v>
      </c>
      <c r="Y905" s="314" t="str">
        <f t="shared" ca="1" si="428"/>
        <v/>
      </c>
      <c r="Z905" s="315" t="str">
        <f t="shared" ca="1" si="429"/>
        <v/>
      </c>
      <c r="AA905" s="316" t="str">
        <f t="shared" ca="1" si="430"/>
        <v/>
      </c>
      <c r="AC905" s="310" t="e">
        <f t="shared" ca="1" si="431"/>
        <v>#N/A</v>
      </c>
      <c r="AD905" s="323" t="e">
        <f t="shared" ca="1" si="432"/>
        <v>#N/A</v>
      </c>
      <c r="AE905" s="324" t="e">
        <f t="shared" ca="1" si="411"/>
        <v>#N/A</v>
      </c>
      <c r="AG905" s="306">
        <f t="shared" ca="1" si="433"/>
        <v>-8.8731483344798079E-2</v>
      </c>
      <c r="AH905" s="304">
        <f t="shared" ca="1" si="434"/>
        <v>-9.8899276258919677</v>
      </c>
    </row>
    <row r="906" spans="1:34" x14ac:dyDescent="0.2">
      <c r="A906" s="347">
        <f t="shared" ca="1" si="412"/>
        <v>1E-4</v>
      </c>
      <c r="B906" s="304">
        <f t="shared" ca="1" si="413"/>
        <v>44.60960000000064</v>
      </c>
      <c r="D906" s="306">
        <f t="shared" ca="1" si="414"/>
        <v>-0.41889907305353791</v>
      </c>
      <c r="E906" s="307">
        <f t="shared" ca="1" si="415"/>
        <v>7.1062077876758778E-2</v>
      </c>
      <c r="F906" s="304">
        <f t="shared" ca="1" si="416"/>
        <v>0.42488381037323109</v>
      </c>
      <c r="G906" s="306">
        <f t="shared" ca="1" si="417"/>
        <v>4.8938353045325353</v>
      </c>
      <c r="H906" s="307">
        <f t="shared" ca="1" si="418"/>
        <v>-115.43759462270584</v>
      </c>
      <c r="I906" s="304">
        <f t="shared" ca="1" si="419"/>
        <v>115.54128213008568</v>
      </c>
      <c r="J906" s="306">
        <f t="shared" ca="1" si="420"/>
        <v>976.66817413190017</v>
      </c>
      <c r="K906" s="307">
        <f t="shared" ca="1" si="421"/>
        <v>-11.517536163839708</v>
      </c>
      <c r="L906" s="304">
        <f t="shared" ca="1" si="406"/>
        <v>976.73608308561279</v>
      </c>
      <c r="M906" s="306">
        <f t="shared" ca="1" si="422"/>
        <v>-1.5284279225329067</v>
      </c>
      <c r="N906" s="304">
        <f t="shared" ca="1" si="423"/>
        <v>-87.572469251083888</v>
      </c>
      <c r="P906" s="310">
        <f t="shared" ca="1" si="424"/>
        <v>23</v>
      </c>
      <c r="Q906" s="304">
        <f t="shared" ca="1" si="425"/>
        <v>0</v>
      </c>
      <c r="R906" s="306">
        <f t="shared" ca="1" si="426"/>
        <v>0</v>
      </c>
      <c r="S906" s="307">
        <f t="shared" ca="1" si="427"/>
        <v>5.0829999999999913</v>
      </c>
      <c r="T906" s="304">
        <f t="shared" ca="1" si="407"/>
        <v>49.864229999999914</v>
      </c>
      <c r="U906" s="311">
        <f t="shared" ca="1" si="408"/>
        <v>0</v>
      </c>
      <c r="V906" s="306">
        <f t="shared" ca="1" si="409"/>
        <v>1.2264117111517827</v>
      </c>
      <c r="W906" s="304">
        <f t="shared" ca="1" si="410"/>
        <v>50.270602741474278</v>
      </c>
      <c r="Y906" s="314" t="str">
        <f t="shared" ca="1" si="428"/>
        <v/>
      </c>
      <c r="Z906" s="315" t="str">
        <f t="shared" ca="1" si="429"/>
        <v/>
      </c>
      <c r="AA906" s="316" t="str">
        <f t="shared" ca="1" si="430"/>
        <v/>
      </c>
      <c r="AC906" s="310" t="e">
        <f t="shared" ca="1" si="431"/>
        <v>#N/A</v>
      </c>
      <c r="AD906" s="323" t="e">
        <f t="shared" ca="1" si="432"/>
        <v>#N/A</v>
      </c>
      <c r="AE906" s="324" t="e">
        <f t="shared" ca="1" si="411"/>
        <v>#N/A</v>
      </c>
      <c r="AG906" s="306">
        <f t="shared" ca="1" si="433"/>
        <v>-8.8741231599897219E-2</v>
      </c>
      <c r="AH906" s="304">
        <f t="shared" ca="1" si="434"/>
        <v>-9.8899375235771476</v>
      </c>
    </row>
    <row r="907" spans="1:34" x14ac:dyDescent="0.2">
      <c r="A907" s="347">
        <f t="shared" ca="1" si="412"/>
        <v>1E-4</v>
      </c>
      <c r="B907" s="304">
        <f t="shared" ca="1" si="413"/>
        <v>44.609700000000643</v>
      </c>
      <c r="D907" s="306">
        <f t="shared" ca="1" si="414"/>
        <v>-0.41889593881154602</v>
      </c>
      <c r="E907" s="307">
        <f t="shared" ca="1" si="415"/>
        <v>7.1072117167219062E-2</v>
      </c>
      <c r="F907" s="304">
        <f t="shared" ca="1" si="416"/>
        <v>0.42488239948418366</v>
      </c>
      <c r="G907" s="306">
        <f t="shared" ca="1" si="417"/>
        <v>4.8937934149386546</v>
      </c>
      <c r="H907" s="307">
        <f t="shared" ca="1" si="418"/>
        <v>-115.43758751549413</v>
      </c>
      <c r="I907" s="304">
        <f t="shared" ca="1" si="419"/>
        <v>115.54127325499518</v>
      </c>
      <c r="J907" s="306">
        <f t="shared" ca="1" si="420"/>
        <v>976.66817413190017</v>
      </c>
      <c r="K907" s="307">
        <f t="shared" ca="1" si="421"/>
        <v>-11.529079922946618</v>
      </c>
      <c r="L907" s="304">
        <f t="shared" ca="1" si="406"/>
        <v>976.73621927622276</v>
      </c>
      <c r="M907" s="306">
        <f t="shared" ca="1" si="422"/>
        <v>-1.528428282153063</v>
      </c>
      <c r="N907" s="304">
        <f t="shared" ca="1" si="423"/>
        <v>-87.572489855801081</v>
      </c>
      <c r="P907" s="310">
        <f t="shared" ca="1" si="424"/>
        <v>23</v>
      </c>
      <c r="Q907" s="304">
        <f t="shared" ca="1" si="425"/>
        <v>0</v>
      </c>
      <c r="R907" s="306">
        <f t="shared" ca="1" si="426"/>
        <v>0</v>
      </c>
      <c r="S907" s="307">
        <f t="shared" ca="1" si="427"/>
        <v>5.0829999999999913</v>
      </c>
      <c r="T907" s="304">
        <f t="shared" ca="1" si="407"/>
        <v>49.864229999999914</v>
      </c>
      <c r="U907" s="311">
        <f t="shared" ca="1" si="408"/>
        <v>0</v>
      </c>
      <c r="V907" s="306">
        <f t="shared" ca="1" si="409"/>
        <v>1.2264131268932059</v>
      </c>
      <c r="W907" s="304">
        <f t="shared" ca="1" si="410"/>
        <v>50.270653049803961</v>
      </c>
      <c r="Y907" s="314" t="str">
        <f t="shared" ca="1" si="428"/>
        <v/>
      </c>
      <c r="Z907" s="315" t="str">
        <f t="shared" ca="1" si="429"/>
        <v/>
      </c>
      <c r="AA907" s="316" t="str">
        <f t="shared" ca="1" si="430"/>
        <v/>
      </c>
      <c r="AC907" s="310" t="e">
        <f t="shared" ca="1" si="431"/>
        <v>#N/A</v>
      </c>
      <c r="AD907" s="323" t="e">
        <f t="shared" ca="1" si="432"/>
        <v>#N/A</v>
      </c>
      <c r="AE907" s="324" t="e">
        <f t="shared" ca="1" si="411"/>
        <v>#N/A</v>
      </c>
      <c r="AG907" s="306">
        <f t="shared" ca="1" si="433"/>
        <v>-8.8750979699732113E-2</v>
      </c>
      <c r="AH907" s="304">
        <f t="shared" ca="1" si="434"/>
        <v>-9.8899474211045373</v>
      </c>
    </row>
    <row r="908" spans="1:34" x14ac:dyDescent="0.2">
      <c r="A908" s="347">
        <f t="shared" ca="1" si="412"/>
        <v>1E-4</v>
      </c>
      <c r="B908" s="304">
        <f t="shared" ca="1" si="413"/>
        <v>44.609800000000646</v>
      </c>
      <c r="D908" s="306">
        <f t="shared" ca="1" si="414"/>
        <v>-0.41889280458557415</v>
      </c>
      <c r="E908" s="307">
        <f t="shared" ca="1" si="415"/>
        <v>7.1082156297791244E-2</v>
      </c>
      <c r="F908" s="304">
        <f t="shared" ca="1" si="416"/>
        <v>0.42488098883982989</v>
      </c>
      <c r="G908" s="306">
        <f t="shared" ca="1" si="417"/>
        <v>4.893751525658196</v>
      </c>
      <c r="H908" s="307">
        <f t="shared" ca="1" si="418"/>
        <v>-115.4375804072785</v>
      </c>
      <c r="I908" s="304">
        <f t="shared" ca="1" si="419"/>
        <v>115.54126437892988</v>
      </c>
      <c r="J908" s="306">
        <f t="shared" ca="1" si="420"/>
        <v>976.66817413190017</v>
      </c>
      <c r="K908" s="307">
        <f t="shared" ca="1" si="421"/>
        <v>-11.540623681342757</v>
      </c>
      <c r="L908" s="304">
        <f t="shared" ca="1" si="406"/>
        <v>976.73635560323748</v>
      </c>
      <c r="M908" s="306">
        <f t="shared" ca="1" si="422"/>
        <v>-1.5284286417701964</v>
      </c>
      <c r="N908" s="304">
        <f t="shared" ca="1" si="423"/>
        <v>-87.572510460345057</v>
      </c>
      <c r="P908" s="310">
        <f t="shared" ca="1" si="424"/>
        <v>23</v>
      </c>
      <c r="Q908" s="304">
        <f t="shared" ca="1" si="425"/>
        <v>0</v>
      </c>
      <c r="R908" s="306">
        <f t="shared" ca="1" si="426"/>
        <v>0</v>
      </c>
      <c r="S908" s="307">
        <f t="shared" ca="1" si="427"/>
        <v>5.0829999999999913</v>
      </c>
      <c r="T908" s="304">
        <f t="shared" ca="1" si="407"/>
        <v>49.864229999999914</v>
      </c>
      <c r="U908" s="311">
        <f t="shared" ca="1" si="408"/>
        <v>0</v>
      </c>
      <c r="V908" s="306">
        <f t="shared" ca="1" si="409"/>
        <v>1.226414542636177</v>
      </c>
      <c r="W908" s="304">
        <f t="shared" ca="1" si="410"/>
        <v>50.270703357331627</v>
      </c>
      <c r="Y908" s="314" t="str">
        <f t="shared" ca="1" si="428"/>
        <v/>
      </c>
      <c r="Z908" s="315" t="str">
        <f t="shared" ca="1" si="429"/>
        <v/>
      </c>
      <c r="AA908" s="316" t="str">
        <f t="shared" ca="1" si="430"/>
        <v/>
      </c>
      <c r="AC908" s="310" t="e">
        <f t="shared" ca="1" si="431"/>
        <v>#N/A</v>
      </c>
      <c r="AD908" s="323" t="e">
        <f t="shared" ca="1" si="432"/>
        <v>#N/A</v>
      </c>
      <c r="AE908" s="324" t="e">
        <f t="shared" ca="1" si="411"/>
        <v>#N/A</v>
      </c>
      <c r="AG908" s="306">
        <f t="shared" ca="1" si="433"/>
        <v>-8.8760727644300985E-2</v>
      </c>
      <c r="AH908" s="304">
        <f t="shared" ca="1" si="434"/>
        <v>-9.8899573184741385</v>
      </c>
    </row>
    <row r="909" spans="1:34" x14ac:dyDescent="0.2">
      <c r="A909" s="347">
        <f t="shared" ca="1" si="412"/>
        <v>1E-4</v>
      </c>
      <c r="B909" s="304">
        <f t="shared" ca="1" si="413"/>
        <v>44.60990000000065</v>
      </c>
      <c r="D909" s="306">
        <f t="shared" ca="1" si="414"/>
        <v>-0.41888967037562258</v>
      </c>
      <c r="E909" s="307">
        <f t="shared" ca="1" si="415"/>
        <v>7.1092195268475322E-2</v>
      </c>
      <c r="F909" s="304">
        <f t="shared" ca="1" si="416"/>
        <v>0.42487957844016083</v>
      </c>
      <c r="G909" s="306">
        <f t="shared" ca="1" si="417"/>
        <v>4.8937096366911588</v>
      </c>
      <c r="H909" s="307">
        <f t="shared" ca="1" si="418"/>
        <v>-115.43757329805898</v>
      </c>
      <c r="I909" s="304">
        <f t="shared" ca="1" si="419"/>
        <v>115.54125550188982</v>
      </c>
      <c r="J909" s="306">
        <f t="shared" ca="1" si="420"/>
        <v>976.66817413190017</v>
      </c>
      <c r="K909" s="307">
        <f t="shared" ca="1" si="421"/>
        <v>-11.552167439028024</v>
      </c>
      <c r="L909" s="304">
        <f t="shared" ca="1" si="406"/>
        <v>976.73649206665721</v>
      </c>
      <c r="M909" s="306">
        <f t="shared" ca="1" si="422"/>
        <v>-1.5284290013843067</v>
      </c>
      <c r="N909" s="304">
        <f t="shared" ca="1" si="423"/>
        <v>-87.572531064715832</v>
      </c>
      <c r="P909" s="310">
        <f t="shared" ca="1" si="424"/>
        <v>23</v>
      </c>
      <c r="Q909" s="304">
        <f t="shared" ca="1" si="425"/>
        <v>0</v>
      </c>
      <c r="R909" s="306">
        <f t="shared" ca="1" si="426"/>
        <v>0</v>
      </c>
      <c r="S909" s="307">
        <f t="shared" ca="1" si="427"/>
        <v>5.0829999999999913</v>
      </c>
      <c r="T909" s="304">
        <f t="shared" ca="1" si="407"/>
        <v>49.864229999999914</v>
      </c>
      <c r="U909" s="311">
        <f t="shared" ca="1" si="408"/>
        <v>0</v>
      </c>
      <c r="V909" s="306">
        <f t="shared" ca="1" si="409"/>
        <v>1.2264159583806964</v>
      </c>
      <c r="W909" s="304">
        <f t="shared" ca="1" si="410"/>
        <v>50.270753664057288</v>
      </c>
      <c r="Y909" s="314" t="str">
        <f t="shared" ca="1" si="428"/>
        <v/>
      </c>
      <c r="Z909" s="315" t="str">
        <f t="shared" ca="1" si="429"/>
        <v/>
      </c>
      <c r="AA909" s="316" t="str">
        <f t="shared" ca="1" si="430"/>
        <v/>
      </c>
      <c r="AC909" s="310" t="e">
        <f t="shared" ca="1" si="431"/>
        <v>#N/A</v>
      </c>
      <c r="AD909" s="323" t="e">
        <f t="shared" ca="1" si="432"/>
        <v>#N/A</v>
      </c>
      <c r="AE909" s="324" t="e">
        <f t="shared" ca="1" si="411"/>
        <v>#N/A</v>
      </c>
      <c r="AG909" s="306">
        <f t="shared" ca="1" si="433"/>
        <v>-8.8770475433609164E-2</v>
      </c>
      <c r="AH909" s="304">
        <f t="shared" ca="1" si="434"/>
        <v>-9.8899672156859548</v>
      </c>
    </row>
    <row r="910" spans="1:34" x14ac:dyDescent="0.2">
      <c r="A910" s="347">
        <f t="shared" ca="1" si="412"/>
        <v>1E-4</v>
      </c>
      <c r="B910" s="304">
        <f t="shared" ca="1" si="413"/>
        <v>44.610000000000653</v>
      </c>
      <c r="D910" s="306">
        <f t="shared" ca="1" si="414"/>
        <v>-0.41888653618169408</v>
      </c>
      <c r="E910" s="307">
        <f t="shared" ca="1" si="415"/>
        <v>7.110223407928018E-2</v>
      </c>
      <c r="F910" s="304">
        <f t="shared" ca="1" si="416"/>
        <v>0.42487816828517144</v>
      </c>
      <c r="G910" s="306">
        <f t="shared" ca="1" si="417"/>
        <v>4.893667748037541</v>
      </c>
      <c r="H910" s="307">
        <f t="shared" ca="1" si="418"/>
        <v>-115.43756618783557</v>
      </c>
      <c r="I910" s="304">
        <f t="shared" ca="1" si="419"/>
        <v>115.54124662387498</v>
      </c>
      <c r="J910" s="306">
        <f t="shared" ca="1" si="420"/>
        <v>976.66817413190017</v>
      </c>
      <c r="K910" s="307">
        <f t="shared" ca="1" si="421"/>
        <v>-11.563711196002318</v>
      </c>
      <c r="L910" s="304">
        <f t="shared" ca="1" si="406"/>
        <v>976.73662866648158</v>
      </c>
      <c r="M910" s="306">
        <f t="shared" ca="1" si="422"/>
        <v>-1.5284293609953941</v>
      </c>
      <c r="N910" s="304">
        <f t="shared" ca="1" si="423"/>
        <v>-87.572551668913405</v>
      </c>
      <c r="P910" s="310">
        <f t="shared" ca="1" si="424"/>
        <v>23</v>
      </c>
      <c r="Q910" s="304">
        <f t="shared" ca="1" si="425"/>
        <v>0</v>
      </c>
      <c r="R910" s="306">
        <f t="shared" ca="1" si="426"/>
        <v>0</v>
      </c>
      <c r="S910" s="307">
        <f t="shared" ca="1" si="427"/>
        <v>5.0829999999999913</v>
      </c>
      <c r="T910" s="304">
        <f t="shared" ca="1" si="407"/>
        <v>49.864229999999914</v>
      </c>
      <c r="U910" s="311">
        <f t="shared" ca="1" si="408"/>
        <v>0</v>
      </c>
      <c r="V910" s="306">
        <f t="shared" ca="1" si="409"/>
        <v>1.2264173741267632</v>
      </c>
      <c r="W910" s="304">
        <f t="shared" ca="1" si="410"/>
        <v>50.270803969980911</v>
      </c>
      <c r="Y910" s="314" t="str">
        <f t="shared" ca="1" si="428"/>
        <v/>
      </c>
      <c r="Z910" s="315" t="str">
        <f t="shared" ca="1" si="429"/>
        <v/>
      </c>
      <c r="AA910" s="316" t="str">
        <f t="shared" ca="1" si="430"/>
        <v/>
      </c>
      <c r="AC910" s="310" t="e">
        <f t="shared" ca="1" si="431"/>
        <v>#N/A</v>
      </c>
      <c r="AD910" s="323" t="e">
        <f t="shared" ca="1" si="432"/>
        <v>#N/A</v>
      </c>
      <c r="AE910" s="324" t="e">
        <f t="shared" ca="1" si="411"/>
        <v>#N/A</v>
      </c>
      <c r="AG910" s="306">
        <f t="shared" ca="1" si="433"/>
        <v>-8.8780223067660202E-2</v>
      </c>
      <c r="AH910" s="304">
        <f t="shared" ca="1" si="434"/>
        <v>-9.8899771127399916</v>
      </c>
    </row>
    <row r="911" spans="1:34" x14ac:dyDescent="0.2">
      <c r="A911" s="347">
        <f t="shared" ca="1" si="412"/>
        <v>1E-4</v>
      </c>
      <c r="B911" s="304">
        <f t="shared" ca="1" si="413"/>
        <v>44.610100000000656</v>
      </c>
      <c r="D911" s="306">
        <f t="shared" ca="1" si="414"/>
        <v>-0.41888340200378621</v>
      </c>
      <c r="E911" s="307">
        <f t="shared" ca="1" si="415"/>
        <v>7.1112272730195158E-2</v>
      </c>
      <c r="F911" s="304">
        <f t="shared" ca="1" si="416"/>
        <v>0.42487675837484828</v>
      </c>
      <c r="G911" s="306">
        <f t="shared" ca="1" si="417"/>
        <v>4.893625859697341</v>
      </c>
      <c r="H911" s="307">
        <f t="shared" ca="1" si="418"/>
        <v>-115.4375590766083</v>
      </c>
      <c r="I911" s="304">
        <f t="shared" ca="1" si="419"/>
        <v>115.54123774488539</v>
      </c>
      <c r="J911" s="306">
        <f t="shared" ca="1" si="420"/>
        <v>976.66817413190017</v>
      </c>
      <c r="K911" s="307">
        <f t="shared" ca="1" si="421"/>
        <v>-11.57525495226554</v>
      </c>
      <c r="L911" s="304">
        <f t="shared" ca="1" si="406"/>
        <v>976.7367654027106</v>
      </c>
      <c r="M911" s="306">
        <f t="shared" ca="1" si="422"/>
        <v>-1.5284297206034587</v>
      </c>
      <c r="N911" s="304">
        <f t="shared" ca="1" si="423"/>
        <v>-87.572572272937791</v>
      </c>
      <c r="P911" s="310">
        <f t="shared" ca="1" si="424"/>
        <v>23</v>
      </c>
      <c r="Q911" s="304">
        <f t="shared" ca="1" si="425"/>
        <v>0</v>
      </c>
      <c r="R911" s="306">
        <f t="shared" ca="1" si="426"/>
        <v>0</v>
      </c>
      <c r="S911" s="307">
        <f t="shared" ca="1" si="427"/>
        <v>5.0829999999999913</v>
      </c>
      <c r="T911" s="304">
        <f t="shared" ca="1" si="407"/>
        <v>49.864229999999914</v>
      </c>
      <c r="U911" s="311">
        <f t="shared" ca="1" si="408"/>
        <v>0</v>
      </c>
      <c r="V911" s="306">
        <f t="shared" ca="1" si="409"/>
        <v>1.2264187898743786</v>
      </c>
      <c r="W911" s="304">
        <f t="shared" ca="1" si="410"/>
        <v>50.270854275102543</v>
      </c>
      <c r="Y911" s="314" t="str">
        <f t="shared" ca="1" si="428"/>
        <v/>
      </c>
      <c r="Z911" s="315" t="str">
        <f t="shared" ca="1" si="429"/>
        <v/>
      </c>
      <c r="AA911" s="316" t="str">
        <f t="shared" ca="1" si="430"/>
        <v/>
      </c>
      <c r="AC911" s="310" t="e">
        <f t="shared" ca="1" si="431"/>
        <v>#N/A</v>
      </c>
      <c r="AD911" s="323" t="e">
        <f t="shared" ca="1" si="432"/>
        <v>#N/A</v>
      </c>
      <c r="AE911" s="324" t="e">
        <f t="shared" ca="1" si="411"/>
        <v>#N/A</v>
      </c>
      <c r="AG911" s="306">
        <f t="shared" ca="1" si="433"/>
        <v>-8.8789970546445218E-2</v>
      </c>
      <c r="AH911" s="304">
        <f t="shared" ca="1" si="434"/>
        <v>-9.8899870096362381</v>
      </c>
    </row>
    <row r="912" spans="1:34" x14ac:dyDescent="0.2">
      <c r="A912" s="347">
        <f t="shared" ca="1" si="412"/>
        <v>1E-4</v>
      </c>
      <c r="B912" s="304">
        <f t="shared" ca="1" si="413"/>
        <v>44.61020000000066</v>
      </c>
      <c r="D912" s="306">
        <f t="shared" ca="1" si="414"/>
        <v>-0.41888026784189741</v>
      </c>
      <c r="E912" s="307">
        <f t="shared" ca="1" si="415"/>
        <v>7.1122311221227363E-2</v>
      </c>
      <c r="F912" s="304">
        <f t="shared" ca="1" si="416"/>
        <v>0.42487534870918181</v>
      </c>
      <c r="G912" s="306">
        <f t="shared" ca="1" si="417"/>
        <v>4.8935839716705569</v>
      </c>
      <c r="H912" s="307">
        <f t="shared" ca="1" si="418"/>
        <v>-115.43755196437718</v>
      </c>
      <c r="I912" s="304">
        <f t="shared" ca="1" si="419"/>
        <v>115.54122886492108</v>
      </c>
      <c r="J912" s="306">
        <f t="shared" ca="1" si="420"/>
        <v>976.66817413190017</v>
      </c>
      <c r="K912" s="307">
        <f t="shared" ca="1" si="421"/>
        <v>-11.586798707817589</v>
      </c>
      <c r="L912" s="304">
        <f t="shared" ca="1" si="406"/>
        <v>976.73690227534416</v>
      </c>
      <c r="M912" s="306">
        <f t="shared" ca="1" si="422"/>
        <v>-1.5284300802085005</v>
      </c>
      <c r="N912" s="304">
        <f t="shared" ca="1" si="423"/>
        <v>-87.572592876788974</v>
      </c>
      <c r="P912" s="310">
        <f t="shared" ca="1" si="424"/>
        <v>23</v>
      </c>
      <c r="Q912" s="304">
        <f t="shared" ca="1" si="425"/>
        <v>0</v>
      </c>
      <c r="R912" s="306">
        <f t="shared" ca="1" si="426"/>
        <v>0</v>
      </c>
      <c r="S912" s="307">
        <f t="shared" ca="1" si="427"/>
        <v>5.0829999999999913</v>
      </c>
      <c r="T912" s="304">
        <f t="shared" ca="1" si="407"/>
        <v>49.864229999999914</v>
      </c>
      <c r="U912" s="311">
        <f t="shared" ca="1" si="408"/>
        <v>0</v>
      </c>
      <c r="V912" s="306">
        <f t="shared" ca="1" si="409"/>
        <v>1.2264202056235418</v>
      </c>
      <c r="W912" s="304">
        <f t="shared" ca="1" si="410"/>
        <v>50.270904579422201</v>
      </c>
      <c r="Y912" s="314" t="str">
        <f t="shared" ca="1" si="428"/>
        <v/>
      </c>
      <c r="Z912" s="315" t="str">
        <f t="shared" ca="1" si="429"/>
        <v/>
      </c>
      <c r="AA912" s="316" t="str">
        <f t="shared" ca="1" si="430"/>
        <v/>
      </c>
      <c r="AC912" s="310" t="e">
        <f t="shared" ca="1" si="431"/>
        <v>#N/A</v>
      </c>
      <c r="AD912" s="323" t="e">
        <f t="shared" ca="1" si="432"/>
        <v>#N/A</v>
      </c>
      <c r="AE912" s="324" t="e">
        <f t="shared" ca="1" si="411"/>
        <v>#N/A</v>
      </c>
      <c r="AG912" s="306">
        <f t="shared" ca="1" si="433"/>
        <v>-8.8799717869973094E-2</v>
      </c>
      <c r="AH912" s="304">
        <f t="shared" ca="1" si="434"/>
        <v>-9.8899969063747051</v>
      </c>
    </row>
    <row r="913" spans="1:34" x14ac:dyDescent="0.2">
      <c r="A913" s="347">
        <f t="shared" ca="1" si="412"/>
        <v>1E-4</v>
      </c>
      <c r="B913" s="304">
        <f t="shared" ca="1" si="413"/>
        <v>44.610300000000663</v>
      </c>
      <c r="D913" s="306">
        <f t="shared" ca="1" si="414"/>
        <v>-0.41887713369603058</v>
      </c>
      <c r="E913" s="307">
        <f t="shared" ca="1" si="415"/>
        <v>7.11323495523839E-2</v>
      </c>
      <c r="F913" s="304">
        <f t="shared" ca="1" si="416"/>
        <v>0.42487393928816675</v>
      </c>
      <c r="G913" s="306">
        <f t="shared" ca="1" si="417"/>
        <v>4.893542083957187</v>
      </c>
      <c r="H913" s="307">
        <f t="shared" ca="1" si="418"/>
        <v>-115.43754485114222</v>
      </c>
      <c r="I913" s="304">
        <f t="shared" ca="1" si="419"/>
        <v>115.54121998398205</v>
      </c>
      <c r="J913" s="306">
        <f t="shared" ca="1" si="420"/>
        <v>976.66817413190017</v>
      </c>
      <c r="K913" s="307">
        <f t="shared" ca="1" si="421"/>
        <v>-11.598342462658366</v>
      </c>
      <c r="L913" s="304">
        <f t="shared" ca="1" si="406"/>
        <v>976.73703928438226</v>
      </c>
      <c r="M913" s="306">
        <f t="shared" ca="1" si="422"/>
        <v>-1.5284304398105193</v>
      </c>
      <c r="N913" s="304">
        <f t="shared" ca="1" si="423"/>
        <v>-87.572613480466956</v>
      </c>
      <c r="P913" s="310">
        <f t="shared" ca="1" si="424"/>
        <v>23</v>
      </c>
      <c r="Q913" s="304">
        <f t="shared" ca="1" si="425"/>
        <v>0</v>
      </c>
      <c r="R913" s="306">
        <f t="shared" ca="1" si="426"/>
        <v>0</v>
      </c>
      <c r="S913" s="307">
        <f t="shared" ca="1" si="427"/>
        <v>5.0829999999999913</v>
      </c>
      <c r="T913" s="304">
        <f t="shared" ca="1" si="407"/>
        <v>49.864229999999914</v>
      </c>
      <c r="U913" s="311">
        <f t="shared" ca="1" si="408"/>
        <v>0</v>
      </c>
      <c r="V913" s="306">
        <f t="shared" ca="1" si="409"/>
        <v>1.2264216213742531</v>
      </c>
      <c r="W913" s="304">
        <f t="shared" ca="1" si="410"/>
        <v>50.270954882939897</v>
      </c>
      <c r="Y913" s="314" t="str">
        <f t="shared" ca="1" si="428"/>
        <v/>
      </c>
      <c r="Z913" s="315" t="str">
        <f t="shared" ca="1" si="429"/>
        <v/>
      </c>
      <c r="AA913" s="316" t="str">
        <f t="shared" ca="1" si="430"/>
        <v/>
      </c>
      <c r="AC913" s="310" t="e">
        <f t="shared" ca="1" si="431"/>
        <v>#N/A</v>
      </c>
      <c r="AD913" s="323" t="e">
        <f t="shared" ca="1" si="432"/>
        <v>#N/A</v>
      </c>
      <c r="AE913" s="324" t="e">
        <f t="shared" ca="1" si="411"/>
        <v>#N/A</v>
      </c>
      <c r="AG913" s="306">
        <f t="shared" ca="1" si="433"/>
        <v>-8.8809465038252711E-2</v>
      </c>
      <c r="AH913" s="304">
        <f t="shared" ca="1" si="434"/>
        <v>-9.8900068029553978</v>
      </c>
    </row>
    <row r="914" spans="1:34" x14ac:dyDescent="0.2">
      <c r="A914" s="347">
        <f t="shared" ca="1" si="412"/>
        <v>1E-4</v>
      </c>
      <c r="B914" s="304">
        <f t="shared" ca="1" si="413"/>
        <v>44.610400000000666</v>
      </c>
      <c r="D914" s="306">
        <f t="shared" ca="1" si="414"/>
        <v>-0.41887399956618582</v>
      </c>
      <c r="E914" s="307">
        <f t="shared" ca="1" si="415"/>
        <v>7.1142387723666545E-2</v>
      </c>
      <c r="F914" s="304">
        <f t="shared" ca="1" si="416"/>
        <v>0.42487253011179427</v>
      </c>
      <c r="G914" s="306">
        <f t="shared" ca="1" si="417"/>
        <v>4.8935001965572305</v>
      </c>
      <c r="H914" s="307">
        <f t="shared" ca="1" si="418"/>
        <v>-115.43753773690345</v>
      </c>
      <c r="I914" s="304">
        <f t="shared" ca="1" si="419"/>
        <v>115.54121110206832</v>
      </c>
      <c r="J914" s="306">
        <f t="shared" ca="1" si="420"/>
        <v>976.66817413190017</v>
      </c>
      <c r="K914" s="307">
        <f t="shared" ca="1" si="421"/>
        <v>-11.609886216787768</v>
      </c>
      <c r="L914" s="304">
        <f t="shared" ca="1" si="406"/>
        <v>976.73717642982467</v>
      </c>
      <c r="M914" s="306">
        <f t="shared" ca="1" si="422"/>
        <v>-1.5284307994095152</v>
      </c>
      <c r="N914" s="304">
        <f t="shared" ca="1" si="423"/>
        <v>-87.572634083971735</v>
      </c>
      <c r="P914" s="310">
        <f t="shared" ca="1" si="424"/>
        <v>23</v>
      </c>
      <c r="Q914" s="304">
        <f t="shared" ca="1" si="425"/>
        <v>0</v>
      </c>
      <c r="R914" s="306">
        <f t="shared" ca="1" si="426"/>
        <v>0</v>
      </c>
      <c r="S914" s="307">
        <f t="shared" ca="1" si="427"/>
        <v>5.0829999999999913</v>
      </c>
      <c r="T914" s="304">
        <f t="shared" ca="1" si="407"/>
        <v>49.864229999999914</v>
      </c>
      <c r="U914" s="311">
        <f t="shared" ca="1" si="408"/>
        <v>0</v>
      </c>
      <c r="V914" s="306">
        <f t="shared" ca="1" si="409"/>
        <v>1.2264230371265128</v>
      </c>
      <c r="W914" s="304">
        <f t="shared" ca="1" si="410"/>
        <v>50.271005185655632</v>
      </c>
      <c r="Y914" s="314" t="str">
        <f t="shared" ca="1" si="428"/>
        <v/>
      </c>
      <c r="Z914" s="315" t="str">
        <f t="shared" ca="1" si="429"/>
        <v/>
      </c>
      <c r="AA914" s="316" t="str">
        <f t="shared" ca="1" si="430"/>
        <v/>
      </c>
      <c r="AC914" s="310" t="e">
        <f t="shared" ca="1" si="431"/>
        <v>#N/A</v>
      </c>
      <c r="AD914" s="323" t="e">
        <f t="shared" ca="1" si="432"/>
        <v>#N/A</v>
      </c>
      <c r="AE914" s="324" t="e">
        <f t="shared" ca="1" si="411"/>
        <v>#N/A</v>
      </c>
      <c r="AG914" s="306">
        <f t="shared" ca="1" si="433"/>
        <v>-8.8819212051280516E-2</v>
      </c>
      <c r="AH914" s="304">
        <f t="shared" ca="1" si="434"/>
        <v>-9.8900166993783163</v>
      </c>
    </row>
    <row r="915" spans="1:34" x14ac:dyDescent="0.2">
      <c r="A915" s="347">
        <f t="shared" ca="1" si="412"/>
        <v>1E-4</v>
      </c>
      <c r="B915" s="304">
        <f t="shared" ca="1" si="413"/>
        <v>44.61050000000067</v>
      </c>
      <c r="D915" s="306">
        <f t="shared" ca="1" si="414"/>
        <v>-0.41887086545236352</v>
      </c>
      <c r="E915" s="307">
        <f t="shared" ca="1" si="415"/>
        <v>7.1152425735077074E-2</v>
      </c>
      <c r="F915" s="304">
        <f t="shared" ca="1" si="416"/>
        <v>0.42487112118005582</v>
      </c>
      <c r="G915" s="306">
        <f t="shared" ca="1" si="417"/>
        <v>4.8934583094706854</v>
      </c>
      <c r="H915" s="307">
        <f t="shared" ca="1" si="418"/>
        <v>-115.43753062166088</v>
      </c>
      <c r="I915" s="304">
        <f t="shared" ca="1" si="419"/>
        <v>115.54120221917989</v>
      </c>
      <c r="J915" s="306">
        <f t="shared" ca="1" si="420"/>
        <v>976.66817413190017</v>
      </c>
      <c r="K915" s="307">
        <f t="shared" ca="1" si="421"/>
        <v>-11.621429970205696</v>
      </c>
      <c r="L915" s="304">
        <f t="shared" ca="1" si="406"/>
        <v>976.7373137116715</v>
      </c>
      <c r="M915" s="306">
        <f t="shared" ca="1" si="422"/>
        <v>-1.5284311590054884</v>
      </c>
      <c r="N915" s="304">
        <f t="shared" ca="1" si="423"/>
        <v>-87.572654687303327</v>
      </c>
      <c r="P915" s="310">
        <f t="shared" ca="1" si="424"/>
        <v>23</v>
      </c>
      <c r="Q915" s="304">
        <f t="shared" ca="1" si="425"/>
        <v>0</v>
      </c>
      <c r="R915" s="306">
        <f t="shared" ca="1" si="426"/>
        <v>0</v>
      </c>
      <c r="S915" s="307">
        <f t="shared" ca="1" si="427"/>
        <v>5.0829999999999913</v>
      </c>
      <c r="T915" s="304">
        <f t="shared" ca="1" si="407"/>
        <v>49.864229999999914</v>
      </c>
      <c r="U915" s="311">
        <f t="shared" ca="1" si="408"/>
        <v>0</v>
      </c>
      <c r="V915" s="306">
        <f t="shared" ca="1" si="409"/>
        <v>1.2264244528803199</v>
      </c>
      <c r="W915" s="304">
        <f t="shared" ca="1" si="410"/>
        <v>50.271055487569377</v>
      </c>
      <c r="Y915" s="314" t="str">
        <f t="shared" ca="1" si="428"/>
        <v/>
      </c>
      <c r="Z915" s="315" t="str">
        <f t="shared" ca="1" si="429"/>
        <v/>
      </c>
      <c r="AA915" s="316" t="str">
        <f t="shared" ca="1" si="430"/>
        <v/>
      </c>
      <c r="AC915" s="310" t="e">
        <f t="shared" ca="1" si="431"/>
        <v>#N/A</v>
      </c>
      <c r="AD915" s="323" t="e">
        <f t="shared" ca="1" si="432"/>
        <v>#N/A</v>
      </c>
      <c r="AE915" s="324" t="e">
        <f t="shared" ca="1" si="411"/>
        <v>#N/A</v>
      </c>
      <c r="AG915" s="306">
        <f t="shared" ca="1" si="433"/>
        <v>-8.8828958909058287E-2</v>
      </c>
      <c r="AH915" s="304">
        <f t="shared" ca="1" si="434"/>
        <v>-9.8900265956434623</v>
      </c>
    </row>
    <row r="916" spans="1:34" x14ac:dyDescent="0.2">
      <c r="A916" s="347">
        <f t="shared" ca="1" si="412"/>
        <v>1E-4</v>
      </c>
      <c r="B916" s="304">
        <f t="shared" ca="1" si="413"/>
        <v>44.610600000000673</v>
      </c>
      <c r="D916" s="306">
        <f t="shared" ca="1" si="414"/>
        <v>-0.41886773135456146</v>
      </c>
      <c r="E916" s="307">
        <f t="shared" ca="1" si="415"/>
        <v>7.1162463586606606E-2</v>
      </c>
      <c r="F916" s="304">
        <f t="shared" ca="1" si="416"/>
        <v>0.42486971249293848</v>
      </c>
      <c r="G916" s="306">
        <f t="shared" ca="1" si="417"/>
        <v>4.8934164226975501</v>
      </c>
      <c r="H916" s="307">
        <f t="shared" ca="1" si="418"/>
        <v>-115.43752350541452</v>
      </c>
      <c r="I916" s="304">
        <f t="shared" ca="1" si="419"/>
        <v>115.54119333531681</v>
      </c>
      <c r="J916" s="306">
        <f t="shared" ca="1" si="420"/>
        <v>976.66817413190017</v>
      </c>
      <c r="K916" s="307">
        <f t="shared" ca="1" si="421"/>
        <v>-11.63297372291205</v>
      </c>
      <c r="L916" s="304">
        <f t="shared" ca="1" si="406"/>
        <v>976.73745112992242</v>
      </c>
      <c r="M916" s="306">
        <f t="shared" ca="1" si="422"/>
        <v>-1.528431518598439</v>
      </c>
      <c r="N916" s="304">
        <f t="shared" ca="1" si="423"/>
        <v>-87.572675290461746</v>
      </c>
      <c r="P916" s="310">
        <f t="shared" ca="1" si="424"/>
        <v>23</v>
      </c>
      <c r="Q916" s="304">
        <f t="shared" ca="1" si="425"/>
        <v>0</v>
      </c>
      <c r="R916" s="306">
        <f t="shared" ca="1" si="426"/>
        <v>0</v>
      </c>
      <c r="S916" s="307">
        <f t="shared" ca="1" si="427"/>
        <v>5.0829999999999913</v>
      </c>
      <c r="T916" s="304">
        <f t="shared" ca="1" si="407"/>
        <v>49.864229999999914</v>
      </c>
      <c r="U916" s="311">
        <f t="shared" ca="1" si="408"/>
        <v>0</v>
      </c>
      <c r="V916" s="306">
        <f t="shared" ca="1" si="409"/>
        <v>1.2264258686356757</v>
      </c>
      <c r="W916" s="304">
        <f t="shared" ca="1" si="410"/>
        <v>50.271105788681233</v>
      </c>
      <c r="Y916" s="314" t="str">
        <f t="shared" ca="1" si="428"/>
        <v/>
      </c>
      <c r="Z916" s="315" t="str">
        <f t="shared" ca="1" si="429"/>
        <v/>
      </c>
      <c r="AA916" s="316" t="str">
        <f t="shared" ca="1" si="430"/>
        <v/>
      </c>
      <c r="AC916" s="310" t="e">
        <f t="shared" ca="1" si="431"/>
        <v>#N/A</v>
      </c>
      <c r="AD916" s="323" t="e">
        <f t="shared" ca="1" si="432"/>
        <v>#N/A</v>
      </c>
      <c r="AE916" s="324" t="e">
        <f t="shared" ca="1" si="411"/>
        <v>#N/A</v>
      </c>
      <c r="AG916" s="306">
        <f t="shared" ca="1" si="433"/>
        <v>-8.8838705611578916E-2</v>
      </c>
      <c r="AH916" s="304">
        <f t="shared" ca="1" si="434"/>
        <v>-9.8900364917508288</v>
      </c>
    </row>
    <row r="917" spans="1:34" x14ac:dyDescent="0.2">
      <c r="A917" s="347">
        <f t="shared" ca="1" si="412"/>
        <v>1E-4</v>
      </c>
      <c r="B917" s="304">
        <f t="shared" ca="1" si="413"/>
        <v>44.610700000000676</v>
      </c>
      <c r="D917" s="306">
        <f t="shared" ca="1" si="414"/>
        <v>-0.41886459727278064</v>
      </c>
      <c r="E917" s="307">
        <f t="shared" ca="1" si="415"/>
        <v>7.117250127827468E-2</v>
      </c>
      <c r="F917" s="304">
        <f t="shared" ca="1" si="416"/>
        <v>0.42486830405043713</v>
      </c>
      <c r="G917" s="306">
        <f t="shared" ca="1" si="417"/>
        <v>4.8933745362378227</v>
      </c>
      <c r="H917" s="307">
        <f t="shared" ca="1" si="418"/>
        <v>-115.4375163881644</v>
      </c>
      <c r="I917" s="304">
        <f t="shared" ca="1" si="419"/>
        <v>115.54118445047905</v>
      </c>
      <c r="J917" s="306">
        <f t="shared" ca="1" si="420"/>
        <v>976.66817413190017</v>
      </c>
      <c r="K917" s="307">
        <f t="shared" ca="1" si="421"/>
        <v>-11.64451747490673</v>
      </c>
      <c r="L917" s="304">
        <f t="shared" ca="1" si="406"/>
        <v>976.73758868457764</v>
      </c>
      <c r="M917" s="306">
        <f t="shared" ca="1" si="422"/>
        <v>-1.5284318781883668</v>
      </c>
      <c r="N917" s="304">
        <f t="shared" ca="1" si="423"/>
        <v>-87.572695893446962</v>
      </c>
      <c r="P917" s="310">
        <f t="shared" ca="1" si="424"/>
        <v>23</v>
      </c>
      <c r="Q917" s="304">
        <f t="shared" ca="1" si="425"/>
        <v>0</v>
      </c>
      <c r="R917" s="306">
        <f t="shared" ca="1" si="426"/>
        <v>0</v>
      </c>
      <c r="S917" s="307">
        <f t="shared" ca="1" si="427"/>
        <v>5.0829999999999913</v>
      </c>
      <c r="T917" s="304">
        <f t="shared" ca="1" si="407"/>
        <v>49.864229999999914</v>
      </c>
      <c r="U917" s="311">
        <f t="shared" ca="1" si="408"/>
        <v>0</v>
      </c>
      <c r="V917" s="306">
        <f t="shared" ca="1" si="409"/>
        <v>1.2264272843925785</v>
      </c>
      <c r="W917" s="304">
        <f t="shared" ca="1" si="410"/>
        <v>50.271156088991098</v>
      </c>
      <c r="Y917" s="314" t="str">
        <f t="shared" ca="1" si="428"/>
        <v/>
      </c>
      <c r="Z917" s="315" t="str">
        <f t="shared" ca="1" si="429"/>
        <v/>
      </c>
      <c r="AA917" s="316" t="str">
        <f t="shared" ca="1" si="430"/>
        <v/>
      </c>
      <c r="AC917" s="310" t="e">
        <f t="shared" ca="1" si="431"/>
        <v>#N/A</v>
      </c>
      <c r="AD917" s="323" t="e">
        <f t="shared" ca="1" si="432"/>
        <v>#N/A</v>
      </c>
      <c r="AE917" s="324" t="e">
        <f t="shared" ca="1" si="411"/>
        <v>#N/A</v>
      </c>
      <c r="AG917" s="306">
        <f t="shared" ca="1" si="433"/>
        <v>-8.8848452158867275E-2</v>
      </c>
      <c r="AH917" s="304">
        <f t="shared" ca="1" si="434"/>
        <v>-9.890046387700437</v>
      </c>
    </row>
    <row r="918" spans="1:34" x14ac:dyDescent="0.2">
      <c r="A918" s="347">
        <f t="shared" ca="1" si="412"/>
        <v>1E-4</v>
      </c>
      <c r="B918" s="304">
        <f t="shared" ca="1" si="413"/>
        <v>44.61080000000068</v>
      </c>
      <c r="D918" s="306">
        <f t="shared" ca="1" si="414"/>
        <v>-0.41886146320702072</v>
      </c>
      <c r="E918" s="307">
        <f t="shared" ca="1" si="415"/>
        <v>7.118253881006531E-2</v>
      </c>
      <c r="F918" s="304">
        <f t="shared" ca="1" si="416"/>
        <v>0.42486689585253973</v>
      </c>
      <c r="G918" s="306">
        <f t="shared" ca="1" si="417"/>
        <v>4.8933326500915024</v>
      </c>
      <c r="H918" s="307">
        <f t="shared" ca="1" si="418"/>
        <v>-115.43750926991052</v>
      </c>
      <c r="I918" s="304">
        <f t="shared" ca="1" si="419"/>
        <v>115.54117556466669</v>
      </c>
      <c r="J918" s="306">
        <f t="shared" ca="1" si="420"/>
        <v>976.66817413190017</v>
      </c>
      <c r="K918" s="307">
        <f t="shared" ca="1" si="421"/>
        <v>-11.656061226189633</v>
      </c>
      <c r="L918" s="304">
        <f t="shared" ca="1" si="406"/>
        <v>976.73772637563684</v>
      </c>
      <c r="M918" s="306">
        <f t="shared" ca="1" si="422"/>
        <v>-1.5284322377752719</v>
      </c>
      <c r="N918" s="304">
        <f t="shared" ca="1" si="423"/>
        <v>-87.572716496258991</v>
      </c>
      <c r="P918" s="310">
        <f t="shared" ca="1" si="424"/>
        <v>23</v>
      </c>
      <c r="Q918" s="304">
        <f t="shared" ca="1" si="425"/>
        <v>0</v>
      </c>
      <c r="R918" s="306">
        <f t="shared" ca="1" si="426"/>
        <v>0</v>
      </c>
      <c r="S918" s="307">
        <f t="shared" ca="1" si="427"/>
        <v>5.0829999999999913</v>
      </c>
      <c r="T918" s="304">
        <f t="shared" ca="1" si="407"/>
        <v>49.864229999999914</v>
      </c>
      <c r="U918" s="311">
        <f t="shared" ca="1" si="408"/>
        <v>0</v>
      </c>
      <c r="V918" s="306">
        <f t="shared" ca="1" si="409"/>
        <v>1.2264287001510299</v>
      </c>
      <c r="W918" s="304">
        <f t="shared" ca="1" si="410"/>
        <v>50.271206388499088</v>
      </c>
      <c r="Y918" s="314" t="str">
        <f t="shared" ca="1" si="428"/>
        <v/>
      </c>
      <c r="Z918" s="315" t="str">
        <f t="shared" ca="1" si="429"/>
        <v/>
      </c>
      <c r="AA918" s="316" t="str">
        <f t="shared" ca="1" si="430"/>
        <v/>
      </c>
      <c r="AC918" s="310" t="e">
        <f t="shared" ca="1" si="431"/>
        <v>#N/A</v>
      </c>
      <c r="AD918" s="323" t="e">
        <f t="shared" ca="1" si="432"/>
        <v>#N/A</v>
      </c>
      <c r="AE918" s="324" t="e">
        <f t="shared" ca="1" si="411"/>
        <v>#N/A</v>
      </c>
      <c r="AG918" s="306">
        <f t="shared" ca="1" si="433"/>
        <v>-8.8858198550898493E-2</v>
      </c>
      <c r="AH918" s="304">
        <f t="shared" ca="1" si="434"/>
        <v>-9.8900562834922656</v>
      </c>
    </row>
    <row r="919" spans="1:34" x14ac:dyDescent="0.2">
      <c r="A919" s="347">
        <f t="shared" ca="1" si="412"/>
        <v>1E-4</v>
      </c>
      <c r="B919" s="304">
        <f t="shared" ca="1" si="413"/>
        <v>44.610900000000683</v>
      </c>
      <c r="D919" s="306">
        <f t="shared" ca="1" si="414"/>
        <v>-0.41885832915728266</v>
      </c>
      <c r="E919" s="307">
        <f t="shared" ca="1" si="415"/>
        <v>7.1192576181996259E-2</v>
      </c>
      <c r="F919" s="304">
        <f t="shared" ca="1" si="416"/>
        <v>0.42486548789924078</v>
      </c>
      <c r="G919" s="306">
        <f t="shared" ca="1" si="417"/>
        <v>4.8932907642585866</v>
      </c>
      <c r="H919" s="307">
        <f t="shared" ca="1" si="418"/>
        <v>-115.4375021506529</v>
      </c>
      <c r="I919" s="304">
        <f t="shared" ca="1" si="419"/>
        <v>115.54116667787967</v>
      </c>
      <c r="J919" s="306">
        <f t="shared" ca="1" si="420"/>
        <v>976.66817413190017</v>
      </c>
      <c r="K919" s="307">
        <f t="shared" ca="1" si="421"/>
        <v>-11.667604976760662</v>
      </c>
      <c r="L919" s="304">
        <f t="shared" ca="1" si="406"/>
        <v>976.7378642031</v>
      </c>
      <c r="M919" s="306">
        <f t="shared" ca="1" si="422"/>
        <v>-1.5284325973591542</v>
      </c>
      <c r="N919" s="304">
        <f t="shared" ca="1" si="423"/>
        <v>-87.572737098897832</v>
      </c>
      <c r="P919" s="310">
        <f t="shared" ca="1" si="424"/>
        <v>23</v>
      </c>
      <c r="Q919" s="304">
        <f t="shared" ca="1" si="425"/>
        <v>0</v>
      </c>
      <c r="R919" s="306">
        <f t="shared" ca="1" si="426"/>
        <v>0</v>
      </c>
      <c r="S919" s="307">
        <f t="shared" ca="1" si="427"/>
        <v>5.0829999999999913</v>
      </c>
      <c r="T919" s="304">
        <f t="shared" ca="1" si="407"/>
        <v>49.864229999999914</v>
      </c>
      <c r="U919" s="311">
        <f t="shared" ca="1" si="408"/>
        <v>0</v>
      </c>
      <c r="V919" s="306">
        <f t="shared" ca="1" si="409"/>
        <v>1.2264301159110291</v>
      </c>
      <c r="W919" s="304">
        <f t="shared" ca="1" si="410"/>
        <v>50.271256687205138</v>
      </c>
      <c r="Y919" s="314" t="str">
        <f t="shared" ca="1" si="428"/>
        <v/>
      </c>
      <c r="Z919" s="315" t="str">
        <f t="shared" ca="1" si="429"/>
        <v/>
      </c>
      <c r="AA919" s="316" t="str">
        <f t="shared" ca="1" si="430"/>
        <v/>
      </c>
      <c r="AC919" s="310" t="e">
        <f t="shared" ca="1" si="431"/>
        <v>#N/A</v>
      </c>
      <c r="AD919" s="323" t="e">
        <f t="shared" ca="1" si="432"/>
        <v>#N/A</v>
      </c>
      <c r="AE919" s="324" t="e">
        <f t="shared" ca="1" si="411"/>
        <v>#N/A</v>
      </c>
      <c r="AG919" s="306">
        <f t="shared" ca="1" si="433"/>
        <v>-8.8867944787693887E-2</v>
      </c>
      <c r="AH919" s="304">
        <f t="shared" ca="1" si="434"/>
        <v>-9.8900661791263378</v>
      </c>
    </row>
    <row r="920" spans="1:34" x14ac:dyDescent="0.2">
      <c r="A920" s="347">
        <f t="shared" ca="1" si="412"/>
        <v>1E-4</v>
      </c>
      <c r="B920" s="304">
        <f t="shared" ca="1" si="413"/>
        <v>44.611000000000686</v>
      </c>
      <c r="D920" s="306">
        <f t="shared" ca="1" si="414"/>
        <v>-0.41885519512356856</v>
      </c>
      <c r="E920" s="307">
        <f t="shared" ca="1" si="415"/>
        <v>7.1202613394058645E-2</v>
      </c>
      <c r="F920" s="304">
        <f t="shared" ca="1" si="416"/>
        <v>0.42486408019053162</v>
      </c>
      <c r="G920" s="306">
        <f t="shared" ca="1" si="417"/>
        <v>4.8932488787390742</v>
      </c>
      <c r="H920" s="307">
        <f t="shared" ca="1" si="418"/>
        <v>-115.43749503039156</v>
      </c>
      <c r="I920" s="304">
        <f t="shared" ca="1" si="419"/>
        <v>115.54115779011805</v>
      </c>
      <c r="J920" s="306">
        <f t="shared" ca="1" si="420"/>
        <v>976.66817413190017</v>
      </c>
      <c r="K920" s="307">
        <f t="shared" ca="1" si="421"/>
        <v>-11.679148726619715</v>
      </c>
      <c r="L920" s="304">
        <f t="shared" ca="1" si="406"/>
        <v>976.73800216696714</v>
      </c>
      <c r="M920" s="306">
        <f t="shared" ca="1" si="422"/>
        <v>-1.5284329569400141</v>
      </c>
      <c r="N920" s="304">
        <f t="shared" ca="1" si="423"/>
        <v>-87.5727577013635</v>
      </c>
      <c r="P920" s="310">
        <f t="shared" ca="1" si="424"/>
        <v>23</v>
      </c>
      <c r="Q920" s="304">
        <f t="shared" ca="1" si="425"/>
        <v>0</v>
      </c>
      <c r="R920" s="306">
        <f t="shared" ca="1" si="426"/>
        <v>0</v>
      </c>
      <c r="S920" s="307">
        <f t="shared" ca="1" si="427"/>
        <v>5.0829999999999913</v>
      </c>
      <c r="T920" s="304">
        <f t="shared" ca="1" si="407"/>
        <v>49.864229999999914</v>
      </c>
      <c r="U920" s="311">
        <f t="shared" ca="1" si="408"/>
        <v>0</v>
      </c>
      <c r="V920" s="306">
        <f t="shared" ca="1" si="409"/>
        <v>1.2264315316725765</v>
      </c>
      <c r="W920" s="304">
        <f t="shared" ca="1" si="410"/>
        <v>50.271306985109291</v>
      </c>
      <c r="Y920" s="314" t="str">
        <f t="shared" ca="1" si="428"/>
        <v/>
      </c>
      <c r="Z920" s="315" t="str">
        <f t="shared" ca="1" si="429"/>
        <v/>
      </c>
      <c r="AA920" s="316" t="str">
        <f t="shared" ca="1" si="430"/>
        <v/>
      </c>
      <c r="AC920" s="310" t="e">
        <f t="shared" ca="1" si="431"/>
        <v>#N/A</v>
      </c>
      <c r="AD920" s="323" t="e">
        <f t="shared" ca="1" si="432"/>
        <v>#N/A</v>
      </c>
      <c r="AE920" s="324" t="e">
        <f t="shared" ca="1" si="411"/>
        <v>#N/A</v>
      </c>
      <c r="AG920" s="306">
        <f t="shared" ca="1" si="433"/>
        <v>-8.8877690869246351E-2</v>
      </c>
      <c r="AH920" s="304">
        <f t="shared" ca="1" si="434"/>
        <v>-9.890076074602641</v>
      </c>
    </row>
    <row r="921" spans="1:34" x14ac:dyDescent="0.2">
      <c r="A921" s="347">
        <f t="shared" ca="1" si="412"/>
        <v>1E-4</v>
      </c>
      <c r="B921" s="304">
        <f t="shared" ca="1" si="413"/>
        <v>44.61110000000069</v>
      </c>
      <c r="D921" s="306">
        <f t="shared" ca="1" si="414"/>
        <v>-0.41885206110587236</v>
      </c>
      <c r="E921" s="307">
        <f t="shared" ca="1" si="415"/>
        <v>7.1212650446259573E-2</v>
      </c>
      <c r="F921" s="304">
        <f t="shared" ca="1" si="416"/>
        <v>0.42486267272639827</v>
      </c>
      <c r="G921" s="306">
        <f t="shared" ca="1" si="417"/>
        <v>4.8932069935329636</v>
      </c>
      <c r="H921" s="307">
        <f t="shared" ca="1" si="418"/>
        <v>-115.43748790912652</v>
      </c>
      <c r="I921" s="304">
        <f t="shared" ca="1" si="419"/>
        <v>115.54114890138185</v>
      </c>
      <c r="J921" s="306">
        <f t="shared" ca="1" si="420"/>
        <v>976.66817413190017</v>
      </c>
      <c r="K921" s="307">
        <f t="shared" ca="1" si="421"/>
        <v>-11.69069247576669</v>
      </c>
      <c r="L921" s="304">
        <f t="shared" ca="1" si="406"/>
        <v>976.73814026723801</v>
      </c>
      <c r="M921" s="306">
        <f t="shared" ca="1" si="422"/>
        <v>-1.5284333165178512</v>
      </c>
      <c r="N921" s="304">
        <f t="shared" ca="1" si="423"/>
        <v>-87.572778303655966</v>
      </c>
      <c r="P921" s="310">
        <f t="shared" ca="1" si="424"/>
        <v>23</v>
      </c>
      <c r="Q921" s="304">
        <f t="shared" ca="1" si="425"/>
        <v>0</v>
      </c>
      <c r="R921" s="306">
        <f t="shared" ca="1" si="426"/>
        <v>0</v>
      </c>
      <c r="S921" s="307">
        <f t="shared" ca="1" si="427"/>
        <v>5.0829999999999913</v>
      </c>
      <c r="T921" s="304">
        <f t="shared" ca="1" si="407"/>
        <v>49.864229999999914</v>
      </c>
      <c r="U921" s="311">
        <f t="shared" ca="1" si="408"/>
        <v>0</v>
      </c>
      <c r="V921" s="306">
        <f t="shared" ca="1" si="409"/>
        <v>1.2264329474356719</v>
      </c>
      <c r="W921" s="304">
        <f t="shared" ca="1" si="410"/>
        <v>50.271357282211575</v>
      </c>
      <c r="Y921" s="314" t="str">
        <f t="shared" ca="1" si="428"/>
        <v/>
      </c>
      <c r="Z921" s="315" t="str">
        <f t="shared" ca="1" si="429"/>
        <v/>
      </c>
      <c r="AA921" s="316" t="str">
        <f t="shared" ca="1" si="430"/>
        <v/>
      </c>
      <c r="AC921" s="310" t="e">
        <f t="shared" ca="1" si="431"/>
        <v>#N/A</v>
      </c>
      <c r="AD921" s="323" t="e">
        <f t="shared" ca="1" si="432"/>
        <v>#N/A</v>
      </c>
      <c r="AE921" s="324" t="e">
        <f t="shared" ca="1" si="411"/>
        <v>#N/A</v>
      </c>
      <c r="AG921" s="306">
        <f t="shared" ca="1" si="433"/>
        <v>-8.8887436795561214E-2</v>
      </c>
      <c r="AH921" s="304">
        <f t="shared" ca="1" si="434"/>
        <v>-9.8900859699211843</v>
      </c>
    </row>
    <row r="922" spans="1:34" x14ac:dyDescent="0.2">
      <c r="A922" s="347">
        <f t="shared" ca="1" si="412"/>
        <v>1E-4</v>
      </c>
      <c r="B922" s="304">
        <f t="shared" ca="1" si="413"/>
        <v>44.611200000000693</v>
      </c>
      <c r="D922" s="306">
        <f t="shared" ca="1" si="414"/>
        <v>-0.41884892710420119</v>
      </c>
      <c r="E922" s="307">
        <f t="shared" ca="1" si="415"/>
        <v>7.1222687338604374E-2</v>
      </c>
      <c r="F922" s="304">
        <f t="shared" ca="1" si="416"/>
        <v>0.42486126550683934</v>
      </c>
      <c r="G922" s="306">
        <f t="shared" ca="1" si="417"/>
        <v>4.893165108640253</v>
      </c>
      <c r="H922" s="307">
        <f t="shared" ca="1" si="418"/>
        <v>-115.43748078685779</v>
      </c>
      <c r="I922" s="304">
        <f t="shared" ca="1" si="419"/>
        <v>115.54114001167106</v>
      </c>
      <c r="J922" s="306">
        <f t="shared" ca="1" si="420"/>
        <v>976.66817413190017</v>
      </c>
      <c r="K922" s="307">
        <f t="shared" ca="1" si="421"/>
        <v>-11.70223622420149</v>
      </c>
      <c r="L922" s="304">
        <f t="shared" ca="1" si="406"/>
        <v>976.73827850391262</v>
      </c>
      <c r="M922" s="306">
        <f t="shared" ca="1" si="422"/>
        <v>-1.5284336760926658</v>
      </c>
      <c r="N922" s="304">
        <f t="shared" ca="1" si="423"/>
        <v>-87.572798905775258</v>
      </c>
      <c r="P922" s="310">
        <f t="shared" ca="1" si="424"/>
        <v>23</v>
      </c>
      <c r="Q922" s="304">
        <f t="shared" ca="1" si="425"/>
        <v>0</v>
      </c>
      <c r="R922" s="306">
        <f t="shared" ca="1" si="426"/>
        <v>0</v>
      </c>
      <c r="S922" s="307">
        <f t="shared" ca="1" si="427"/>
        <v>5.0829999999999913</v>
      </c>
      <c r="T922" s="304">
        <f t="shared" ca="1" si="407"/>
        <v>49.864229999999914</v>
      </c>
      <c r="U922" s="311">
        <f t="shared" ca="1" si="408"/>
        <v>0</v>
      </c>
      <c r="V922" s="306">
        <f t="shared" ca="1" si="409"/>
        <v>1.226434363200315</v>
      </c>
      <c r="W922" s="304">
        <f t="shared" ca="1" si="410"/>
        <v>50.271407578511955</v>
      </c>
      <c r="Y922" s="314" t="str">
        <f t="shared" ca="1" si="428"/>
        <v/>
      </c>
      <c r="Z922" s="315" t="str">
        <f t="shared" ca="1" si="429"/>
        <v/>
      </c>
      <c r="AA922" s="316" t="str">
        <f t="shared" ca="1" si="430"/>
        <v/>
      </c>
      <c r="AC922" s="310" t="e">
        <f t="shared" ca="1" si="431"/>
        <v>#N/A</v>
      </c>
      <c r="AD922" s="323" t="e">
        <f t="shared" ca="1" si="432"/>
        <v>#N/A</v>
      </c>
      <c r="AE922" s="324" t="e">
        <f t="shared" ca="1" si="411"/>
        <v>#N/A</v>
      </c>
      <c r="AG922" s="306">
        <f t="shared" ca="1" si="433"/>
        <v>-8.8897182566643806E-2</v>
      </c>
      <c r="AH922" s="304">
        <f t="shared" ca="1" si="434"/>
        <v>-9.890095865081971</v>
      </c>
    </row>
    <row r="923" spans="1:34" x14ac:dyDescent="0.2">
      <c r="A923" s="347">
        <f t="shared" ca="1" si="412"/>
        <v>1E-4</v>
      </c>
      <c r="B923" s="304">
        <f t="shared" ca="1" si="413"/>
        <v>44.611300000000696</v>
      </c>
      <c r="D923" s="306">
        <f t="shared" ca="1" si="414"/>
        <v>-0.41884579311855064</v>
      </c>
      <c r="E923" s="307">
        <f t="shared" ca="1" si="415"/>
        <v>7.1232724071087716E-2</v>
      </c>
      <c r="F923" s="304">
        <f t="shared" ca="1" si="416"/>
        <v>0.42485985853184038</v>
      </c>
      <c r="G923" s="306">
        <f t="shared" ca="1" si="417"/>
        <v>4.8931232240609415</v>
      </c>
      <c r="H923" s="307">
        <f t="shared" ca="1" si="418"/>
        <v>-115.43747366358538</v>
      </c>
      <c r="I923" s="304">
        <f t="shared" ca="1" si="419"/>
        <v>115.54113112098571</v>
      </c>
      <c r="J923" s="306">
        <f t="shared" ca="1" si="420"/>
        <v>976.66817413190017</v>
      </c>
      <c r="K923" s="307">
        <f t="shared" ca="1" si="421"/>
        <v>-11.713779971924012</v>
      </c>
      <c r="L923" s="304">
        <f t="shared" ca="1" si="406"/>
        <v>976.73841687699087</v>
      </c>
      <c r="M923" s="306">
        <f t="shared" ca="1" si="422"/>
        <v>-1.5284340356644577</v>
      </c>
      <c r="N923" s="304">
        <f t="shared" ca="1" si="423"/>
        <v>-87.572819507721377</v>
      </c>
      <c r="P923" s="310">
        <f t="shared" ca="1" si="424"/>
        <v>23</v>
      </c>
      <c r="Q923" s="304">
        <f t="shared" ca="1" si="425"/>
        <v>0</v>
      </c>
      <c r="R923" s="306">
        <f t="shared" ca="1" si="426"/>
        <v>0</v>
      </c>
      <c r="S923" s="307">
        <f t="shared" ca="1" si="427"/>
        <v>5.0829999999999913</v>
      </c>
      <c r="T923" s="304">
        <f t="shared" ca="1" si="407"/>
        <v>49.864229999999914</v>
      </c>
      <c r="U923" s="311">
        <f t="shared" ca="1" si="408"/>
        <v>0</v>
      </c>
      <c r="V923" s="306">
        <f t="shared" ca="1" si="409"/>
        <v>1.2264357789665059</v>
      </c>
      <c r="W923" s="304">
        <f t="shared" ca="1" si="410"/>
        <v>50.271457874010459</v>
      </c>
      <c r="Y923" s="314" t="str">
        <f t="shared" ca="1" si="428"/>
        <v/>
      </c>
      <c r="Z923" s="315" t="str">
        <f t="shared" ca="1" si="429"/>
        <v/>
      </c>
      <c r="AA923" s="316" t="str">
        <f t="shared" ca="1" si="430"/>
        <v/>
      </c>
      <c r="AC923" s="310" t="e">
        <f t="shared" ca="1" si="431"/>
        <v>#N/A</v>
      </c>
      <c r="AD923" s="323" t="e">
        <f t="shared" ca="1" si="432"/>
        <v>#N/A</v>
      </c>
      <c r="AE923" s="324" t="e">
        <f t="shared" ca="1" si="411"/>
        <v>#N/A</v>
      </c>
      <c r="AG923" s="306">
        <f t="shared" ca="1" si="433"/>
        <v>-8.8906928182487022E-2</v>
      </c>
      <c r="AH923" s="304">
        <f t="shared" ca="1" si="434"/>
        <v>-9.8901057600849978</v>
      </c>
    </row>
    <row r="924" spans="1:34" x14ac:dyDescent="0.2">
      <c r="A924" s="347">
        <f t="shared" ca="1" si="412"/>
        <v>1E-4</v>
      </c>
      <c r="B924" s="304">
        <f t="shared" ca="1" si="413"/>
        <v>44.6114000000007</v>
      </c>
      <c r="D924" s="306">
        <f t="shared" ca="1" si="414"/>
        <v>-0.41884265914892332</v>
      </c>
      <c r="E924" s="307">
        <f t="shared" ca="1" si="415"/>
        <v>7.1242760643713154E-2</v>
      </c>
      <c r="F924" s="304">
        <f t="shared" ca="1" si="416"/>
        <v>0.42485845180139531</v>
      </c>
      <c r="G924" s="306">
        <f t="shared" ca="1" si="417"/>
        <v>4.8930813397950264</v>
      </c>
      <c r="H924" s="307">
        <f t="shared" ca="1" si="418"/>
        <v>-115.43746653930931</v>
      </c>
      <c r="I924" s="304">
        <f t="shared" ca="1" si="419"/>
        <v>115.54112222932581</v>
      </c>
      <c r="J924" s="306">
        <f t="shared" ca="1" si="420"/>
        <v>976.66817413190017</v>
      </c>
      <c r="K924" s="307">
        <f t="shared" ca="1" si="421"/>
        <v>-11.725323718934156</v>
      </c>
      <c r="L924" s="304">
        <f t="shared" ca="1" si="406"/>
        <v>976.73855538647263</v>
      </c>
      <c r="M924" s="306">
        <f t="shared" ca="1" si="422"/>
        <v>-1.5284343952332273</v>
      </c>
      <c r="N924" s="304">
        <f t="shared" ca="1" si="423"/>
        <v>-87.572840109494322</v>
      </c>
      <c r="P924" s="310">
        <f t="shared" ca="1" si="424"/>
        <v>23</v>
      </c>
      <c r="Q924" s="304">
        <f t="shared" ca="1" si="425"/>
        <v>0</v>
      </c>
      <c r="R924" s="306">
        <f t="shared" ca="1" si="426"/>
        <v>0</v>
      </c>
      <c r="S924" s="307">
        <f t="shared" ca="1" si="427"/>
        <v>5.0829999999999913</v>
      </c>
      <c r="T924" s="304">
        <f t="shared" ca="1" si="407"/>
        <v>49.864229999999914</v>
      </c>
      <c r="U924" s="311">
        <f t="shared" ca="1" si="408"/>
        <v>0</v>
      </c>
      <c r="V924" s="306">
        <f t="shared" ca="1" si="409"/>
        <v>1.2264371947342445</v>
      </c>
      <c r="W924" s="304">
        <f t="shared" ca="1" si="410"/>
        <v>50.271508168707093</v>
      </c>
      <c r="Y924" s="314" t="str">
        <f t="shared" ca="1" si="428"/>
        <v/>
      </c>
      <c r="Z924" s="315" t="str">
        <f t="shared" ca="1" si="429"/>
        <v/>
      </c>
      <c r="AA924" s="316" t="str">
        <f t="shared" ca="1" si="430"/>
        <v/>
      </c>
      <c r="AC924" s="310" t="e">
        <f t="shared" ca="1" si="431"/>
        <v>#N/A</v>
      </c>
      <c r="AD924" s="323" t="e">
        <f t="shared" ca="1" si="432"/>
        <v>#N/A</v>
      </c>
      <c r="AE924" s="324" t="e">
        <f t="shared" ca="1" si="411"/>
        <v>#N/A</v>
      </c>
      <c r="AG924" s="306">
        <f t="shared" ca="1" si="433"/>
        <v>-8.8916673643096189E-2</v>
      </c>
      <c r="AH924" s="304">
        <f t="shared" ca="1" si="434"/>
        <v>-9.8901156549302662</v>
      </c>
    </row>
    <row r="925" spans="1:34" x14ac:dyDescent="0.2">
      <c r="A925" s="347">
        <f t="shared" ca="1" si="412"/>
        <v>1E-4</v>
      </c>
      <c r="B925" s="304">
        <f t="shared" ca="1" si="413"/>
        <v>44.611500000000703</v>
      </c>
      <c r="D925" s="306">
        <f t="shared" ca="1" si="414"/>
        <v>-0.41883952519531525</v>
      </c>
      <c r="E925" s="307">
        <f t="shared" ca="1" si="415"/>
        <v>7.1252797056482464E-2</v>
      </c>
      <c r="F925" s="304">
        <f t="shared" ca="1" si="416"/>
        <v>0.42485704531549123</v>
      </c>
      <c r="G925" s="306">
        <f t="shared" ca="1" si="417"/>
        <v>4.8930394558425068</v>
      </c>
      <c r="H925" s="307">
        <f t="shared" ca="1" si="418"/>
        <v>-115.4374594140296</v>
      </c>
      <c r="I925" s="304">
        <f t="shared" ca="1" si="419"/>
        <v>115.54111333669138</v>
      </c>
      <c r="J925" s="306">
        <f t="shared" ca="1" si="420"/>
        <v>976.66817413190017</v>
      </c>
      <c r="K925" s="307">
        <f t="shared" ca="1" si="421"/>
        <v>-11.736867465231823</v>
      </c>
      <c r="L925" s="304">
        <f t="shared" ca="1" si="406"/>
        <v>976.7386940323579</v>
      </c>
      <c r="M925" s="306">
        <f t="shared" ca="1" si="422"/>
        <v>-1.5284347547989743</v>
      </c>
      <c r="N925" s="304">
        <f t="shared" ca="1" si="423"/>
        <v>-87.57286071109408</v>
      </c>
      <c r="P925" s="310">
        <f t="shared" ca="1" si="424"/>
        <v>23</v>
      </c>
      <c r="Q925" s="304">
        <f t="shared" ca="1" si="425"/>
        <v>0</v>
      </c>
      <c r="R925" s="306">
        <f t="shared" ca="1" si="426"/>
        <v>0</v>
      </c>
      <c r="S925" s="307">
        <f t="shared" ca="1" si="427"/>
        <v>5.0829999999999913</v>
      </c>
      <c r="T925" s="304">
        <f t="shared" ca="1" si="407"/>
        <v>49.864229999999914</v>
      </c>
      <c r="U925" s="311">
        <f t="shared" ca="1" si="408"/>
        <v>0</v>
      </c>
      <c r="V925" s="306">
        <f t="shared" ca="1" si="409"/>
        <v>1.2264386105035316</v>
      </c>
      <c r="W925" s="304">
        <f t="shared" ca="1" si="410"/>
        <v>50.271558462601909</v>
      </c>
      <c r="Y925" s="314" t="str">
        <f t="shared" ca="1" si="428"/>
        <v/>
      </c>
      <c r="Z925" s="315" t="str">
        <f t="shared" ca="1" si="429"/>
        <v/>
      </c>
      <c r="AA925" s="316" t="str">
        <f t="shared" ca="1" si="430"/>
        <v/>
      </c>
      <c r="AC925" s="310" t="e">
        <f t="shared" ca="1" si="431"/>
        <v>#N/A</v>
      </c>
      <c r="AD925" s="323" t="e">
        <f t="shared" ca="1" si="432"/>
        <v>#N/A</v>
      </c>
      <c r="AE925" s="324" t="e">
        <f t="shared" ca="1" si="411"/>
        <v>#N/A</v>
      </c>
      <c r="AG925" s="306">
        <f t="shared" ca="1" si="433"/>
        <v>-8.8926418948473085E-2</v>
      </c>
      <c r="AH925" s="304">
        <f t="shared" ca="1" si="434"/>
        <v>-9.89012554961778</v>
      </c>
    </row>
    <row r="926" spans="1:34" x14ac:dyDescent="0.2">
      <c r="A926" s="347">
        <f t="shared" ca="1" si="412"/>
        <v>1E-4</v>
      </c>
      <c r="B926" s="304">
        <f t="shared" ca="1" si="413"/>
        <v>44.611600000000706</v>
      </c>
      <c r="D926" s="306">
        <f t="shared" ca="1" si="414"/>
        <v>-0.41883639125773148</v>
      </c>
      <c r="E926" s="307">
        <f t="shared" ca="1" si="415"/>
        <v>7.1262833309406304E-2</v>
      </c>
      <c r="F926" s="304">
        <f t="shared" ca="1" si="416"/>
        <v>0.42485563907412566</v>
      </c>
      <c r="G926" s="306">
        <f t="shared" ca="1" si="417"/>
        <v>4.8929975722033809</v>
      </c>
      <c r="H926" s="307">
        <f t="shared" ca="1" si="418"/>
        <v>-115.43745228774627</v>
      </c>
      <c r="I926" s="304">
        <f t="shared" ca="1" si="419"/>
        <v>115.54110444308245</v>
      </c>
      <c r="J926" s="306">
        <f t="shared" ca="1" si="420"/>
        <v>976.66817413190017</v>
      </c>
      <c r="K926" s="307">
        <f t="shared" ca="1" si="421"/>
        <v>-11.748411210816911</v>
      </c>
      <c r="L926" s="304">
        <f t="shared" ca="1" si="406"/>
        <v>976.73883281464657</v>
      </c>
      <c r="M926" s="306">
        <f t="shared" ca="1" si="422"/>
        <v>-1.5284351143616988</v>
      </c>
      <c r="N926" s="304">
        <f t="shared" ca="1" si="423"/>
        <v>-87.572881312520664</v>
      </c>
      <c r="P926" s="310">
        <f t="shared" ca="1" si="424"/>
        <v>23</v>
      </c>
      <c r="Q926" s="304">
        <f t="shared" ca="1" si="425"/>
        <v>0</v>
      </c>
      <c r="R926" s="306">
        <f t="shared" ca="1" si="426"/>
        <v>0</v>
      </c>
      <c r="S926" s="307">
        <f t="shared" ca="1" si="427"/>
        <v>5.0829999999999913</v>
      </c>
      <c r="T926" s="304">
        <f t="shared" ca="1" si="407"/>
        <v>49.864229999999914</v>
      </c>
      <c r="U926" s="311">
        <f t="shared" ca="1" si="408"/>
        <v>0</v>
      </c>
      <c r="V926" s="306">
        <f t="shared" ca="1" si="409"/>
        <v>1.2264400262743667</v>
      </c>
      <c r="W926" s="304">
        <f t="shared" ca="1" si="410"/>
        <v>50.271608755694885</v>
      </c>
      <c r="Y926" s="314" t="str">
        <f t="shared" ca="1" si="428"/>
        <v/>
      </c>
      <c r="Z926" s="315" t="str">
        <f t="shared" ca="1" si="429"/>
        <v/>
      </c>
      <c r="AA926" s="316" t="str">
        <f t="shared" ca="1" si="430"/>
        <v/>
      </c>
      <c r="AC926" s="310" t="e">
        <f t="shared" ca="1" si="431"/>
        <v>#N/A</v>
      </c>
      <c r="AD926" s="323" t="e">
        <f t="shared" ca="1" si="432"/>
        <v>#N/A</v>
      </c>
      <c r="AE926" s="324" t="e">
        <f t="shared" ca="1" si="411"/>
        <v>#N/A</v>
      </c>
      <c r="AG926" s="306">
        <f t="shared" ca="1" si="433"/>
        <v>-8.8936164098628367E-2</v>
      </c>
      <c r="AH926" s="304">
        <f t="shared" ca="1" si="434"/>
        <v>-9.8901354441475497</v>
      </c>
    </row>
    <row r="927" spans="1:34" x14ac:dyDescent="0.2">
      <c r="A927" s="347">
        <f t="shared" ca="1" si="412"/>
        <v>1E-4</v>
      </c>
      <c r="B927" s="304">
        <f t="shared" ca="1" si="413"/>
        <v>44.61170000000071</v>
      </c>
      <c r="D927" s="306">
        <f t="shared" ca="1" si="414"/>
        <v>-0.41883325733616988</v>
      </c>
      <c r="E927" s="307">
        <f t="shared" ca="1" si="415"/>
        <v>7.127286940248112E-2</v>
      </c>
      <c r="F927" s="304">
        <f t="shared" ca="1" si="416"/>
        <v>0.42485423307728665</v>
      </c>
      <c r="G927" s="306">
        <f t="shared" ca="1" si="417"/>
        <v>4.8929556888776471</v>
      </c>
      <c r="H927" s="307">
        <f t="shared" ca="1" si="418"/>
        <v>-115.43744516045933</v>
      </c>
      <c r="I927" s="304">
        <f t="shared" ca="1" si="419"/>
        <v>115.541095548499</v>
      </c>
      <c r="J927" s="306">
        <f t="shared" ca="1" si="420"/>
        <v>976.66817413190017</v>
      </c>
      <c r="K927" s="307">
        <f t="shared" ca="1" si="421"/>
        <v>-11.759954955689322</v>
      </c>
      <c r="L927" s="304">
        <f t="shared" ca="1" si="406"/>
        <v>976.73897173333853</v>
      </c>
      <c r="M927" s="306">
        <f t="shared" ca="1" si="422"/>
        <v>-1.5284354739214008</v>
      </c>
      <c r="N927" s="304">
        <f t="shared" ca="1" si="423"/>
        <v>-87.572901913774061</v>
      </c>
      <c r="P927" s="310">
        <f t="shared" ca="1" si="424"/>
        <v>23</v>
      </c>
      <c r="Q927" s="304">
        <f t="shared" ca="1" si="425"/>
        <v>0</v>
      </c>
      <c r="R927" s="306">
        <f t="shared" ca="1" si="426"/>
        <v>0</v>
      </c>
      <c r="S927" s="307">
        <f t="shared" ca="1" si="427"/>
        <v>5.0829999999999913</v>
      </c>
      <c r="T927" s="304">
        <f t="shared" ca="1" si="407"/>
        <v>49.864229999999914</v>
      </c>
      <c r="U927" s="311">
        <f t="shared" ca="1" si="408"/>
        <v>0</v>
      </c>
      <c r="V927" s="306">
        <f t="shared" ca="1" si="409"/>
        <v>1.2264414420467493</v>
      </c>
      <c r="W927" s="304">
        <f t="shared" ca="1" si="410"/>
        <v>50.27165904798602</v>
      </c>
      <c r="Y927" s="314" t="str">
        <f t="shared" ca="1" si="428"/>
        <v/>
      </c>
      <c r="Z927" s="315" t="str">
        <f t="shared" ca="1" si="429"/>
        <v/>
      </c>
      <c r="AA927" s="316" t="str">
        <f t="shared" ca="1" si="430"/>
        <v/>
      </c>
      <c r="AC927" s="310" t="e">
        <f t="shared" ca="1" si="431"/>
        <v>#N/A</v>
      </c>
      <c r="AD927" s="323" t="e">
        <f t="shared" ca="1" si="432"/>
        <v>#N/A</v>
      </c>
      <c r="AE927" s="324" t="e">
        <f t="shared" ca="1" si="411"/>
        <v>#N/A</v>
      </c>
      <c r="AG927" s="306">
        <f t="shared" ca="1" si="433"/>
        <v>-8.8945909093558484E-2</v>
      </c>
      <c r="AH927" s="304">
        <f t="shared" ca="1" si="434"/>
        <v>-9.8901453385195701</v>
      </c>
    </row>
    <row r="928" spans="1:34" x14ac:dyDescent="0.2">
      <c r="A928" s="347">
        <f t="shared" ca="1" si="412"/>
        <v>1E-4</v>
      </c>
      <c r="B928" s="304">
        <f t="shared" ca="1" si="413"/>
        <v>44.611800000000713</v>
      </c>
      <c r="D928" s="306">
        <f t="shared" ca="1" si="414"/>
        <v>-0.41883012343063059</v>
      </c>
      <c r="E928" s="307">
        <f t="shared" ca="1" si="415"/>
        <v>7.1282905335705138E-2</v>
      </c>
      <c r="F928" s="304">
        <f t="shared" ca="1" si="416"/>
        <v>0.42485282732496477</v>
      </c>
      <c r="G928" s="306">
        <f t="shared" ca="1" si="417"/>
        <v>4.8929138058653043</v>
      </c>
      <c r="H928" s="307">
        <f t="shared" ca="1" si="418"/>
        <v>-115.4374380321688</v>
      </c>
      <c r="I928" s="304">
        <f t="shared" ca="1" si="419"/>
        <v>115.54108665294108</v>
      </c>
      <c r="J928" s="306">
        <f t="shared" ca="1" si="420"/>
        <v>976.66817413190017</v>
      </c>
      <c r="K928" s="307">
        <f t="shared" ca="1" si="421"/>
        <v>-11.771498699848953</v>
      </c>
      <c r="L928" s="304">
        <f t="shared" ca="1" si="406"/>
        <v>976.73911078843378</v>
      </c>
      <c r="M928" s="306">
        <f t="shared" ca="1" si="422"/>
        <v>-1.5284358334780805</v>
      </c>
      <c r="N928" s="304">
        <f t="shared" ca="1" si="423"/>
        <v>-87.572922514854312</v>
      </c>
      <c r="P928" s="310">
        <f t="shared" ca="1" si="424"/>
        <v>23</v>
      </c>
      <c r="Q928" s="304">
        <f t="shared" ca="1" si="425"/>
        <v>0</v>
      </c>
      <c r="R928" s="306">
        <f t="shared" ca="1" si="426"/>
        <v>0</v>
      </c>
      <c r="S928" s="307">
        <f t="shared" ca="1" si="427"/>
        <v>5.0829999999999913</v>
      </c>
      <c r="T928" s="304">
        <f t="shared" ca="1" si="407"/>
        <v>49.864229999999914</v>
      </c>
      <c r="U928" s="311">
        <f t="shared" ca="1" si="408"/>
        <v>0</v>
      </c>
      <c r="V928" s="306">
        <f t="shared" ca="1" si="409"/>
        <v>1.2264428578206794</v>
      </c>
      <c r="W928" s="304">
        <f t="shared" ca="1" si="410"/>
        <v>50.271709339475308</v>
      </c>
      <c r="Y928" s="314" t="str">
        <f t="shared" ca="1" si="428"/>
        <v/>
      </c>
      <c r="Z928" s="315" t="str">
        <f t="shared" ca="1" si="429"/>
        <v/>
      </c>
      <c r="AA928" s="316" t="str">
        <f t="shared" ca="1" si="430"/>
        <v/>
      </c>
      <c r="AC928" s="310" t="e">
        <f t="shared" ca="1" si="431"/>
        <v>#N/A</v>
      </c>
      <c r="AD928" s="323" t="e">
        <f t="shared" ca="1" si="432"/>
        <v>#N/A</v>
      </c>
      <c r="AE928" s="324" t="e">
        <f t="shared" ca="1" si="411"/>
        <v>#N/A</v>
      </c>
      <c r="AG928" s="306">
        <f t="shared" ca="1" si="433"/>
        <v>-8.8955653933259882E-2</v>
      </c>
      <c r="AH928" s="304">
        <f t="shared" ca="1" si="434"/>
        <v>-9.8901552327338393</v>
      </c>
    </row>
    <row r="929" spans="1:34" x14ac:dyDescent="0.2">
      <c r="A929" s="347">
        <f t="shared" ca="1" si="412"/>
        <v>1E-4</v>
      </c>
      <c r="B929" s="304">
        <f t="shared" ca="1" si="413"/>
        <v>44.611900000000716</v>
      </c>
      <c r="D929" s="306">
        <f t="shared" ca="1" si="414"/>
        <v>-0.41882698954111192</v>
      </c>
      <c r="E929" s="307">
        <f t="shared" ca="1" si="415"/>
        <v>7.129294110907658E-2</v>
      </c>
      <c r="F929" s="304">
        <f t="shared" ca="1" si="416"/>
        <v>0.4248514218171488</v>
      </c>
      <c r="G929" s="306">
        <f t="shared" ca="1" si="417"/>
        <v>4.89287192316635</v>
      </c>
      <c r="H929" s="307">
        <f t="shared" ca="1" si="418"/>
        <v>-115.43743090287469</v>
      </c>
      <c r="I929" s="304">
        <f t="shared" ca="1" si="419"/>
        <v>115.54107775640868</v>
      </c>
      <c r="J929" s="306">
        <f t="shared" ca="1" si="420"/>
        <v>976.66817413190017</v>
      </c>
      <c r="K929" s="307">
        <f t="shared" ca="1" si="421"/>
        <v>-11.783042443295706</v>
      </c>
      <c r="L929" s="304">
        <f t="shared" ca="1" si="406"/>
        <v>976.73924997993208</v>
      </c>
      <c r="M929" s="306">
        <f t="shared" ca="1" si="422"/>
        <v>-1.5284361930317378</v>
      </c>
      <c r="N929" s="304">
        <f t="shared" ca="1" si="423"/>
        <v>-87.57294311576139</v>
      </c>
      <c r="P929" s="310">
        <f t="shared" ca="1" si="424"/>
        <v>23</v>
      </c>
      <c r="Q929" s="304">
        <f t="shared" ca="1" si="425"/>
        <v>0</v>
      </c>
      <c r="R929" s="306">
        <f t="shared" ca="1" si="426"/>
        <v>0</v>
      </c>
      <c r="S929" s="307">
        <f t="shared" ca="1" si="427"/>
        <v>5.0829999999999913</v>
      </c>
      <c r="T929" s="304">
        <f t="shared" ca="1" si="407"/>
        <v>49.864229999999914</v>
      </c>
      <c r="U929" s="311">
        <f t="shared" ca="1" si="408"/>
        <v>0</v>
      </c>
      <c r="V929" s="306">
        <f t="shared" ca="1" si="409"/>
        <v>1.2264442735961578</v>
      </c>
      <c r="W929" s="304">
        <f t="shared" ca="1" si="410"/>
        <v>50.271759630162812</v>
      </c>
      <c r="Y929" s="314" t="str">
        <f t="shared" ca="1" si="428"/>
        <v/>
      </c>
      <c r="Z929" s="315" t="str">
        <f t="shared" ca="1" si="429"/>
        <v/>
      </c>
      <c r="AA929" s="316" t="str">
        <f t="shared" ca="1" si="430"/>
        <v/>
      </c>
      <c r="AC929" s="310" t="e">
        <f t="shared" ca="1" si="431"/>
        <v>#N/A</v>
      </c>
      <c r="AD929" s="323" t="e">
        <f t="shared" ca="1" si="432"/>
        <v>#N/A</v>
      </c>
      <c r="AE929" s="324" t="e">
        <f t="shared" ca="1" si="411"/>
        <v>#N/A</v>
      </c>
      <c r="AG929" s="306">
        <f t="shared" ca="1" si="433"/>
        <v>-8.8965398617734337E-2</v>
      </c>
      <c r="AH929" s="304">
        <f t="shared" ca="1" si="434"/>
        <v>-9.8901651267903592</v>
      </c>
    </row>
    <row r="930" spans="1:34" x14ac:dyDescent="0.2">
      <c r="A930" s="347">
        <f t="shared" ca="1" si="412"/>
        <v>1E-4</v>
      </c>
      <c r="B930" s="304">
        <f t="shared" ca="1" si="413"/>
        <v>44.61200000000072</v>
      </c>
      <c r="D930" s="306">
        <f t="shared" ca="1" si="414"/>
        <v>-0.4188238556676166</v>
      </c>
      <c r="E930" s="307">
        <f t="shared" ca="1" si="415"/>
        <v>7.1302976722611433E-2</v>
      </c>
      <c r="F930" s="304">
        <f t="shared" ca="1" si="416"/>
        <v>0.42485001655383492</v>
      </c>
      <c r="G930" s="306">
        <f t="shared" ca="1" si="417"/>
        <v>4.8928300407807832</v>
      </c>
      <c r="H930" s="307">
        <f t="shared" ca="1" si="418"/>
        <v>-115.43742377257702</v>
      </c>
      <c r="I930" s="304">
        <f t="shared" ca="1" si="419"/>
        <v>115.54106885890184</v>
      </c>
      <c r="J930" s="306">
        <f t="shared" ca="1" si="420"/>
        <v>976.66817413190017</v>
      </c>
      <c r="K930" s="307">
        <f t="shared" ca="1" si="421"/>
        <v>-11.794586186029479</v>
      </c>
      <c r="L930" s="304">
        <f t="shared" ca="1" si="406"/>
        <v>976.73938930783345</v>
      </c>
      <c r="M930" s="306">
        <f t="shared" ca="1" si="422"/>
        <v>-1.5284365525823727</v>
      </c>
      <c r="N930" s="304">
        <f t="shared" ca="1" si="423"/>
        <v>-87.572963716495281</v>
      </c>
      <c r="P930" s="310">
        <f t="shared" ca="1" si="424"/>
        <v>23</v>
      </c>
      <c r="Q930" s="304">
        <f t="shared" ca="1" si="425"/>
        <v>0</v>
      </c>
      <c r="R930" s="306">
        <f t="shared" ca="1" si="426"/>
        <v>0</v>
      </c>
      <c r="S930" s="307">
        <f t="shared" ca="1" si="427"/>
        <v>5.0829999999999913</v>
      </c>
      <c r="T930" s="304">
        <f t="shared" ca="1" si="407"/>
        <v>49.864229999999914</v>
      </c>
      <c r="U930" s="311">
        <f t="shared" ca="1" si="408"/>
        <v>0</v>
      </c>
      <c r="V930" s="306">
        <f t="shared" ca="1" si="409"/>
        <v>1.2264456893731841</v>
      </c>
      <c r="W930" s="304">
        <f t="shared" ca="1" si="410"/>
        <v>50.271809920048526</v>
      </c>
      <c r="Y930" s="314" t="str">
        <f t="shared" ca="1" si="428"/>
        <v/>
      </c>
      <c r="Z930" s="315" t="str">
        <f t="shared" ca="1" si="429"/>
        <v/>
      </c>
      <c r="AA930" s="316" t="str">
        <f t="shared" ca="1" si="430"/>
        <v/>
      </c>
      <c r="AC930" s="310" t="e">
        <f t="shared" ca="1" si="431"/>
        <v>#N/A</v>
      </c>
      <c r="AD930" s="323" t="e">
        <f t="shared" ca="1" si="432"/>
        <v>#N/A</v>
      </c>
      <c r="AE930" s="324" t="e">
        <f t="shared" ca="1" si="411"/>
        <v>#N/A</v>
      </c>
      <c r="AG930" s="306">
        <f t="shared" ca="1" si="433"/>
        <v>-8.8975143146992508E-2</v>
      </c>
      <c r="AH930" s="304">
        <f t="shared" ca="1" si="434"/>
        <v>-9.8901750206891403</v>
      </c>
    </row>
    <row r="931" spans="1:34" x14ac:dyDescent="0.2">
      <c r="A931" s="347">
        <f t="shared" ca="1" si="412"/>
        <v>1E-4</v>
      </c>
      <c r="B931" s="304">
        <f t="shared" ca="1" si="413"/>
        <v>44.612100000000723</v>
      </c>
      <c r="D931" s="306">
        <f t="shared" ca="1" si="414"/>
        <v>-0.41882072181014485</v>
      </c>
      <c r="E931" s="307">
        <f t="shared" ca="1" si="415"/>
        <v>7.1313012176304369E-2</v>
      </c>
      <c r="F931" s="304">
        <f t="shared" ca="1" si="416"/>
        <v>0.42484861153501308</v>
      </c>
      <c r="G931" s="306">
        <f t="shared" ca="1" si="417"/>
        <v>4.8927881587086022</v>
      </c>
      <c r="H931" s="307">
        <f t="shared" ca="1" si="418"/>
        <v>-115.4374166412758</v>
      </c>
      <c r="I931" s="304">
        <f t="shared" ca="1" si="419"/>
        <v>115.54105996042057</v>
      </c>
      <c r="J931" s="306">
        <f t="shared" ca="1" si="420"/>
        <v>976.66817413190017</v>
      </c>
      <c r="K931" s="307">
        <f t="shared" ca="1" si="421"/>
        <v>-11.806129928050172</v>
      </c>
      <c r="L931" s="304">
        <f t="shared" ca="1" si="406"/>
        <v>976.73952877213776</v>
      </c>
      <c r="M931" s="306">
        <f t="shared" ca="1" si="422"/>
        <v>-1.5284369121299852</v>
      </c>
      <c r="N931" s="304">
        <f t="shared" ca="1" si="423"/>
        <v>-87.572984317056012</v>
      </c>
      <c r="P931" s="310">
        <f t="shared" ca="1" si="424"/>
        <v>23</v>
      </c>
      <c r="Q931" s="304">
        <f t="shared" ca="1" si="425"/>
        <v>0</v>
      </c>
      <c r="R931" s="306">
        <f t="shared" ca="1" si="426"/>
        <v>0</v>
      </c>
      <c r="S931" s="307">
        <f t="shared" ca="1" si="427"/>
        <v>5.0829999999999913</v>
      </c>
      <c r="T931" s="304">
        <f t="shared" ca="1" si="407"/>
        <v>49.864229999999914</v>
      </c>
      <c r="U931" s="311">
        <f t="shared" ca="1" si="408"/>
        <v>0</v>
      </c>
      <c r="V931" s="306">
        <f t="shared" ca="1" si="409"/>
        <v>1.2264471051517583</v>
      </c>
      <c r="W931" s="304">
        <f t="shared" ca="1" si="410"/>
        <v>50.271860209132463</v>
      </c>
      <c r="Y931" s="314" t="str">
        <f t="shared" ca="1" si="428"/>
        <v/>
      </c>
      <c r="Z931" s="315" t="str">
        <f t="shared" ca="1" si="429"/>
        <v/>
      </c>
      <c r="AA931" s="316" t="str">
        <f t="shared" ca="1" si="430"/>
        <v/>
      </c>
      <c r="AC931" s="310" t="e">
        <f t="shared" ca="1" si="431"/>
        <v>#N/A</v>
      </c>
      <c r="AD931" s="323" t="e">
        <f t="shared" ca="1" si="432"/>
        <v>#N/A</v>
      </c>
      <c r="AE931" s="324" t="e">
        <f t="shared" ca="1" si="411"/>
        <v>#N/A</v>
      </c>
      <c r="AG931" s="306">
        <f t="shared" ca="1" si="433"/>
        <v>-8.8984887521032618E-2</v>
      </c>
      <c r="AH931" s="304">
        <f t="shared" ca="1" si="434"/>
        <v>-9.890184914430181</v>
      </c>
    </row>
    <row r="932" spans="1:34" x14ac:dyDescent="0.2">
      <c r="A932" s="347">
        <f t="shared" ca="1" si="412"/>
        <v>1E-4</v>
      </c>
      <c r="B932" s="304">
        <f t="shared" ca="1" si="413"/>
        <v>44.612200000000726</v>
      </c>
      <c r="D932" s="306">
        <f t="shared" ca="1" si="414"/>
        <v>-0.41881758796869495</v>
      </c>
      <c r="E932" s="307">
        <f t="shared" ca="1" si="415"/>
        <v>7.1323047470160716E-2</v>
      </c>
      <c r="F932" s="304">
        <f t="shared" ca="1" si="416"/>
        <v>0.42484720676067333</v>
      </c>
      <c r="G932" s="306">
        <f t="shared" ca="1" si="417"/>
        <v>4.8927462769498051</v>
      </c>
      <c r="H932" s="307">
        <f t="shared" ca="1" si="418"/>
        <v>-115.43740950897106</v>
      </c>
      <c r="I932" s="304">
        <f t="shared" ca="1" si="419"/>
        <v>115.54105106096486</v>
      </c>
      <c r="J932" s="306">
        <f t="shared" ca="1" si="420"/>
        <v>976.66817413190017</v>
      </c>
      <c r="K932" s="307">
        <f t="shared" ca="1" si="421"/>
        <v>-11.817673669357685</v>
      </c>
      <c r="L932" s="304">
        <f t="shared" ca="1" si="406"/>
        <v>976.7396683728449</v>
      </c>
      <c r="M932" s="306">
        <f t="shared" ca="1" si="422"/>
        <v>-1.5284372716745755</v>
      </c>
      <c r="N932" s="304">
        <f t="shared" ca="1" si="423"/>
        <v>-87.573004917443583</v>
      </c>
      <c r="P932" s="310">
        <f t="shared" ca="1" si="424"/>
        <v>23</v>
      </c>
      <c r="Q932" s="304">
        <f t="shared" ca="1" si="425"/>
        <v>0</v>
      </c>
      <c r="R932" s="306">
        <f t="shared" ca="1" si="426"/>
        <v>0</v>
      </c>
      <c r="S932" s="307">
        <f t="shared" ca="1" si="427"/>
        <v>5.0829999999999913</v>
      </c>
      <c r="T932" s="304">
        <f t="shared" ca="1" si="407"/>
        <v>49.864229999999914</v>
      </c>
      <c r="U932" s="311">
        <f t="shared" ca="1" si="408"/>
        <v>0</v>
      </c>
      <c r="V932" s="306">
        <f t="shared" ca="1" si="409"/>
        <v>1.2264485209318801</v>
      </c>
      <c r="W932" s="304">
        <f t="shared" ca="1" si="410"/>
        <v>50.271910497414595</v>
      </c>
      <c r="Y932" s="314" t="str">
        <f t="shared" ca="1" si="428"/>
        <v/>
      </c>
      <c r="Z932" s="315" t="str">
        <f t="shared" ca="1" si="429"/>
        <v/>
      </c>
      <c r="AA932" s="316" t="str">
        <f t="shared" ca="1" si="430"/>
        <v/>
      </c>
      <c r="AC932" s="310" t="e">
        <f t="shared" ca="1" si="431"/>
        <v>#N/A</v>
      </c>
      <c r="AD932" s="323" t="e">
        <f t="shared" ca="1" si="432"/>
        <v>#N/A</v>
      </c>
      <c r="AE932" s="324" t="e">
        <f t="shared" ca="1" si="411"/>
        <v>#N/A</v>
      </c>
      <c r="AG932" s="306">
        <f t="shared" ca="1" si="433"/>
        <v>-8.8994631739859997E-2</v>
      </c>
      <c r="AH932" s="304">
        <f t="shared" ca="1" si="434"/>
        <v>-9.8901948080134865</v>
      </c>
    </row>
    <row r="933" spans="1:34" x14ac:dyDescent="0.2">
      <c r="A933" s="347">
        <f t="shared" ca="1" si="412"/>
        <v>1E-4</v>
      </c>
      <c r="B933" s="304">
        <f t="shared" ca="1" si="413"/>
        <v>44.612300000000729</v>
      </c>
      <c r="D933" s="306">
        <f t="shared" ca="1" si="414"/>
        <v>-0.41881445414326685</v>
      </c>
      <c r="E933" s="307">
        <f t="shared" ca="1" si="415"/>
        <v>7.1333082604175146E-2</v>
      </c>
      <c r="F933" s="304">
        <f t="shared" ca="1" si="416"/>
        <v>0.42484580223080542</v>
      </c>
      <c r="G933" s="306">
        <f t="shared" ca="1" si="417"/>
        <v>4.8927043955043912</v>
      </c>
      <c r="H933" s="307">
        <f t="shared" ca="1" si="418"/>
        <v>-115.4374023756628</v>
      </c>
      <c r="I933" s="304">
        <f t="shared" ca="1" si="419"/>
        <v>115.54104216053474</v>
      </c>
      <c r="J933" s="306">
        <f t="shared" ca="1" si="420"/>
        <v>976.66817413190017</v>
      </c>
      <c r="K933" s="307">
        <f t="shared" ca="1" si="421"/>
        <v>-11.829217409951916</v>
      </c>
      <c r="L933" s="304">
        <f t="shared" ca="1" si="406"/>
        <v>976.73980810995499</v>
      </c>
      <c r="M933" s="306">
        <f t="shared" ca="1" si="422"/>
        <v>-1.5284376312161434</v>
      </c>
      <c r="N933" s="304">
        <f t="shared" ca="1" si="423"/>
        <v>-87.573025517657982</v>
      </c>
      <c r="P933" s="310">
        <f t="shared" ca="1" si="424"/>
        <v>23</v>
      </c>
      <c r="Q933" s="304">
        <f t="shared" ca="1" si="425"/>
        <v>0</v>
      </c>
      <c r="R933" s="306">
        <f t="shared" ca="1" si="426"/>
        <v>0</v>
      </c>
      <c r="S933" s="307">
        <f t="shared" ca="1" si="427"/>
        <v>5.0829999999999913</v>
      </c>
      <c r="T933" s="304">
        <f t="shared" ca="1" si="407"/>
        <v>49.864229999999914</v>
      </c>
      <c r="U933" s="311">
        <f t="shared" ca="1" si="408"/>
        <v>0</v>
      </c>
      <c r="V933" s="306">
        <f t="shared" ca="1" si="409"/>
        <v>1.22644993671355</v>
      </c>
      <c r="W933" s="304">
        <f t="shared" ca="1" si="410"/>
        <v>50.271960784894972</v>
      </c>
      <c r="Y933" s="314" t="str">
        <f t="shared" ca="1" si="428"/>
        <v/>
      </c>
      <c r="Z933" s="315" t="str">
        <f t="shared" ca="1" si="429"/>
        <v/>
      </c>
      <c r="AA933" s="316" t="str">
        <f t="shared" ca="1" si="430"/>
        <v/>
      </c>
      <c r="AC933" s="310" t="e">
        <f t="shared" ca="1" si="431"/>
        <v>#N/A</v>
      </c>
      <c r="AD933" s="323" t="e">
        <f t="shared" ca="1" si="432"/>
        <v>#N/A</v>
      </c>
      <c r="AE933" s="324" t="e">
        <f t="shared" ca="1" si="411"/>
        <v>#N/A</v>
      </c>
      <c r="AG933" s="306">
        <f t="shared" ca="1" si="433"/>
        <v>-8.9004375803465763E-2</v>
      </c>
      <c r="AH933" s="304">
        <f t="shared" ca="1" si="434"/>
        <v>-9.890204701439048</v>
      </c>
    </row>
    <row r="934" spans="1:34" x14ac:dyDescent="0.2">
      <c r="A934" s="347">
        <f t="shared" ca="1" si="412"/>
        <v>1E-4</v>
      </c>
      <c r="B934" s="304">
        <f t="shared" ca="1" si="413"/>
        <v>44.612400000000733</v>
      </c>
      <c r="D934" s="306">
        <f t="shared" ca="1" si="414"/>
        <v>-0.41881132033386353</v>
      </c>
      <c r="E934" s="307">
        <f t="shared" ca="1" si="415"/>
        <v>7.1343117578354764E-2</v>
      </c>
      <c r="F934" s="304">
        <f t="shared" ca="1" si="416"/>
        <v>0.42484439794540424</v>
      </c>
      <c r="G934" s="306">
        <f t="shared" ca="1" si="417"/>
        <v>4.8926625143723577</v>
      </c>
      <c r="H934" s="307">
        <f t="shared" ca="1" si="418"/>
        <v>-115.43739524135104</v>
      </c>
      <c r="I934" s="304">
        <f t="shared" ca="1" si="419"/>
        <v>115.54103325913024</v>
      </c>
      <c r="J934" s="306">
        <f t="shared" ca="1" si="420"/>
        <v>976.66817413190017</v>
      </c>
      <c r="K934" s="307">
        <f t="shared" ca="1" si="421"/>
        <v>-11.840761149832767</v>
      </c>
      <c r="L934" s="304">
        <f t="shared" ca="1" si="406"/>
        <v>976.73994798346769</v>
      </c>
      <c r="M934" s="306">
        <f t="shared" ca="1" si="422"/>
        <v>-1.5284379907546892</v>
      </c>
      <c r="N934" s="304">
        <f t="shared" ca="1" si="423"/>
        <v>-87.573046117699235</v>
      </c>
      <c r="P934" s="310">
        <f t="shared" ca="1" si="424"/>
        <v>23</v>
      </c>
      <c r="Q934" s="304">
        <f t="shared" ca="1" si="425"/>
        <v>0</v>
      </c>
      <c r="R934" s="306">
        <f t="shared" ca="1" si="426"/>
        <v>0</v>
      </c>
      <c r="S934" s="307">
        <f t="shared" ca="1" si="427"/>
        <v>5.0829999999999913</v>
      </c>
      <c r="T934" s="304">
        <f t="shared" ca="1" si="407"/>
        <v>49.864229999999914</v>
      </c>
      <c r="U934" s="311">
        <f t="shared" ca="1" si="408"/>
        <v>0</v>
      </c>
      <c r="V934" s="306">
        <f t="shared" ca="1" si="409"/>
        <v>1.2264513524967677</v>
      </c>
      <c r="W934" s="304">
        <f t="shared" ca="1" si="410"/>
        <v>50.272011071573594</v>
      </c>
      <c r="Y934" s="314" t="str">
        <f t="shared" ca="1" si="428"/>
        <v/>
      </c>
      <c r="Z934" s="315" t="str">
        <f t="shared" ca="1" si="429"/>
        <v/>
      </c>
      <c r="AA934" s="316" t="str">
        <f t="shared" ca="1" si="430"/>
        <v/>
      </c>
      <c r="AC934" s="310" t="e">
        <f t="shared" ca="1" si="431"/>
        <v>#N/A</v>
      </c>
      <c r="AD934" s="323" t="e">
        <f t="shared" ca="1" si="432"/>
        <v>#N/A</v>
      </c>
      <c r="AE934" s="324" t="e">
        <f t="shared" ca="1" si="411"/>
        <v>#N/A</v>
      </c>
      <c r="AG934" s="306">
        <f t="shared" ca="1" si="433"/>
        <v>-8.9014119711864126E-2</v>
      </c>
      <c r="AH934" s="304">
        <f t="shared" ca="1" si="434"/>
        <v>-9.8902145947068778</v>
      </c>
    </row>
    <row r="935" spans="1:34" x14ac:dyDescent="0.2">
      <c r="A935" s="347">
        <f t="shared" ca="1" si="412"/>
        <v>1E-4</v>
      </c>
      <c r="B935" s="304">
        <f t="shared" ca="1" si="413"/>
        <v>44.612500000000736</v>
      </c>
      <c r="D935" s="306">
        <f t="shared" ca="1" si="414"/>
        <v>-0.41880818654048074</v>
      </c>
      <c r="E935" s="307">
        <f t="shared" ca="1" si="415"/>
        <v>7.1353152392701347E-2</v>
      </c>
      <c r="F935" s="304">
        <f t="shared" ca="1" si="416"/>
        <v>0.42484299390445662</v>
      </c>
      <c r="G935" s="306">
        <f t="shared" ca="1" si="417"/>
        <v>4.8926206335537037</v>
      </c>
      <c r="H935" s="307">
        <f t="shared" ca="1" si="418"/>
        <v>-115.4373881060358</v>
      </c>
      <c r="I935" s="304">
        <f t="shared" ca="1" si="419"/>
        <v>115.54102435675135</v>
      </c>
      <c r="J935" s="306">
        <f t="shared" ca="1" si="420"/>
        <v>976.66817413190017</v>
      </c>
      <c r="K935" s="307">
        <f t="shared" ca="1" si="421"/>
        <v>-11.852304889000136</v>
      </c>
      <c r="L935" s="304">
        <f t="shared" ca="1" si="406"/>
        <v>976.74008799338299</v>
      </c>
      <c r="M935" s="306">
        <f t="shared" ca="1" si="422"/>
        <v>-1.5284383502902128</v>
      </c>
      <c r="N935" s="304">
        <f t="shared" ca="1" si="423"/>
        <v>-87.573066717567315</v>
      </c>
      <c r="P935" s="310">
        <f t="shared" ca="1" si="424"/>
        <v>23</v>
      </c>
      <c r="Q935" s="304">
        <f t="shared" ca="1" si="425"/>
        <v>0</v>
      </c>
      <c r="R935" s="306">
        <f t="shared" ca="1" si="426"/>
        <v>0</v>
      </c>
      <c r="S935" s="307">
        <f t="shared" ca="1" si="427"/>
        <v>5.0829999999999913</v>
      </c>
      <c r="T935" s="304">
        <f t="shared" ca="1" si="407"/>
        <v>49.864229999999914</v>
      </c>
      <c r="U935" s="311">
        <f t="shared" ca="1" si="408"/>
        <v>0</v>
      </c>
      <c r="V935" s="306">
        <f t="shared" ca="1" si="409"/>
        <v>1.2264527682815327</v>
      </c>
      <c r="W935" s="304">
        <f t="shared" ca="1" si="410"/>
        <v>50.27206135745044</v>
      </c>
      <c r="Y935" s="314" t="str">
        <f t="shared" ca="1" si="428"/>
        <v/>
      </c>
      <c r="Z935" s="315" t="str">
        <f t="shared" ca="1" si="429"/>
        <v/>
      </c>
      <c r="AA935" s="316" t="str">
        <f t="shared" ca="1" si="430"/>
        <v/>
      </c>
      <c r="AC935" s="310" t="e">
        <f t="shared" ca="1" si="431"/>
        <v>#N/A</v>
      </c>
      <c r="AD935" s="323" t="e">
        <f t="shared" ca="1" si="432"/>
        <v>#N/A</v>
      </c>
      <c r="AE935" s="324" t="e">
        <f t="shared" ca="1" si="411"/>
        <v>#N/A</v>
      </c>
      <c r="AG935" s="306">
        <f t="shared" ca="1" si="433"/>
        <v>-8.9023863465051534E-2</v>
      </c>
      <c r="AH935" s="304">
        <f t="shared" ca="1" si="434"/>
        <v>-9.8902244878169743</v>
      </c>
    </row>
    <row r="936" spans="1:34" x14ac:dyDescent="0.2">
      <c r="A936" s="347">
        <f t="shared" ca="1" si="412"/>
        <v>1E-4</v>
      </c>
      <c r="B936" s="304">
        <f t="shared" ca="1" si="413"/>
        <v>44.612600000000739</v>
      </c>
      <c r="D936" s="306">
        <f t="shared" ca="1" si="414"/>
        <v>-0.41880505276312086</v>
      </c>
      <c r="E936" s="307">
        <f t="shared" ca="1" si="415"/>
        <v>7.1363187047213117E-2</v>
      </c>
      <c r="F936" s="304">
        <f t="shared" ca="1" si="416"/>
        <v>0.42484159010795541</v>
      </c>
      <c r="G936" s="306">
        <f t="shared" ca="1" si="417"/>
        <v>4.8925787530484275</v>
      </c>
      <c r="H936" s="307">
        <f t="shared" ca="1" si="418"/>
        <v>-115.4373809697171</v>
      </c>
      <c r="I936" s="304">
        <f t="shared" ca="1" si="419"/>
        <v>115.54101545339812</v>
      </c>
      <c r="J936" s="306">
        <f t="shared" ca="1" si="420"/>
        <v>976.66817413190017</v>
      </c>
      <c r="K936" s="307">
        <f t="shared" ca="1" si="421"/>
        <v>-11.863848627453924</v>
      </c>
      <c r="L936" s="304">
        <f t="shared" ca="1" si="406"/>
        <v>976.74022813970089</v>
      </c>
      <c r="M936" s="306">
        <f t="shared" ca="1" si="422"/>
        <v>-1.5284387098227141</v>
      </c>
      <c r="N936" s="304">
        <f t="shared" ca="1" si="423"/>
        <v>-87.573087317262235</v>
      </c>
      <c r="P936" s="310">
        <f t="shared" ca="1" si="424"/>
        <v>23</v>
      </c>
      <c r="Q936" s="304">
        <f t="shared" ca="1" si="425"/>
        <v>0</v>
      </c>
      <c r="R936" s="306">
        <f t="shared" ca="1" si="426"/>
        <v>0</v>
      </c>
      <c r="S936" s="307">
        <f t="shared" ca="1" si="427"/>
        <v>5.0829999999999913</v>
      </c>
      <c r="T936" s="304">
        <f t="shared" ca="1" si="407"/>
        <v>49.864229999999914</v>
      </c>
      <c r="U936" s="311">
        <f t="shared" ca="1" si="408"/>
        <v>0</v>
      </c>
      <c r="V936" s="306">
        <f t="shared" ca="1" si="409"/>
        <v>1.226454184067846</v>
      </c>
      <c r="W936" s="304">
        <f t="shared" ca="1" si="410"/>
        <v>50.27211164252558</v>
      </c>
      <c r="Y936" s="314" t="str">
        <f t="shared" ca="1" si="428"/>
        <v/>
      </c>
      <c r="Z936" s="315" t="str">
        <f t="shared" ca="1" si="429"/>
        <v/>
      </c>
      <c r="AA936" s="316" t="str">
        <f t="shared" ca="1" si="430"/>
        <v/>
      </c>
      <c r="AC936" s="310" t="e">
        <f t="shared" ca="1" si="431"/>
        <v>#N/A</v>
      </c>
      <c r="AD936" s="323" t="e">
        <f t="shared" ca="1" si="432"/>
        <v>#N/A</v>
      </c>
      <c r="AE936" s="324" t="e">
        <f t="shared" ca="1" si="411"/>
        <v>#N/A</v>
      </c>
      <c r="AG936" s="306">
        <f t="shared" ca="1" si="433"/>
        <v>-8.9033607063022657E-2</v>
      </c>
      <c r="AH936" s="304">
        <f t="shared" ca="1" si="434"/>
        <v>-9.8902343807693338</v>
      </c>
    </row>
    <row r="937" spans="1:34" x14ac:dyDescent="0.2">
      <c r="A937" s="347">
        <f t="shared" ca="1" si="412"/>
        <v>1E-4</v>
      </c>
      <c r="B937" s="304">
        <f t="shared" ca="1" si="413"/>
        <v>44.612700000000743</v>
      </c>
      <c r="D937" s="306">
        <f t="shared" ca="1" si="414"/>
        <v>-0.41880191900178465</v>
      </c>
      <c r="E937" s="307">
        <f t="shared" ca="1" si="415"/>
        <v>7.1373221541898957E-2</v>
      </c>
      <c r="F937" s="304">
        <f t="shared" ca="1" si="416"/>
        <v>0.42484018655589351</v>
      </c>
      <c r="G937" s="306">
        <f t="shared" ca="1" si="417"/>
        <v>4.8925368728565273</v>
      </c>
      <c r="H937" s="307">
        <f t="shared" ca="1" si="418"/>
        <v>-115.43737383239494</v>
      </c>
      <c r="I937" s="304">
        <f t="shared" ca="1" si="419"/>
        <v>115.54100654907053</v>
      </c>
      <c r="J937" s="306">
        <f t="shared" ca="1" si="420"/>
        <v>976.66817413190017</v>
      </c>
      <c r="K937" s="307">
        <f t="shared" ca="1" si="421"/>
        <v>-11.875392365194029</v>
      </c>
      <c r="L937" s="304">
        <f t="shared" ca="1" si="406"/>
        <v>976.74036842242117</v>
      </c>
      <c r="M937" s="306">
        <f t="shared" ca="1" si="422"/>
        <v>-1.5284390693521934</v>
      </c>
      <c r="N937" s="304">
        <f t="shared" ca="1" si="423"/>
        <v>-87.573107916784011</v>
      </c>
      <c r="P937" s="310">
        <f t="shared" ca="1" si="424"/>
        <v>23</v>
      </c>
      <c r="Q937" s="304">
        <f t="shared" ca="1" si="425"/>
        <v>0</v>
      </c>
      <c r="R937" s="306">
        <f t="shared" ca="1" si="426"/>
        <v>0</v>
      </c>
      <c r="S937" s="307">
        <f t="shared" ca="1" si="427"/>
        <v>5.0829999999999913</v>
      </c>
      <c r="T937" s="304">
        <f t="shared" ca="1" si="407"/>
        <v>49.864229999999914</v>
      </c>
      <c r="U937" s="311">
        <f t="shared" ca="1" si="408"/>
        <v>0</v>
      </c>
      <c r="V937" s="306">
        <f t="shared" ca="1" si="409"/>
        <v>1.226455599855707</v>
      </c>
      <c r="W937" s="304">
        <f t="shared" ca="1" si="410"/>
        <v>50.272161926798979</v>
      </c>
      <c r="Y937" s="314" t="str">
        <f t="shared" ca="1" si="428"/>
        <v/>
      </c>
      <c r="Z937" s="315" t="str">
        <f t="shared" ca="1" si="429"/>
        <v/>
      </c>
      <c r="AA937" s="316" t="str">
        <f t="shared" ca="1" si="430"/>
        <v/>
      </c>
      <c r="AC937" s="310" t="e">
        <f t="shared" ca="1" si="431"/>
        <v>#N/A</v>
      </c>
      <c r="AD937" s="323" t="e">
        <f t="shared" ca="1" si="432"/>
        <v>#N/A</v>
      </c>
      <c r="AE937" s="324" t="e">
        <f t="shared" ca="1" si="411"/>
        <v>#N/A</v>
      </c>
      <c r="AG937" s="306">
        <f t="shared" ca="1" si="433"/>
        <v>-8.904335050579526E-2</v>
      </c>
      <c r="AH937" s="304">
        <f t="shared" ca="1" si="434"/>
        <v>-9.8902442735639706</v>
      </c>
    </row>
    <row r="938" spans="1:34" x14ac:dyDescent="0.2">
      <c r="A938" s="347">
        <f t="shared" ca="1" si="412"/>
        <v>1E-4</v>
      </c>
      <c r="B938" s="304">
        <f t="shared" ca="1" si="413"/>
        <v>44.612800000000746</v>
      </c>
      <c r="D938" s="306">
        <f t="shared" ca="1" si="414"/>
        <v>-0.41879878525647002</v>
      </c>
      <c r="E938" s="307">
        <f t="shared" ca="1" si="415"/>
        <v>7.138325587675709E-2</v>
      </c>
      <c r="F938" s="304">
        <f t="shared" ca="1" si="416"/>
        <v>0.42483878324825936</v>
      </c>
      <c r="G938" s="306">
        <f t="shared" ca="1" si="417"/>
        <v>4.8924949929780013</v>
      </c>
      <c r="H938" s="307">
        <f t="shared" ca="1" si="418"/>
        <v>-115.43736669406935</v>
      </c>
      <c r="I938" s="304">
        <f t="shared" ca="1" si="419"/>
        <v>115.54099764376862</v>
      </c>
      <c r="J938" s="306">
        <f t="shared" ca="1" si="420"/>
        <v>976.66817413190017</v>
      </c>
      <c r="K938" s="307">
        <f t="shared" ca="1" si="421"/>
        <v>-11.886936102220353</v>
      </c>
      <c r="L938" s="304">
        <f t="shared" ca="1" si="406"/>
        <v>976.74050884154383</v>
      </c>
      <c r="M938" s="306">
        <f t="shared" ca="1" si="422"/>
        <v>-1.5284394288786505</v>
      </c>
      <c r="N938" s="304">
        <f t="shared" ca="1" si="423"/>
        <v>-87.573128516132627</v>
      </c>
      <c r="P938" s="310">
        <f t="shared" ca="1" si="424"/>
        <v>23</v>
      </c>
      <c r="Q938" s="304">
        <f t="shared" ca="1" si="425"/>
        <v>0</v>
      </c>
      <c r="R938" s="306">
        <f t="shared" ca="1" si="426"/>
        <v>0</v>
      </c>
      <c r="S938" s="307">
        <f t="shared" ca="1" si="427"/>
        <v>5.0829999999999913</v>
      </c>
      <c r="T938" s="304">
        <f t="shared" ca="1" si="407"/>
        <v>49.864229999999914</v>
      </c>
      <c r="U938" s="311">
        <f t="shared" ca="1" si="408"/>
        <v>0</v>
      </c>
      <c r="V938" s="306">
        <f t="shared" ca="1" si="409"/>
        <v>1.2264570156451156</v>
      </c>
      <c r="W938" s="304">
        <f t="shared" ca="1" si="410"/>
        <v>50.272212210270666</v>
      </c>
      <c r="Y938" s="314" t="str">
        <f t="shared" ca="1" si="428"/>
        <v/>
      </c>
      <c r="Z938" s="315" t="str">
        <f t="shared" ca="1" si="429"/>
        <v/>
      </c>
      <c r="AA938" s="316" t="str">
        <f t="shared" ca="1" si="430"/>
        <v/>
      </c>
      <c r="AC938" s="310" t="e">
        <f t="shared" ca="1" si="431"/>
        <v>#N/A</v>
      </c>
      <c r="AD938" s="323" t="e">
        <f t="shared" ca="1" si="432"/>
        <v>#N/A</v>
      </c>
      <c r="AE938" s="324" t="e">
        <f t="shared" ca="1" si="411"/>
        <v>#N/A</v>
      </c>
      <c r="AG938" s="306">
        <f t="shared" ca="1" si="433"/>
        <v>-8.905309379336046E-2</v>
      </c>
      <c r="AH938" s="304">
        <f t="shared" ca="1" si="434"/>
        <v>-9.8902541662008794</v>
      </c>
    </row>
    <row r="939" spans="1:34" x14ac:dyDescent="0.2">
      <c r="A939" s="347">
        <f t="shared" ca="1" si="412"/>
        <v>1E-4</v>
      </c>
      <c r="B939" s="304">
        <f t="shared" ca="1" si="413"/>
        <v>44.612900000000749</v>
      </c>
      <c r="D939" s="306">
        <f t="shared" ca="1" si="414"/>
        <v>-0.4187956515271794</v>
      </c>
      <c r="E939" s="307">
        <f t="shared" ca="1" si="415"/>
        <v>7.1393290051789293E-2</v>
      </c>
      <c r="F939" s="304">
        <f t="shared" ca="1" si="416"/>
        <v>0.4248373801850463</v>
      </c>
      <c r="G939" s="306">
        <f t="shared" ca="1" si="417"/>
        <v>4.8924531134128486</v>
      </c>
      <c r="H939" s="307">
        <f t="shared" ca="1" si="418"/>
        <v>-115.43735955474035</v>
      </c>
      <c r="I939" s="304">
        <f t="shared" ca="1" si="419"/>
        <v>115.54098873749241</v>
      </c>
      <c r="J939" s="306">
        <f t="shared" ca="1" si="420"/>
        <v>976.66817413190017</v>
      </c>
      <c r="K939" s="307">
        <f t="shared" ca="1" si="421"/>
        <v>-11.898479838532793</v>
      </c>
      <c r="L939" s="304">
        <f t="shared" ca="1" si="406"/>
        <v>976.74064939706875</v>
      </c>
      <c r="M939" s="306">
        <f t="shared" ca="1" si="422"/>
        <v>-1.5284397884020853</v>
      </c>
      <c r="N939" s="304">
        <f t="shared" ca="1" si="423"/>
        <v>-87.573149115308084</v>
      </c>
      <c r="P939" s="310">
        <f t="shared" ca="1" si="424"/>
        <v>23</v>
      </c>
      <c r="Q939" s="304">
        <f t="shared" ca="1" si="425"/>
        <v>0</v>
      </c>
      <c r="R939" s="306">
        <f t="shared" ca="1" si="426"/>
        <v>0</v>
      </c>
      <c r="S939" s="307">
        <f t="shared" ca="1" si="427"/>
        <v>5.0829999999999913</v>
      </c>
      <c r="T939" s="304">
        <f t="shared" ca="1" si="407"/>
        <v>49.864229999999914</v>
      </c>
      <c r="U939" s="311">
        <f t="shared" ca="1" si="408"/>
        <v>0</v>
      </c>
      <c r="V939" s="306">
        <f t="shared" ca="1" si="409"/>
        <v>1.226458431436072</v>
      </c>
      <c r="W939" s="304">
        <f t="shared" ca="1" si="410"/>
        <v>50.272262492940669</v>
      </c>
      <c r="Y939" s="314" t="str">
        <f t="shared" ca="1" si="428"/>
        <v/>
      </c>
      <c r="Z939" s="315" t="str">
        <f t="shared" ca="1" si="429"/>
        <v/>
      </c>
      <c r="AA939" s="316" t="str">
        <f t="shared" ca="1" si="430"/>
        <v/>
      </c>
      <c r="AC939" s="310" t="e">
        <f t="shared" ca="1" si="431"/>
        <v>#N/A</v>
      </c>
      <c r="AD939" s="323" t="e">
        <f t="shared" ca="1" si="432"/>
        <v>#N/A</v>
      </c>
      <c r="AE939" s="324" t="e">
        <f t="shared" ca="1" si="411"/>
        <v>#N/A</v>
      </c>
      <c r="AG939" s="306">
        <f t="shared" ca="1" si="433"/>
        <v>-8.9062836925721811E-2</v>
      </c>
      <c r="AH939" s="304">
        <f t="shared" ca="1" si="434"/>
        <v>-9.8902640586800619</v>
      </c>
    </row>
    <row r="940" spans="1:34" x14ac:dyDescent="0.2">
      <c r="A940" s="347">
        <f t="shared" ca="1" si="412"/>
        <v>1E-4</v>
      </c>
      <c r="B940" s="304">
        <f t="shared" ca="1" si="413"/>
        <v>44.613000000000753</v>
      </c>
      <c r="D940" s="306">
        <f t="shared" ca="1" si="414"/>
        <v>-0.41879251781391347</v>
      </c>
      <c r="E940" s="307">
        <f t="shared" ca="1" si="415"/>
        <v>7.1403324067000895E-2</v>
      </c>
      <c r="F940" s="304">
        <f t="shared" ca="1" si="416"/>
        <v>0.42483597736624684</v>
      </c>
      <c r="G940" s="306">
        <f t="shared" ca="1" si="417"/>
        <v>4.8924112341610675</v>
      </c>
      <c r="H940" s="307">
        <f t="shared" ca="1" si="418"/>
        <v>-115.43735241440795</v>
      </c>
      <c r="I940" s="304">
        <f t="shared" ca="1" si="419"/>
        <v>115.54097983024188</v>
      </c>
      <c r="J940" s="306">
        <f t="shared" ca="1" si="420"/>
        <v>976.66817413190017</v>
      </c>
      <c r="K940" s="307">
        <f t="shared" ca="1" si="421"/>
        <v>-11.910023574131252</v>
      </c>
      <c r="L940" s="304">
        <f t="shared" ca="1" si="406"/>
        <v>976.74079008899594</v>
      </c>
      <c r="M940" s="306">
        <f t="shared" ca="1" si="422"/>
        <v>-1.5284401479224983</v>
      </c>
      <c r="N940" s="304">
        <f t="shared" ca="1" si="423"/>
        <v>-87.573169714310396</v>
      </c>
      <c r="P940" s="310">
        <f t="shared" ca="1" si="424"/>
        <v>23</v>
      </c>
      <c r="Q940" s="304">
        <f t="shared" ca="1" si="425"/>
        <v>0</v>
      </c>
      <c r="R940" s="306">
        <f t="shared" ca="1" si="426"/>
        <v>0</v>
      </c>
      <c r="S940" s="307">
        <f t="shared" ca="1" si="427"/>
        <v>5.0829999999999913</v>
      </c>
      <c r="T940" s="304">
        <f t="shared" ca="1" si="407"/>
        <v>49.864229999999914</v>
      </c>
      <c r="U940" s="311">
        <f t="shared" ca="1" si="408"/>
        <v>0</v>
      </c>
      <c r="V940" s="306">
        <f t="shared" ca="1" si="409"/>
        <v>1.2264598472285764</v>
      </c>
      <c r="W940" s="304">
        <f t="shared" ca="1" si="410"/>
        <v>50.272312774808952</v>
      </c>
      <c r="Y940" s="314" t="str">
        <f t="shared" ca="1" si="428"/>
        <v/>
      </c>
      <c r="Z940" s="315" t="str">
        <f t="shared" ca="1" si="429"/>
        <v/>
      </c>
      <c r="AA940" s="316" t="str">
        <f t="shared" ca="1" si="430"/>
        <v/>
      </c>
      <c r="AC940" s="310" t="e">
        <f t="shared" ca="1" si="431"/>
        <v>#N/A</v>
      </c>
      <c r="AD940" s="323" t="e">
        <f t="shared" ca="1" si="432"/>
        <v>#N/A</v>
      </c>
      <c r="AE940" s="324" t="e">
        <f t="shared" ca="1" si="411"/>
        <v>#N/A</v>
      </c>
      <c r="AG940" s="306">
        <f t="shared" ca="1" si="433"/>
        <v>-8.9072579902888194E-2</v>
      </c>
      <c r="AH940" s="304">
        <f t="shared" ca="1" si="434"/>
        <v>-9.8902739510015252</v>
      </c>
    </row>
    <row r="941" spans="1:34" x14ac:dyDescent="0.2">
      <c r="A941" s="347">
        <f t="shared" ca="1" si="412"/>
        <v>1E-4</v>
      </c>
      <c r="B941" s="304">
        <f t="shared" ca="1" si="413"/>
        <v>44.613100000000756</v>
      </c>
      <c r="D941" s="306">
        <f t="shared" ca="1" si="414"/>
        <v>-0.41878938411666788</v>
      </c>
      <c r="E941" s="307">
        <f t="shared" ca="1" si="415"/>
        <v>7.1413357922390119E-2</v>
      </c>
      <c r="F941" s="304">
        <f t="shared" ca="1" si="416"/>
        <v>0.42483457479184694</v>
      </c>
      <c r="G941" s="306">
        <f t="shared" ca="1" si="417"/>
        <v>4.8923693552226561</v>
      </c>
      <c r="H941" s="307">
        <f t="shared" ca="1" si="418"/>
        <v>-115.43734527307217</v>
      </c>
      <c r="I941" s="304">
        <f t="shared" ca="1" si="419"/>
        <v>115.54097092201708</v>
      </c>
      <c r="J941" s="306">
        <f t="shared" ca="1" si="420"/>
        <v>976.66817413190017</v>
      </c>
      <c r="K941" s="307">
        <f t="shared" ca="1" si="421"/>
        <v>-11.921567309015625</v>
      </c>
      <c r="L941" s="304">
        <f t="shared" ca="1" si="406"/>
        <v>976.74093091732527</v>
      </c>
      <c r="M941" s="306">
        <f t="shared" ca="1" si="422"/>
        <v>-1.528440507439889</v>
      </c>
      <c r="N941" s="304">
        <f t="shared" ca="1" si="423"/>
        <v>-87.573190313139548</v>
      </c>
      <c r="P941" s="310">
        <f t="shared" ca="1" si="424"/>
        <v>23</v>
      </c>
      <c r="Q941" s="304">
        <f t="shared" ca="1" si="425"/>
        <v>0</v>
      </c>
      <c r="R941" s="306">
        <f t="shared" ca="1" si="426"/>
        <v>0</v>
      </c>
      <c r="S941" s="307">
        <f t="shared" ca="1" si="427"/>
        <v>5.0829999999999913</v>
      </c>
      <c r="T941" s="304">
        <f t="shared" ca="1" si="407"/>
        <v>49.864229999999914</v>
      </c>
      <c r="U941" s="311">
        <f t="shared" ca="1" si="408"/>
        <v>0</v>
      </c>
      <c r="V941" s="306">
        <f t="shared" ca="1" si="409"/>
        <v>1.2264612630226284</v>
      </c>
      <c r="W941" s="304">
        <f t="shared" ca="1" si="410"/>
        <v>50.272363055875566</v>
      </c>
      <c r="Y941" s="314" t="str">
        <f t="shared" ca="1" si="428"/>
        <v/>
      </c>
      <c r="Z941" s="315" t="str">
        <f t="shared" ca="1" si="429"/>
        <v/>
      </c>
      <c r="AA941" s="316" t="str">
        <f t="shared" ca="1" si="430"/>
        <v/>
      </c>
      <c r="AC941" s="310" t="e">
        <f t="shared" ca="1" si="431"/>
        <v>#N/A</v>
      </c>
      <c r="AD941" s="323" t="e">
        <f t="shared" ca="1" si="432"/>
        <v>#N/A</v>
      </c>
      <c r="AE941" s="324" t="e">
        <f t="shared" ca="1" si="411"/>
        <v>#N/A</v>
      </c>
      <c r="AG941" s="306">
        <f t="shared" ca="1" si="433"/>
        <v>-8.9082322724850727E-2</v>
      </c>
      <c r="AH941" s="304">
        <f t="shared" ca="1" si="434"/>
        <v>-9.890283843165264</v>
      </c>
    </row>
    <row r="942" spans="1:34" x14ac:dyDescent="0.2">
      <c r="A942" s="347">
        <f t="shared" ca="1" si="412"/>
        <v>1E-4</v>
      </c>
      <c r="B942" s="304">
        <f t="shared" ca="1" si="413"/>
        <v>44.613200000000759</v>
      </c>
      <c r="D942" s="306">
        <f t="shared" ca="1" si="414"/>
        <v>-0.41878625043544765</v>
      </c>
      <c r="E942" s="307">
        <f t="shared" ca="1" si="415"/>
        <v>7.1423391617962295E-2</v>
      </c>
      <c r="F942" s="304">
        <f t="shared" ca="1" si="416"/>
        <v>0.42483317246184327</v>
      </c>
      <c r="G942" s="306">
        <f t="shared" ca="1" si="417"/>
        <v>4.8923274765976128</v>
      </c>
      <c r="H942" s="307">
        <f t="shared" ca="1" si="418"/>
        <v>-115.43733813073301</v>
      </c>
      <c r="I942" s="304">
        <f t="shared" ca="1" si="419"/>
        <v>115.54096201281803</v>
      </c>
      <c r="J942" s="306">
        <f t="shared" ca="1" si="420"/>
        <v>976.66817413190017</v>
      </c>
      <c r="K942" s="307">
        <f t="shared" ca="1" si="421"/>
        <v>-11.933111043185816</v>
      </c>
      <c r="L942" s="304">
        <f t="shared" ca="1" si="406"/>
        <v>976.74107188205653</v>
      </c>
      <c r="M942" s="306">
        <f t="shared" ca="1" si="422"/>
        <v>-1.5284408669542577</v>
      </c>
      <c r="N942" s="304">
        <f t="shared" ca="1" si="423"/>
        <v>-87.573210911795542</v>
      </c>
      <c r="P942" s="310">
        <f t="shared" ca="1" si="424"/>
        <v>23</v>
      </c>
      <c r="Q942" s="304">
        <f t="shared" ca="1" si="425"/>
        <v>0</v>
      </c>
      <c r="R942" s="306">
        <f t="shared" ca="1" si="426"/>
        <v>0</v>
      </c>
      <c r="S942" s="307">
        <f t="shared" ca="1" si="427"/>
        <v>5.0829999999999913</v>
      </c>
      <c r="T942" s="304">
        <f t="shared" ca="1" si="407"/>
        <v>49.864229999999914</v>
      </c>
      <c r="U942" s="311">
        <f t="shared" ca="1" si="408"/>
        <v>0</v>
      </c>
      <c r="V942" s="306">
        <f t="shared" ca="1" si="409"/>
        <v>1.2264626788182282</v>
      </c>
      <c r="W942" s="304">
        <f t="shared" ca="1" si="410"/>
        <v>50.272413336140524</v>
      </c>
      <c r="Y942" s="314" t="str">
        <f t="shared" ca="1" si="428"/>
        <v/>
      </c>
      <c r="Z942" s="315" t="str">
        <f t="shared" ca="1" si="429"/>
        <v/>
      </c>
      <c r="AA942" s="316" t="str">
        <f t="shared" ca="1" si="430"/>
        <v/>
      </c>
      <c r="AC942" s="310" t="e">
        <f t="shared" ca="1" si="431"/>
        <v>#N/A</v>
      </c>
      <c r="AD942" s="323" t="e">
        <f t="shared" ca="1" si="432"/>
        <v>#N/A</v>
      </c>
      <c r="AE942" s="324" t="e">
        <f t="shared" ca="1" si="411"/>
        <v>#N/A</v>
      </c>
      <c r="AG942" s="306">
        <f t="shared" ca="1" si="433"/>
        <v>-8.9092065391618291E-2</v>
      </c>
      <c r="AH942" s="304">
        <f t="shared" ca="1" si="434"/>
        <v>-9.8902937351712872</v>
      </c>
    </row>
    <row r="943" spans="1:34" x14ac:dyDescent="0.2">
      <c r="A943" s="347">
        <f t="shared" ca="1" si="412"/>
        <v>1E-4</v>
      </c>
      <c r="B943" s="304">
        <f t="shared" ca="1" si="413"/>
        <v>44.613300000000763</v>
      </c>
      <c r="D943" s="306">
        <f t="shared" ca="1" si="414"/>
        <v>-0.41878311677025082</v>
      </c>
      <c r="E943" s="307">
        <f t="shared" ca="1" si="415"/>
        <v>7.1433425153719199E-2</v>
      </c>
      <c r="F943" s="304">
        <f t="shared" ca="1" si="416"/>
        <v>0.42483177037622494</v>
      </c>
      <c r="G943" s="306">
        <f t="shared" ca="1" si="417"/>
        <v>4.8922855982859357</v>
      </c>
      <c r="H943" s="307">
        <f t="shared" ca="1" si="418"/>
        <v>-115.4373309873905</v>
      </c>
      <c r="I943" s="304">
        <f t="shared" ca="1" si="419"/>
        <v>115.54095310264469</v>
      </c>
      <c r="J943" s="306">
        <f t="shared" ca="1" si="420"/>
        <v>976.66817413190017</v>
      </c>
      <c r="K943" s="307">
        <f t="shared" ca="1" si="421"/>
        <v>-11.944654776641721</v>
      </c>
      <c r="L943" s="304">
        <f t="shared" ca="1" si="406"/>
        <v>976.74121298318983</v>
      </c>
      <c r="M943" s="306">
        <f t="shared" ca="1" si="422"/>
        <v>-1.5284412264656047</v>
      </c>
      <c r="N943" s="304">
        <f t="shared" ca="1" si="423"/>
        <v>-87.573231510278404</v>
      </c>
      <c r="P943" s="310">
        <f t="shared" ca="1" si="424"/>
        <v>23</v>
      </c>
      <c r="Q943" s="304">
        <f t="shared" ca="1" si="425"/>
        <v>0</v>
      </c>
      <c r="R943" s="306">
        <f t="shared" ca="1" si="426"/>
        <v>0</v>
      </c>
      <c r="S943" s="307">
        <f t="shared" ca="1" si="427"/>
        <v>5.0829999999999913</v>
      </c>
      <c r="T943" s="304">
        <f t="shared" ca="1" si="407"/>
        <v>49.864229999999914</v>
      </c>
      <c r="U943" s="311">
        <f t="shared" ca="1" si="408"/>
        <v>0</v>
      </c>
      <c r="V943" s="306">
        <f t="shared" ca="1" si="409"/>
        <v>1.2264640946153758</v>
      </c>
      <c r="W943" s="304">
        <f t="shared" ca="1" si="410"/>
        <v>50.272463615603776</v>
      </c>
      <c r="Y943" s="314" t="str">
        <f t="shared" ca="1" si="428"/>
        <v/>
      </c>
      <c r="Z943" s="315" t="str">
        <f t="shared" ca="1" si="429"/>
        <v/>
      </c>
      <c r="AA943" s="316" t="str">
        <f t="shared" ca="1" si="430"/>
        <v/>
      </c>
      <c r="AC943" s="310" t="e">
        <f t="shared" ca="1" si="431"/>
        <v>#N/A</v>
      </c>
      <c r="AD943" s="323" t="e">
        <f t="shared" ca="1" si="432"/>
        <v>#N/A</v>
      </c>
      <c r="AE943" s="324" t="e">
        <f t="shared" ca="1" si="411"/>
        <v>#N/A</v>
      </c>
      <c r="AG943" s="306">
        <f t="shared" ca="1" si="433"/>
        <v>-8.9101807903196217E-2</v>
      </c>
      <c r="AH943" s="304">
        <f t="shared" ca="1" si="434"/>
        <v>-9.8903036270195965</v>
      </c>
    </row>
    <row r="944" spans="1:34" x14ac:dyDescent="0.2">
      <c r="A944" s="347">
        <f t="shared" ca="1" si="412"/>
        <v>1E-4</v>
      </c>
      <c r="B944" s="304">
        <f t="shared" ca="1" si="413"/>
        <v>44.613400000000766</v>
      </c>
      <c r="D944" s="306">
        <f t="shared" ca="1" si="414"/>
        <v>-0.41877998312107517</v>
      </c>
      <c r="E944" s="307">
        <f t="shared" ca="1" si="415"/>
        <v>7.1443458529655501E-2</v>
      </c>
      <c r="F944" s="304">
        <f t="shared" ca="1" si="416"/>
        <v>0.42483036853497963</v>
      </c>
      <c r="G944" s="306">
        <f t="shared" ca="1" si="417"/>
        <v>4.8922437202876239</v>
      </c>
      <c r="H944" s="307">
        <f t="shared" ca="1" si="418"/>
        <v>-115.43732384304464</v>
      </c>
      <c r="I944" s="304">
        <f t="shared" ca="1" si="419"/>
        <v>115.54094419149715</v>
      </c>
      <c r="J944" s="306">
        <f t="shared" ca="1" si="420"/>
        <v>976.66817413190017</v>
      </c>
      <c r="K944" s="307">
        <f t="shared" ca="1" si="421"/>
        <v>-11.956198509383244</v>
      </c>
      <c r="L944" s="304">
        <f t="shared" ca="1" si="406"/>
        <v>976.74135422072482</v>
      </c>
      <c r="M944" s="306">
        <f t="shared" ca="1" si="422"/>
        <v>-1.5284415859739295</v>
      </c>
      <c r="N944" s="304">
        <f t="shared" ca="1" si="423"/>
        <v>-87.573252108588122</v>
      </c>
      <c r="P944" s="310">
        <f t="shared" ca="1" si="424"/>
        <v>23</v>
      </c>
      <c r="Q944" s="304">
        <f t="shared" ca="1" si="425"/>
        <v>0</v>
      </c>
      <c r="R944" s="306">
        <f t="shared" ca="1" si="426"/>
        <v>0</v>
      </c>
      <c r="S944" s="307">
        <f t="shared" ca="1" si="427"/>
        <v>5.0829999999999913</v>
      </c>
      <c r="T944" s="304">
        <f t="shared" ca="1" si="407"/>
        <v>49.864229999999914</v>
      </c>
      <c r="U944" s="311">
        <f t="shared" ca="1" si="408"/>
        <v>0</v>
      </c>
      <c r="V944" s="306">
        <f t="shared" ca="1" si="409"/>
        <v>1.2264655104140707</v>
      </c>
      <c r="W944" s="304">
        <f t="shared" ca="1" si="410"/>
        <v>50.272513894265394</v>
      </c>
      <c r="Y944" s="314" t="str">
        <f t="shared" ca="1" si="428"/>
        <v/>
      </c>
      <c r="Z944" s="315" t="str">
        <f t="shared" ca="1" si="429"/>
        <v/>
      </c>
      <c r="AA944" s="316" t="str">
        <f t="shared" ca="1" si="430"/>
        <v/>
      </c>
      <c r="AC944" s="310" t="e">
        <f t="shared" ca="1" si="431"/>
        <v>#N/A</v>
      </c>
      <c r="AD944" s="323" t="e">
        <f t="shared" ca="1" si="432"/>
        <v>#N/A</v>
      </c>
      <c r="AE944" s="324" t="e">
        <f t="shared" ca="1" si="411"/>
        <v>#N/A</v>
      </c>
      <c r="AG944" s="306">
        <f t="shared" ca="1" si="433"/>
        <v>-8.9111550259573846E-2</v>
      </c>
      <c r="AH944" s="304">
        <f t="shared" ca="1" si="434"/>
        <v>-9.8903135187101832</v>
      </c>
    </row>
    <row r="945" spans="1:34" x14ac:dyDescent="0.2">
      <c r="A945" s="347">
        <f t="shared" ca="1" si="412"/>
        <v>1E-4</v>
      </c>
      <c r="B945" s="304">
        <f t="shared" ca="1" si="413"/>
        <v>44.613500000000769</v>
      </c>
      <c r="D945" s="306">
        <f t="shared" ca="1" si="414"/>
        <v>-0.41877684948792371</v>
      </c>
      <c r="E945" s="307">
        <f t="shared" ca="1" si="415"/>
        <v>7.1453491745781861E-2</v>
      </c>
      <c r="F945" s="304">
        <f t="shared" ca="1" si="416"/>
        <v>0.42482896693810274</v>
      </c>
      <c r="G945" s="306">
        <f t="shared" ca="1" si="417"/>
        <v>4.8922018426026748</v>
      </c>
      <c r="H945" s="307">
        <f t="shared" ca="1" si="418"/>
        <v>-115.43731669769546</v>
      </c>
      <c r="I945" s="304">
        <f t="shared" ca="1" si="419"/>
        <v>115.54093527937536</v>
      </c>
      <c r="J945" s="306">
        <f t="shared" ca="1" si="420"/>
        <v>976.66817413190017</v>
      </c>
      <c r="K945" s="307">
        <f t="shared" ca="1" si="421"/>
        <v>-11.967742241410281</v>
      </c>
      <c r="L945" s="304">
        <f t="shared" ca="1" si="406"/>
        <v>976.74149559466173</v>
      </c>
      <c r="M945" s="306">
        <f t="shared" ca="1" si="422"/>
        <v>-1.5284419454792324</v>
      </c>
      <c r="N945" s="304">
        <f t="shared" ca="1" si="423"/>
        <v>-87.573272706724694</v>
      </c>
      <c r="P945" s="310">
        <f t="shared" ca="1" si="424"/>
        <v>23</v>
      </c>
      <c r="Q945" s="304">
        <f t="shared" ca="1" si="425"/>
        <v>0</v>
      </c>
      <c r="R945" s="306">
        <f t="shared" ca="1" si="426"/>
        <v>0</v>
      </c>
      <c r="S945" s="307">
        <f t="shared" ca="1" si="427"/>
        <v>5.0829999999999913</v>
      </c>
      <c r="T945" s="304">
        <f t="shared" ca="1" si="407"/>
        <v>49.864229999999914</v>
      </c>
      <c r="U945" s="311">
        <f t="shared" ca="1" si="408"/>
        <v>0</v>
      </c>
      <c r="V945" s="306">
        <f t="shared" ca="1" si="409"/>
        <v>1.2264669262143137</v>
      </c>
      <c r="W945" s="304">
        <f t="shared" ca="1" si="410"/>
        <v>50.272564172125364</v>
      </c>
      <c r="Y945" s="314" t="str">
        <f t="shared" ca="1" si="428"/>
        <v/>
      </c>
      <c r="Z945" s="315" t="str">
        <f t="shared" ca="1" si="429"/>
        <v/>
      </c>
      <c r="AA945" s="316" t="str">
        <f t="shared" ca="1" si="430"/>
        <v/>
      </c>
      <c r="AC945" s="310" t="e">
        <f t="shared" ca="1" si="431"/>
        <v>#N/A</v>
      </c>
      <c r="AD945" s="323" t="e">
        <f t="shared" ca="1" si="432"/>
        <v>#N/A</v>
      </c>
      <c r="AE945" s="324" t="e">
        <f t="shared" ca="1" si="411"/>
        <v>#N/A</v>
      </c>
      <c r="AG945" s="306">
        <f t="shared" ca="1" si="433"/>
        <v>-8.9121292460763613E-2</v>
      </c>
      <c r="AH945" s="304">
        <f t="shared" ca="1" si="434"/>
        <v>-9.8903234102430613</v>
      </c>
    </row>
    <row r="946" spans="1:34" x14ac:dyDescent="0.2">
      <c r="A946" s="347">
        <f t="shared" ca="1" si="412"/>
        <v>1E-4</v>
      </c>
      <c r="B946" s="304">
        <f t="shared" ca="1" si="413"/>
        <v>44.613600000000773</v>
      </c>
      <c r="D946" s="306">
        <f t="shared" ca="1" si="414"/>
        <v>-0.41877371587079659</v>
      </c>
      <c r="E946" s="307">
        <f t="shared" ca="1" si="415"/>
        <v>7.1463524802096501E-2</v>
      </c>
      <c r="F946" s="304">
        <f t="shared" ca="1" si="416"/>
        <v>0.42482756558558499</v>
      </c>
      <c r="G946" s="306">
        <f t="shared" ca="1" si="417"/>
        <v>4.8921599652310874</v>
      </c>
      <c r="H946" s="307">
        <f t="shared" ca="1" si="418"/>
        <v>-115.43730955134299</v>
      </c>
      <c r="I946" s="304">
        <f t="shared" ca="1" si="419"/>
        <v>115.54092636627938</v>
      </c>
      <c r="J946" s="306">
        <f t="shared" ca="1" si="420"/>
        <v>976.66817413190017</v>
      </c>
      <c r="K946" s="307">
        <f t="shared" ca="1" si="421"/>
        <v>-11.979285972722733</v>
      </c>
      <c r="L946" s="304">
        <f t="shared" ca="1" si="406"/>
        <v>976.74163710500022</v>
      </c>
      <c r="M946" s="306">
        <f t="shared" ca="1" si="422"/>
        <v>-1.5284423049815135</v>
      </c>
      <c r="N946" s="304">
        <f t="shared" ca="1" si="423"/>
        <v>-87.573293304688121</v>
      </c>
      <c r="P946" s="310">
        <f t="shared" ca="1" si="424"/>
        <v>23</v>
      </c>
      <c r="Q946" s="304">
        <f t="shared" ca="1" si="425"/>
        <v>0</v>
      </c>
      <c r="R946" s="306">
        <f t="shared" ca="1" si="426"/>
        <v>0</v>
      </c>
      <c r="S946" s="307">
        <f t="shared" ca="1" si="427"/>
        <v>5.0829999999999913</v>
      </c>
      <c r="T946" s="304">
        <f t="shared" ca="1" si="407"/>
        <v>49.864229999999914</v>
      </c>
      <c r="U946" s="311">
        <f t="shared" ca="1" si="408"/>
        <v>0</v>
      </c>
      <c r="V946" s="306">
        <f t="shared" ca="1" si="409"/>
        <v>1.2264683420161047</v>
      </c>
      <c r="W946" s="304">
        <f t="shared" ca="1" si="410"/>
        <v>50.27261444918372</v>
      </c>
      <c r="Y946" s="314" t="str">
        <f t="shared" ca="1" si="428"/>
        <v/>
      </c>
      <c r="Z946" s="315" t="str">
        <f t="shared" ca="1" si="429"/>
        <v/>
      </c>
      <c r="AA946" s="316" t="str">
        <f t="shared" ca="1" si="430"/>
        <v/>
      </c>
      <c r="AC946" s="310" t="e">
        <f t="shared" ca="1" si="431"/>
        <v>#N/A</v>
      </c>
      <c r="AD946" s="323" t="e">
        <f t="shared" ca="1" si="432"/>
        <v>#N/A</v>
      </c>
      <c r="AE946" s="324" t="e">
        <f t="shared" ca="1" si="411"/>
        <v>#N/A</v>
      </c>
      <c r="AG946" s="306">
        <f t="shared" ca="1" si="433"/>
        <v>-8.913103450676374E-2</v>
      </c>
      <c r="AH946" s="304">
        <f t="shared" ca="1" si="434"/>
        <v>-9.8903333016182273</v>
      </c>
    </row>
    <row r="947" spans="1:34" x14ac:dyDescent="0.2">
      <c r="A947" s="347">
        <f t="shared" ca="1" si="412"/>
        <v>1E-4</v>
      </c>
      <c r="B947" s="304">
        <f t="shared" ca="1" si="413"/>
        <v>44.613700000000776</v>
      </c>
      <c r="D947" s="306">
        <f t="shared" ca="1" si="414"/>
        <v>-0.41877058226969216</v>
      </c>
      <c r="E947" s="307">
        <f t="shared" ca="1" si="415"/>
        <v>7.1473557698606527E-2</v>
      </c>
      <c r="F947" s="304">
        <f t="shared" ca="1" si="416"/>
        <v>0.42482616447741661</v>
      </c>
      <c r="G947" s="306">
        <f t="shared" ca="1" si="417"/>
        <v>4.8921180881728601</v>
      </c>
      <c r="H947" s="307">
        <f t="shared" ca="1" si="418"/>
        <v>-115.43730240398722</v>
      </c>
      <c r="I947" s="304">
        <f t="shared" ca="1" si="419"/>
        <v>115.5409174522092</v>
      </c>
      <c r="J947" s="306">
        <f t="shared" ca="1" si="420"/>
        <v>976.66817413190017</v>
      </c>
      <c r="K947" s="307">
        <f t="shared" ca="1" si="421"/>
        <v>-11.9908297033205</v>
      </c>
      <c r="L947" s="304">
        <f t="shared" ca="1" si="406"/>
        <v>976.74177875174041</v>
      </c>
      <c r="M947" s="306">
        <f t="shared" ca="1" si="422"/>
        <v>-1.5284426644807725</v>
      </c>
      <c r="N947" s="304">
        <f t="shared" ca="1" si="423"/>
        <v>-87.573313902478404</v>
      </c>
      <c r="P947" s="310">
        <f t="shared" ca="1" si="424"/>
        <v>23</v>
      </c>
      <c r="Q947" s="304">
        <f t="shared" ca="1" si="425"/>
        <v>0</v>
      </c>
      <c r="R947" s="306">
        <f t="shared" ca="1" si="426"/>
        <v>0</v>
      </c>
      <c r="S947" s="307">
        <f t="shared" ca="1" si="427"/>
        <v>5.0829999999999913</v>
      </c>
      <c r="T947" s="304">
        <f t="shared" ca="1" si="407"/>
        <v>49.864229999999914</v>
      </c>
      <c r="U947" s="311">
        <f t="shared" ca="1" si="408"/>
        <v>0</v>
      </c>
      <c r="V947" s="306">
        <f t="shared" ca="1" si="409"/>
        <v>1.226469757819443</v>
      </c>
      <c r="W947" s="304">
        <f t="shared" ca="1" si="410"/>
        <v>50.272664725440421</v>
      </c>
      <c r="Y947" s="314" t="str">
        <f t="shared" ca="1" si="428"/>
        <v/>
      </c>
      <c r="Z947" s="315" t="str">
        <f t="shared" ca="1" si="429"/>
        <v/>
      </c>
      <c r="AA947" s="316" t="str">
        <f t="shared" ca="1" si="430"/>
        <v/>
      </c>
      <c r="AC947" s="310" t="e">
        <f t="shared" ca="1" si="431"/>
        <v>#N/A</v>
      </c>
      <c r="AD947" s="323" t="e">
        <f t="shared" ca="1" si="432"/>
        <v>#N/A</v>
      </c>
      <c r="AE947" s="324" t="e">
        <f t="shared" ca="1" si="411"/>
        <v>#N/A</v>
      </c>
      <c r="AG947" s="306">
        <f t="shared" ca="1" si="433"/>
        <v>-8.9140776397581334E-2</v>
      </c>
      <c r="AH947" s="304">
        <f t="shared" ca="1" si="434"/>
        <v>-9.8903431928356884</v>
      </c>
    </row>
    <row r="948" spans="1:34" x14ac:dyDescent="0.2">
      <c r="A948" s="347">
        <f t="shared" ca="1" si="412"/>
        <v>1E-4</v>
      </c>
      <c r="B948" s="304">
        <f t="shared" ca="1" si="413"/>
        <v>44.613800000000779</v>
      </c>
      <c r="D948" s="306">
        <f t="shared" ca="1" si="414"/>
        <v>-0.41876744868461263</v>
      </c>
      <c r="E948" s="307">
        <f t="shared" ca="1" si="415"/>
        <v>7.1483590435303057E-2</v>
      </c>
      <c r="F948" s="304">
        <f t="shared" ca="1" si="416"/>
        <v>0.42482476361358906</v>
      </c>
      <c r="G948" s="306">
        <f t="shared" ca="1" si="417"/>
        <v>4.8920762114279919</v>
      </c>
      <c r="H948" s="307">
        <f t="shared" ca="1" si="418"/>
        <v>-115.43729525562817</v>
      </c>
      <c r="I948" s="304">
        <f t="shared" ca="1" si="419"/>
        <v>115.54090853716485</v>
      </c>
      <c r="J948" s="306">
        <f t="shared" ca="1" si="420"/>
        <v>976.66817413190017</v>
      </c>
      <c r="K948" s="307">
        <f t="shared" ca="1" si="421"/>
        <v>-12.002373433203481</v>
      </c>
      <c r="L948" s="304">
        <f t="shared" ca="1" si="406"/>
        <v>976.74192053488207</v>
      </c>
      <c r="M948" s="306">
        <f t="shared" ca="1" si="422"/>
        <v>-1.5284430239770097</v>
      </c>
      <c r="N948" s="304">
        <f t="shared" ca="1" si="423"/>
        <v>-87.573334500095541</v>
      </c>
      <c r="P948" s="310">
        <f t="shared" ca="1" si="424"/>
        <v>23</v>
      </c>
      <c r="Q948" s="304">
        <f t="shared" ca="1" si="425"/>
        <v>0</v>
      </c>
      <c r="R948" s="306">
        <f t="shared" ca="1" si="426"/>
        <v>0</v>
      </c>
      <c r="S948" s="307">
        <f t="shared" ca="1" si="427"/>
        <v>5.0829999999999913</v>
      </c>
      <c r="T948" s="304">
        <f t="shared" ca="1" si="407"/>
        <v>49.864229999999914</v>
      </c>
      <c r="U948" s="311">
        <f t="shared" ca="1" si="408"/>
        <v>0</v>
      </c>
      <c r="V948" s="306">
        <f t="shared" ca="1" si="409"/>
        <v>1.2264711736243286</v>
      </c>
      <c r="W948" s="304">
        <f t="shared" ca="1" si="410"/>
        <v>50.272715000895509</v>
      </c>
      <c r="Y948" s="314" t="str">
        <f t="shared" ca="1" si="428"/>
        <v/>
      </c>
      <c r="Z948" s="315" t="str">
        <f t="shared" ca="1" si="429"/>
        <v/>
      </c>
      <c r="AA948" s="316" t="str">
        <f t="shared" ca="1" si="430"/>
        <v/>
      </c>
      <c r="AC948" s="310" t="e">
        <f t="shared" ca="1" si="431"/>
        <v>#N/A</v>
      </c>
      <c r="AD948" s="323" t="e">
        <f t="shared" ca="1" si="432"/>
        <v>#N/A</v>
      </c>
      <c r="AE948" s="324" t="e">
        <f t="shared" ca="1" si="411"/>
        <v>#N/A</v>
      </c>
      <c r="AG948" s="306">
        <f t="shared" ca="1" si="433"/>
        <v>-8.9150518133209289E-2</v>
      </c>
      <c r="AH948" s="304">
        <f t="shared" ca="1" si="434"/>
        <v>-9.8903530838954374</v>
      </c>
    </row>
    <row r="949" spans="1:34" x14ac:dyDescent="0.2">
      <c r="A949" s="347">
        <f t="shared" ca="1" si="412"/>
        <v>1E-4</v>
      </c>
      <c r="B949" s="304">
        <f t="shared" ca="1" si="413"/>
        <v>44.613900000000783</v>
      </c>
      <c r="D949" s="306">
        <f t="shared" ca="1" si="414"/>
        <v>-0.41876431511555628</v>
      </c>
      <c r="E949" s="307">
        <f t="shared" ca="1" si="415"/>
        <v>7.1493623012194973E-2</v>
      </c>
      <c r="F949" s="304">
        <f t="shared" ca="1" si="416"/>
        <v>0.42482336299409285</v>
      </c>
      <c r="G949" s="306">
        <f t="shared" ca="1" si="417"/>
        <v>4.8920343349964801</v>
      </c>
      <c r="H949" s="307">
        <f t="shared" ca="1" si="418"/>
        <v>-115.43728810626587</v>
      </c>
      <c r="I949" s="304">
        <f t="shared" ca="1" si="419"/>
        <v>115.54089962114635</v>
      </c>
      <c r="J949" s="306">
        <f t="shared" ca="1" si="420"/>
        <v>976.66817413190017</v>
      </c>
      <c r="K949" s="307">
        <f t="shared" ca="1" si="421"/>
        <v>-12.013917162371575</v>
      </c>
      <c r="L949" s="304">
        <f t="shared" ca="1" si="406"/>
        <v>976.74206245442508</v>
      </c>
      <c r="M949" s="306">
        <f t="shared" ca="1" si="422"/>
        <v>-1.5284433834702251</v>
      </c>
      <c r="N949" s="304">
        <f t="shared" ca="1" si="423"/>
        <v>-87.573355097539547</v>
      </c>
      <c r="P949" s="310">
        <f t="shared" ca="1" si="424"/>
        <v>23</v>
      </c>
      <c r="Q949" s="304">
        <f t="shared" ca="1" si="425"/>
        <v>0</v>
      </c>
      <c r="R949" s="306">
        <f t="shared" ca="1" si="426"/>
        <v>0</v>
      </c>
      <c r="S949" s="307">
        <f t="shared" ca="1" si="427"/>
        <v>5.0829999999999913</v>
      </c>
      <c r="T949" s="304">
        <f t="shared" ca="1" si="407"/>
        <v>49.864229999999914</v>
      </c>
      <c r="U949" s="311">
        <f t="shared" ca="1" si="408"/>
        <v>0</v>
      </c>
      <c r="V949" s="306">
        <f t="shared" ca="1" si="409"/>
        <v>1.2264725894307622</v>
      </c>
      <c r="W949" s="304">
        <f t="shared" ca="1" si="410"/>
        <v>50.272765275549013</v>
      </c>
      <c r="Y949" s="314" t="str">
        <f t="shared" ca="1" si="428"/>
        <v/>
      </c>
      <c r="Z949" s="315" t="str">
        <f t="shared" ca="1" si="429"/>
        <v/>
      </c>
      <c r="AA949" s="316" t="str">
        <f t="shared" ca="1" si="430"/>
        <v/>
      </c>
      <c r="AC949" s="310" t="e">
        <f t="shared" ca="1" si="431"/>
        <v>#N/A</v>
      </c>
      <c r="AD949" s="323" t="e">
        <f t="shared" ca="1" si="432"/>
        <v>#N/A</v>
      </c>
      <c r="AE949" s="324" t="e">
        <f t="shared" ca="1" si="411"/>
        <v>#N/A</v>
      </c>
      <c r="AG949" s="306">
        <f t="shared" ca="1" si="433"/>
        <v>-8.916025971365471E-2</v>
      </c>
      <c r="AH949" s="304">
        <f t="shared" ca="1" si="434"/>
        <v>-9.8903629747974815</v>
      </c>
    </row>
    <row r="950" spans="1:34" x14ac:dyDescent="0.2">
      <c r="A950" s="347">
        <f t="shared" ca="1" si="412"/>
        <v>1E-4</v>
      </c>
      <c r="B950" s="304">
        <f t="shared" ca="1" si="413"/>
        <v>44.614000000000786</v>
      </c>
      <c r="D950" s="306">
        <f t="shared" ca="1" si="414"/>
        <v>-0.41876118156252357</v>
      </c>
      <c r="E950" s="307">
        <f t="shared" ca="1" si="415"/>
        <v>7.1503655429287605E-2</v>
      </c>
      <c r="F950" s="304">
        <f t="shared" ca="1" si="416"/>
        <v>0.42482196261892008</v>
      </c>
      <c r="G950" s="306">
        <f t="shared" ca="1" si="417"/>
        <v>4.8919924588783239</v>
      </c>
      <c r="H950" s="307">
        <f t="shared" ca="1" si="418"/>
        <v>-115.43728095590032</v>
      </c>
      <c r="I950" s="304">
        <f t="shared" ca="1" si="419"/>
        <v>115.5408907041537</v>
      </c>
      <c r="J950" s="306">
        <f t="shared" ca="1" si="420"/>
        <v>976.66817413190017</v>
      </c>
      <c r="K950" s="307">
        <f t="shared" ca="1" si="421"/>
        <v>-12.025460890824684</v>
      </c>
      <c r="L950" s="304">
        <f t="shared" ca="1" si="406"/>
        <v>976.74220451036945</v>
      </c>
      <c r="M950" s="306">
        <f t="shared" ca="1" si="422"/>
        <v>-1.5284437429604187</v>
      </c>
      <c r="N950" s="304">
        <f t="shared" ca="1" si="423"/>
        <v>-87.573375694810423</v>
      </c>
      <c r="P950" s="310">
        <f t="shared" ca="1" si="424"/>
        <v>23</v>
      </c>
      <c r="Q950" s="304">
        <f t="shared" ca="1" si="425"/>
        <v>0</v>
      </c>
      <c r="R950" s="306">
        <f t="shared" ca="1" si="426"/>
        <v>0</v>
      </c>
      <c r="S950" s="307">
        <f t="shared" ca="1" si="427"/>
        <v>5.0829999999999913</v>
      </c>
      <c r="T950" s="304">
        <f t="shared" ca="1" si="407"/>
        <v>49.864229999999914</v>
      </c>
      <c r="U950" s="311">
        <f t="shared" ca="1" si="408"/>
        <v>0</v>
      </c>
      <c r="V950" s="306">
        <f t="shared" ca="1" si="409"/>
        <v>1.2264740052387439</v>
      </c>
      <c r="W950" s="304">
        <f t="shared" ca="1" si="410"/>
        <v>50.272815549400931</v>
      </c>
      <c r="Y950" s="314" t="str">
        <f t="shared" ca="1" si="428"/>
        <v/>
      </c>
      <c r="Z950" s="315" t="str">
        <f t="shared" ca="1" si="429"/>
        <v/>
      </c>
      <c r="AA950" s="316" t="str">
        <f t="shared" ca="1" si="430"/>
        <v/>
      </c>
      <c r="AC950" s="310" t="e">
        <f t="shared" ca="1" si="431"/>
        <v>#N/A</v>
      </c>
      <c r="AD950" s="323" t="e">
        <f t="shared" ca="1" si="432"/>
        <v>#N/A</v>
      </c>
      <c r="AE950" s="324" t="e">
        <f t="shared" ca="1" si="411"/>
        <v>#N/A</v>
      </c>
      <c r="AG950" s="306">
        <f t="shared" ca="1" si="433"/>
        <v>-8.9170001138921151E-2</v>
      </c>
      <c r="AH950" s="304">
        <f t="shared" ca="1" si="434"/>
        <v>-9.8903728655418259</v>
      </c>
    </row>
    <row r="951" spans="1:34" x14ac:dyDescent="0.2">
      <c r="A951" s="347">
        <f t="shared" ca="1" si="412"/>
        <v>1E-4</v>
      </c>
      <c r="B951" s="304">
        <f t="shared" ca="1" si="413"/>
        <v>44.614100000000789</v>
      </c>
      <c r="D951" s="306">
        <f t="shared" ca="1" si="414"/>
        <v>-0.41875804802551492</v>
      </c>
      <c r="E951" s="307">
        <f t="shared" ca="1" si="415"/>
        <v>7.1513687686580951E-2</v>
      </c>
      <c r="F951" s="304">
        <f t="shared" ca="1" si="416"/>
        <v>0.42482056248806188</v>
      </c>
      <c r="G951" s="306">
        <f t="shared" ca="1" si="417"/>
        <v>4.8919505830735215</v>
      </c>
      <c r="H951" s="307">
        <f t="shared" ca="1" si="418"/>
        <v>-115.43727380453156</v>
      </c>
      <c r="I951" s="304">
        <f t="shared" ca="1" si="419"/>
        <v>115.54088178618692</v>
      </c>
      <c r="J951" s="306">
        <f t="shared" ca="1" si="420"/>
        <v>976.66817413190017</v>
      </c>
      <c r="K951" s="307">
        <f t="shared" ca="1" si="421"/>
        <v>-12.037004618562706</v>
      </c>
      <c r="L951" s="304">
        <f t="shared" ca="1" si="406"/>
        <v>976.74234670271517</v>
      </c>
      <c r="M951" s="306">
        <f t="shared" ca="1" si="422"/>
        <v>-1.5284441024475908</v>
      </c>
      <c r="N951" s="304">
        <f t="shared" ca="1" si="423"/>
        <v>-87.573396291908168</v>
      </c>
      <c r="P951" s="310">
        <f t="shared" ca="1" si="424"/>
        <v>23</v>
      </c>
      <c r="Q951" s="304">
        <f t="shared" ca="1" si="425"/>
        <v>0</v>
      </c>
      <c r="R951" s="306">
        <f t="shared" ca="1" si="426"/>
        <v>0</v>
      </c>
      <c r="S951" s="307">
        <f t="shared" ca="1" si="427"/>
        <v>5.0829999999999913</v>
      </c>
      <c r="T951" s="304">
        <f t="shared" ca="1" si="407"/>
        <v>49.864229999999914</v>
      </c>
      <c r="U951" s="311">
        <f t="shared" ca="1" si="408"/>
        <v>0</v>
      </c>
      <c r="V951" s="306">
        <f t="shared" ca="1" si="409"/>
        <v>1.2264754210482727</v>
      </c>
      <c r="W951" s="304">
        <f t="shared" ca="1" si="410"/>
        <v>50.272865822451244</v>
      </c>
      <c r="Y951" s="314" t="str">
        <f t="shared" ca="1" si="428"/>
        <v/>
      </c>
      <c r="Z951" s="315" t="str">
        <f t="shared" ca="1" si="429"/>
        <v/>
      </c>
      <c r="AA951" s="316" t="str">
        <f t="shared" ca="1" si="430"/>
        <v/>
      </c>
      <c r="AC951" s="310" t="e">
        <f t="shared" ca="1" si="431"/>
        <v>#N/A</v>
      </c>
      <c r="AD951" s="323" t="e">
        <f t="shared" ca="1" si="432"/>
        <v>#N/A</v>
      </c>
      <c r="AE951" s="324" t="e">
        <f t="shared" ca="1" si="411"/>
        <v>#N/A</v>
      </c>
      <c r="AG951" s="306">
        <f t="shared" ca="1" si="433"/>
        <v>-8.9179742409010387E-2</v>
      </c>
      <c r="AH951" s="304">
        <f t="shared" ca="1" si="434"/>
        <v>-9.8903827561284707</v>
      </c>
    </row>
    <row r="952" spans="1:34" x14ac:dyDescent="0.2">
      <c r="A952" s="347">
        <f t="shared" ca="1" si="412"/>
        <v>1E-4</v>
      </c>
      <c r="B952" s="304">
        <f t="shared" ca="1" si="413"/>
        <v>44.614200000000793</v>
      </c>
      <c r="D952" s="306">
        <f t="shared" ca="1" si="414"/>
        <v>-0.41875491450452812</v>
      </c>
      <c r="E952" s="307">
        <f t="shared" ca="1" si="415"/>
        <v>7.152371978407146E-2</v>
      </c>
      <c r="F952" s="304">
        <f t="shared" ca="1" si="416"/>
        <v>0.42481916260150626</v>
      </c>
      <c r="G952" s="306">
        <f t="shared" ca="1" si="417"/>
        <v>4.8919087075820711</v>
      </c>
      <c r="H952" s="307">
        <f t="shared" ca="1" si="418"/>
        <v>-115.43726665215958</v>
      </c>
      <c r="I952" s="304">
        <f t="shared" ca="1" si="419"/>
        <v>115.54087286724604</v>
      </c>
      <c r="J952" s="306">
        <f t="shared" ca="1" si="420"/>
        <v>976.66817413190017</v>
      </c>
      <c r="K952" s="307">
        <f t="shared" ca="1" si="421"/>
        <v>-12.048548345585541</v>
      </c>
      <c r="L952" s="304">
        <f t="shared" ca="1" si="406"/>
        <v>976.74248903146201</v>
      </c>
      <c r="M952" s="306">
        <f t="shared" ca="1" si="422"/>
        <v>-1.5284444619317408</v>
      </c>
      <c r="N952" s="304">
        <f t="shared" ca="1" si="423"/>
        <v>-87.573416888832767</v>
      </c>
      <c r="P952" s="310">
        <f t="shared" ca="1" si="424"/>
        <v>23</v>
      </c>
      <c r="Q952" s="304">
        <f t="shared" ca="1" si="425"/>
        <v>0</v>
      </c>
      <c r="R952" s="306">
        <f t="shared" ca="1" si="426"/>
        <v>0</v>
      </c>
      <c r="S952" s="307">
        <f t="shared" ca="1" si="427"/>
        <v>5.0829999999999913</v>
      </c>
      <c r="T952" s="304">
        <f t="shared" ca="1" si="407"/>
        <v>49.864229999999914</v>
      </c>
      <c r="U952" s="311">
        <f t="shared" ca="1" si="408"/>
        <v>0</v>
      </c>
      <c r="V952" s="306">
        <f t="shared" ca="1" si="409"/>
        <v>1.2264768368593493</v>
      </c>
      <c r="W952" s="304">
        <f t="shared" ca="1" si="410"/>
        <v>50.272916094700015</v>
      </c>
      <c r="Y952" s="314" t="str">
        <f t="shared" ca="1" si="428"/>
        <v/>
      </c>
      <c r="Z952" s="315" t="str">
        <f t="shared" ca="1" si="429"/>
        <v/>
      </c>
      <c r="AA952" s="316" t="str">
        <f t="shared" ca="1" si="430"/>
        <v/>
      </c>
      <c r="AC952" s="310" t="e">
        <f t="shared" ca="1" si="431"/>
        <v>#N/A</v>
      </c>
      <c r="AD952" s="323" t="e">
        <f t="shared" ca="1" si="432"/>
        <v>#N/A</v>
      </c>
      <c r="AE952" s="324" t="e">
        <f t="shared" ca="1" si="411"/>
        <v>#N/A</v>
      </c>
      <c r="AG952" s="306">
        <f t="shared" ca="1" si="433"/>
        <v>-8.9189483523915314E-2</v>
      </c>
      <c r="AH952" s="304">
        <f t="shared" ca="1" si="434"/>
        <v>-9.8903926465574123</v>
      </c>
    </row>
    <row r="953" spans="1:34" x14ac:dyDescent="0.2">
      <c r="A953" s="347">
        <f t="shared" ca="1" si="412"/>
        <v>1E-4</v>
      </c>
      <c r="B953" s="304">
        <f t="shared" ca="1" si="413"/>
        <v>44.614300000000796</v>
      </c>
      <c r="D953" s="306">
        <f t="shared" ca="1" si="414"/>
        <v>-0.4187517809995685</v>
      </c>
      <c r="E953" s="307">
        <f t="shared" ca="1" si="415"/>
        <v>7.1533751721773342E-2</v>
      </c>
      <c r="F953" s="304">
        <f t="shared" ca="1" si="416"/>
        <v>0.42481776295925161</v>
      </c>
      <c r="G953" s="306">
        <f t="shared" ca="1" si="417"/>
        <v>4.8918668324039709</v>
      </c>
      <c r="H953" s="307">
        <f t="shared" ca="1" si="418"/>
        <v>-115.43725949878441</v>
      </c>
      <c r="I953" s="304">
        <f t="shared" ca="1" si="419"/>
        <v>115.54086394733106</v>
      </c>
      <c r="J953" s="306">
        <f t="shared" ca="1" si="420"/>
        <v>976.66817413190017</v>
      </c>
      <c r="K953" s="307">
        <f t="shared" ca="1" si="421"/>
        <v>-12.060092071893088</v>
      </c>
      <c r="L953" s="304">
        <f t="shared" ca="1" si="406"/>
        <v>976.74263149660987</v>
      </c>
      <c r="M953" s="306">
        <f t="shared" ca="1" si="422"/>
        <v>-1.5284448214128692</v>
      </c>
      <c r="N953" s="304">
        <f t="shared" ca="1" si="423"/>
        <v>-87.573437485584236</v>
      </c>
      <c r="P953" s="310">
        <f t="shared" ca="1" si="424"/>
        <v>23</v>
      </c>
      <c r="Q953" s="304">
        <f t="shared" ca="1" si="425"/>
        <v>0</v>
      </c>
      <c r="R953" s="306">
        <f t="shared" ca="1" si="426"/>
        <v>0</v>
      </c>
      <c r="S953" s="307">
        <f t="shared" ca="1" si="427"/>
        <v>5.0829999999999913</v>
      </c>
      <c r="T953" s="304">
        <f t="shared" ca="1" si="407"/>
        <v>49.864229999999914</v>
      </c>
      <c r="U953" s="311">
        <f t="shared" ca="1" si="408"/>
        <v>0</v>
      </c>
      <c r="V953" s="306">
        <f t="shared" ca="1" si="409"/>
        <v>1.2264782526719735</v>
      </c>
      <c r="W953" s="304">
        <f t="shared" ca="1" si="410"/>
        <v>50.272966366147216</v>
      </c>
      <c r="Y953" s="314" t="str">
        <f t="shared" ca="1" si="428"/>
        <v/>
      </c>
      <c r="Z953" s="315" t="str">
        <f t="shared" ca="1" si="429"/>
        <v/>
      </c>
      <c r="AA953" s="316" t="str">
        <f t="shared" ca="1" si="430"/>
        <v/>
      </c>
      <c r="AC953" s="310" t="e">
        <f t="shared" ca="1" si="431"/>
        <v>#N/A</v>
      </c>
      <c r="AD953" s="323" t="e">
        <f t="shared" ca="1" si="432"/>
        <v>#N/A</v>
      </c>
      <c r="AE953" s="324" t="e">
        <f t="shared" ca="1" si="411"/>
        <v>#N/A</v>
      </c>
      <c r="AG953" s="306">
        <f t="shared" ca="1" si="433"/>
        <v>-8.919922448365547E-2</v>
      </c>
      <c r="AH953" s="304">
        <f t="shared" ca="1" si="434"/>
        <v>-9.890402536828665</v>
      </c>
    </row>
    <row r="954" spans="1:34" x14ac:dyDescent="0.2">
      <c r="A954" s="347">
        <f t="shared" ca="1" si="412"/>
        <v>1E-4</v>
      </c>
      <c r="B954" s="304">
        <f t="shared" ca="1" si="413"/>
        <v>44.614400000000799</v>
      </c>
      <c r="D954" s="306">
        <f t="shared" ca="1" si="414"/>
        <v>-0.4187486475106314</v>
      </c>
      <c r="E954" s="307">
        <f t="shared" ca="1" si="415"/>
        <v>7.1543783499675939E-2</v>
      </c>
      <c r="F954" s="304">
        <f t="shared" ca="1" si="416"/>
        <v>0.42481636356128227</v>
      </c>
      <c r="G954" s="306">
        <f t="shared" ca="1" si="417"/>
        <v>4.8918249575392201</v>
      </c>
      <c r="H954" s="307">
        <f t="shared" ca="1" si="418"/>
        <v>-115.43725234440606</v>
      </c>
      <c r="I954" s="304">
        <f t="shared" ca="1" si="419"/>
        <v>115.54085502644199</v>
      </c>
      <c r="J954" s="306">
        <f t="shared" ca="1" si="420"/>
        <v>976.66817413190017</v>
      </c>
      <c r="K954" s="307">
        <f t="shared" ca="1" si="421"/>
        <v>-12.071635797485248</v>
      </c>
      <c r="L954" s="304">
        <f t="shared" ca="1" si="406"/>
        <v>976.74277409815875</v>
      </c>
      <c r="M954" s="306">
        <f t="shared" ca="1" si="422"/>
        <v>-1.528445180890976</v>
      </c>
      <c r="N954" s="304">
        <f t="shared" ca="1" si="423"/>
        <v>-87.573458082162588</v>
      </c>
      <c r="P954" s="310">
        <f t="shared" ca="1" si="424"/>
        <v>23</v>
      </c>
      <c r="Q954" s="304">
        <f t="shared" ca="1" si="425"/>
        <v>0</v>
      </c>
      <c r="R954" s="306">
        <f t="shared" ca="1" si="426"/>
        <v>0</v>
      </c>
      <c r="S954" s="307">
        <f t="shared" ca="1" si="427"/>
        <v>5.0829999999999913</v>
      </c>
      <c r="T954" s="304">
        <f t="shared" ca="1" si="407"/>
        <v>49.864229999999914</v>
      </c>
      <c r="U954" s="311">
        <f t="shared" ca="1" si="408"/>
        <v>0</v>
      </c>
      <c r="V954" s="306">
        <f t="shared" ca="1" si="409"/>
        <v>1.2264796684861452</v>
      </c>
      <c r="W954" s="304">
        <f t="shared" ca="1" si="410"/>
        <v>50.273016636792846</v>
      </c>
      <c r="Y954" s="314" t="str">
        <f t="shared" ca="1" si="428"/>
        <v/>
      </c>
      <c r="Z954" s="315" t="str">
        <f t="shared" ca="1" si="429"/>
        <v/>
      </c>
      <c r="AA954" s="316" t="str">
        <f t="shared" ca="1" si="430"/>
        <v/>
      </c>
      <c r="AC954" s="310" t="e">
        <f t="shared" ca="1" si="431"/>
        <v>#N/A</v>
      </c>
      <c r="AD954" s="323" t="e">
        <f t="shared" ca="1" si="432"/>
        <v>#N/A</v>
      </c>
      <c r="AE954" s="324" t="e">
        <f t="shared" ca="1" si="411"/>
        <v>#N/A</v>
      </c>
      <c r="AG954" s="306">
        <f t="shared" ca="1" si="433"/>
        <v>-8.9208965288218423E-2</v>
      </c>
      <c r="AH954" s="304">
        <f t="shared" ca="1" si="434"/>
        <v>-9.8904124269422198</v>
      </c>
    </row>
    <row r="955" spans="1:34" x14ac:dyDescent="0.2">
      <c r="A955" s="347">
        <f t="shared" ca="1" si="412"/>
        <v>1E-4</v>
      </c>
      <c r="B955" s="304">
        <f t="shared" ca="1" si="413"/>
        <v>44.614500000000803</v>
      </c>
      <c r="D955" s="306">
        <f t="shared" ca="1" si="414"/>
        <v>-0.41874551403771737</v>
      </c>
      <c r="E955" s="307">
        <f t="shared" ca="1" si="415"/>
        <v>7.155381511778458E-2</v>
      </c>
      <c r="F955" s="304">
        <f t="shared" ca="1" si="416"/>
        <v>0.42481496440759031</v>
      </c>
      <c r="G955" s="306">
        <f t="shared" ca="1" si="417"/>
        <v>4.8917830829878159</v>
      </c>
      <c r="H955" s="307">
        <f t="shared" ca="1" si="418"/>
        <v>-115.43724518902455</v>
      </c>
      <c r="I955" s="304">
        <f t="shared" ca="1" si="419"/>
        <v>115.54084610457888</v>
      </c>
      <c r="J955" s="306">
        <f t="shared" ca="1" si="420"/>
        <v>976.66817413190017</v>
      </c>
      <c r="K955" s="307">
        <f t="shared" ca="1" si="421"/>
        <v>-12.08317952236192</v>
      </c>
      <c r="L955" s="304">
        <f t="shared" ca="1" si="406"/>
        <v>976.74291683610863</v>
      </c>
      <c r="M955" s="306">
        <f t="shared" ca="1" si="422"/>
        <v>-1.5284455403660611</v>
      </c>
      <c r="N955" s="304">
        <f t="shared" ca="1" si="423"/>
        <v>-87.573478678567795</v>
      </c>
      <c r="P955" s="310">
        <f t="shared" ca="1" si="424"/>
        <v>23</v>
      </c>
      <c r="Q955" s="304">
        <f t="shared" ca="1" si="425"/>
        <v>0</v>
      </c>
      <c r="R955" s="306">
        <f t="shared" ca="1" si="426"/>
        <v>0</v>
      </c>
      <c r="S955" s="307">
        <f t="shared" ca="1" si="427"/>
        <v>5.0829999999999913</v>
      </c>
      <c r="T955" s="304">
        <f t="shared" ca="1" si="407"/>
        <v>49.864229999999914</v>
      </c>
      <c r="U955" s="311">
        <f t="shared" ca="1" si="408"/>
        <v>0</v>
      </c>
      <c r="V955" s="306">
        <f t="shared" ca="1" si="409"/>
        <v>1.2264810843018645</v>
      </c>
      <c r="W955" s="304">
        <f t="shared" ca="1" si="410"/>
        <v>50.273066906636956</v>
      </c>
      <c r="Y955" s="314" t="str">
        <f t="shared" ca="1" si="428"/>
        <v/>
      </c>
      <c r="Z955" s="315" t="str">
        <f t="shared" ca="1" si="429"/>
        <v/>
      </c>
      <c r="AA955" s="316" t="str">
        <f t="shared" ca="1" si="430"/>
        <v/>
      </c>
      <c r="AC955" s="310" t="e">
        <f t="shared" ca="1" si="431"/>
        <v>#N/A</v>
      </c>
      <c r="AD955" s="323" t="e">
        <f t="shared" ca="1" si="432"/>
        <v>#N/A</v>
      </c>
      <c r="AE955" s="324" t="e">
        <f t="shared" ca="1" si="411"/>
        <v>#N/A</v>
      </c>
      <c r="AG955" s="306">
        <f t="shared" ca="1" si="433"/>
        <v>-8.9218705937607723E-2</v>
      </c>
      <c r="AH955" s="304">
        <f t="shared" ca="1" si="434"/>
        <v>-9.8904223168980785</v>
      </c>
    </row>
    <row r="956" spans="1:34" x14ac:dyDescent="0.2">
      <c r="A956" s="347">
        <f t="shared" ca="1" si="412"/>
        <v>1E-4</v>
      </c>
      <c r="B956" s="304">
        <f t="shared" ca="1" si="413"/>
        <v>44.614600000000806</v>
      </c>
      <c r="D956" s="306">
        <f t="shared" ca="1" si="414"/>
        <v>-0.41874238058082908</v>
      </c>
      <c r="E956" s="307">
        <f t="shared" ca="1" si="415"/>
        <v>7.1563846576104595E-2</v>
      </c>
      <c r="F956" s="304">
        <f t="shared" ca="1" si="416"/>
        <v>0.42481356549817023</v>
      </c>
      <c r="G956" s="306">
        <f t="shared" ca="1" si="417"/>
        <v>4.8917412087497576</v>
      </c>
      <c r="H956" s="307">
        <f t="shared" ca="1" si="418"/>
        <v>-115.4372380326399</v>
      </c>
      <c r="I956" s="304">
        <f t="shared" ca="1" si="419"/>
        <v>115.54083718174169</v>
      </c>
      <c r="J956" s="306">
        <f t="shared" ca="1" si="420"/>
        <v>976.66817413190017</v>
      </c>
      <c r="K956" s="307">
        <f t="shared" ca="1" si="421"/>
        <v>-12.094723246523003</v>
      </c>
      <c r="L956" s="304">
        <f t="shared" ca="1" si="406"/>
        <v>976.74305971045919</v>
      </c>
      <c r="M956" s="306">
        <f t="shared" ca="1" si="422"/>
        <v>-1.5284458998381245</v>
      </c>
      <c r="N956" s="304">
        <f t="shared" ca="1" si="423"/>
        <v>-87.573499274799886</v>
      </c>
      <c r="P956" s="310">
        <f t="shared" ca="1" si="424"/>
        <v>23</v>
      </c>
      <c r="Q956" s="304">
        <f t="shared" ca="1" si="425"/>
        <v>0</v>
      </c>
      <c r="R956" s="306">
        <f t="shared" ca="1" si="426"/>
        <v>0</v>
      </c>
      <c r="S956" s="307">
        <f t="shared" ca="1" si="427"/>
        <v>5.0829999999999913</v>
      </c>
      <c r="T956" s="304">
        <f t="shared" ca="1" si="407"/>
        <v>49.864229999999914</v>
      </c>
      <c r="U956" s="311">
        <f t="shared" ca="1" si="408"/>
        <v>0</v>
      </c>
      <c r="V956" s="306">
        <f t="shared" ca="1" si="409"/>
        <v>1.2264825001191317</v>
      </c>
      <c r="W956" s="304">
        <f t="shared" ca="1" si="410"/>
        <v>50.273117175679531</v>
      </c>
      <c r="Y956" s="314" t="str">
        <f t="shared" ca="1" si="428"/>
        <v/>
      </c>
      <c r="Z956" s="315" t="str">
        <f t="shared" ca="1" si="429"/>
        <v/>
      </c>
      <c r="AA956" s="316" t="str">
        <f t="shared" ca="1" si="430"/>
        <v/>
      </c>
      <c r="AC956" s="310" t="e">
        <f t="shared" ca="1" si="431"/>
        <v>#N/A</v>
      </c>
      <c r="AD956" s="323" t="e">
        <f t="shared" ca="1" si="432"/>
        <v>#N/A</v>
      </c>
      <c r="AE956" s="324" t="e">
        <f t="shared" ca="1" si="411"/>
        <v>#N/A</v>
      </c>
      <c r="AG956" s="306">
        <f t="shared" ca="1" si="433"/>
        <v>-8.9228446431832253E-2</v>
      </c>
      <c r="AH956" s="304">
        <f t="shared" ca="1" si="434"/>
        <v>-9.89043220669625</v>
      </c>
    </row>
    <row r="957" spans="1:34" x14ac:dyDescent="0.2">
      <c r="A957" s="347">
        <f t="shared" ca="1" si="412"/>
        <v>1E-4</v>
      </c>
      <c r="B957" s="304">
        <f t="shared" ca="1" si="413"/>
        <v>44.614700000000809</v>
      </c>
      <c r="D957" s="306">
        <f t="shared" ca="1" si="414"/>
        <v>-0.41873924713996469</v>
      </c>
      <c r="E957" s="307">
        <f t="shared" ca="1" si="415"/>
        <v>7.1573877874639535E-2</v>
      </c>
      <c r="F957" s="304">
        <f t="shared" ca="1" si="416"/>
        <v>0.42481216683301132</v>
      </c>
      <c r="G957" s="306">
        <f t="shared" ca="1" si="417"/>
        <v>4.8916993348250433</v>
      </c>
      <c r="H957" s="307">
        <f t="shared" ca="1" si="418"/>
        <v>-115.43723087525211</v>
      </c>
      <c r="I957" s="304">
        <f t="shared" ca="1" si="419"/>
        <v>115.54082825793049</v>
      </c>
      <c r="J957" s="306">
        <f t="shared" ca="1" si="420"/>
        <v>976.66817413190017</v>
      </c>
      <c r="K957" s="307">
        <f t="shared" ca="1" si="421"/>
        <v>-12.106266969968397</v>
      </c>
      <c r="L957" s="304">
        <f t="shared" ca="1" si="406"/>
        <v>976.74320272121054</v>
      </c>
      <c r="M957" s="306">
        <f t="shared" ca="1" si="422"/>
        <v>-1.5284462593071664</v>
      </c>
      <c r="N957" s="304">
        <f t="shared" ca="1" si="423"/>
        <v>-87.57351987085886</v>
      </c>
      <c r="P957" s="310">
        <f t="shared" ca="1" si="424"/>
        <v>23</v>
      </c>
      <c r="Q957" s="304">
        <f t="shared" ca="1" si="425"/>
        <v>0</v>
      </c>
      <c r="R957" s="306">
        <f t="shared" ca="1" si="426"/>
        <v>0</v>
      </c>
      <c r="S957" s="307">
        <f t="shared" ca="1" si="427"/>
        <v>5.0829999999999913</v>
      </c>
      <c r="T957" s="304">
        <f t="shared" ca="1" si="407"/>
        <v>49.864229999999914</v>
      </c>
      <c r="U957" s="311">
        <f t="shared" ca="1" si="408"/>
        <v>0</v>
      </c>
      <c r="V957" s="306">
        <f t="shared" ca="1" si="409"/>
        <v>1.2264839159379464</v>
      </c>
      <c r="W957" s="304">
        <f t="shared" ca="1" si="410"/>
        <v>50.273167443920592</v>
      </c>
      <c r="Y957" s="314" t="str">
        <f t="shared" ca="1" si="428"/>
        <v/>
      </c>
      <c r="Z957" s="315" t="str">
        <f t="shared" ca="1" si="429"/>
        <v/>
      </c>
      <c r="AA957" s="316" t="str">
        <f t="shared" ca="1" si="430"/>
        <v/>
      </c>
      <c r="AC957" s="310" t="e">
        <f t="shared" ca="1" si="431"/>
        <v>#N/A</v>
      </c>
      <c r="AD957" s="323" t="e">
        <f t="shared" ca="1" si="432"/>
        <v>#N/A</v>
      </c>
      <c r="AE957" s="324" t="e">
        <f t="shared" ca="1" si="411"/>
        <v>#N/A</v>
      </c>
      <c r="AG957" s="306">
        <f t="shared" ca="1" si="433"/>
        <v>-8.9238186770890238E-2</v>
      </c>
      <c r="AH957" s="304">
        <f t="shared" ca="1" si="434"/>
        <v>-9.8904420963367343</v>
      </c>
    </row>
    <row r="958" spans="1:34" x14ac:dyDescent="0.2">
      <c r="A958" s="347">
        <f t="shared" ca="1" si="412"/>
        <v>1E-4</v>
      </c>
      <c r="B958" s="304">
        <f t="shared" ca="1" si="413"/>
        <v>44.614800000000812</v>
      </c>
      <c r="D958" s="306">
        <f t="shared" ca="1" si="414"/>
        <v>-0.41873611371512437</v>
      </c>
      <c r="E958" s="307">
        <f t="shared" ca="1" si="415"/>
        <v>7.1583909013385849E-2</v>
      </c>
      <c r="F958" s="304">
        <f t="shared" ca="1" si="416"/>
        <v>0.42481076841210402</v>
      </c>
      <c r="G958" s="306">
        <f t="shared" ca="1" si="417"/>
        <v>4.8916574612136721</v>
      </c>
      <c r="H958" s="307">
        <f t="shared" ca="1" si="418"/>
        <v>-115.43722371686121</v>
      </c>
      <c r="I958" s="304">
        <f t="shared" ca="1" si="419"/>
        <v>115.54081933314527</v>
      </c>
      <c r="J958" s="306">
        <f t="shared" ca="1" si="420"/>
        <v>976.66817413190017</v>
      </c>
      <c r="K958" s="307">
        <f t="shared" ca="1" si="421"/>
        <v>-12.117810692698002</v>
      </c>
      <c r="L958" s="304">
        <f t="shared" ca="1" si="406"/>
        <v>976.74334586836255</v>
      </c>
      <c r="M958" s="306">
        <f t="shared" ca="1" si="422"/>
        <v>-1.5284466187731867</v>
      </c>
      <c r="N958" s="304">
        <f t="shared" ca="1" si="423"/>
        <v>-87.573540466744689</v>
      </c>
      <c r="P958" s="310">
        <f t="shared" ca="1" si="424"/>
        <v>23</v>
      </c>
      <c r="Q958" s="304">
        <f t="shared" ca="1" si="425"/>
        <v>0</v>
      </c>
      <c r="R958" s="306">
        <f t="shared" ca="1" si="426"/>
        <v>0</v>
      </c>
      <c r="S958" s="307">
        <f t="shared" ca="1" si="427"/>
        <v>5.0829999999999913</v>
      </c>
      <c r="T958" s="304">
        <f t="shared" ca="1" si="407"/>
        <v>49.864229999999914</v>
      </c>
      <c r="U958" s="311">
        <f t="shared" ca="1" si="408"/>
        <v>0</v>
      </c>
      <c r="V958" s="306">
        <f t="shared" ca="1" si="409"/>
        <v>1.2264853317583087</v>
      </c>
      <c r="W958" s="304">
        <f t="shared" ca="1" si="410"/>
        <v>50.273217711360154</v>
      </c>
      <c r="Y958" s="314" t="str">
        <f t="shared" ca="1" si="428"/>
        <v/>
      </c>
      <c r="Z958" s="315" t="str">
        <f t="shared" ca="1" si="429"/>
        <v/>
      </c>
      <c r="AA958" s="316" t="str">
        <f t="shared" ca="1" si="430"/>
        <v/>
      </c>
      <c r="AC958" s="310" t="e">
        <f t="shared" ca="1" si="431"/>
        <v>#N/A</v>
      </c>
      <c r="AD958" s="323" t="e">
        <f t="shared" ca="1" si="432"/>
        <v>#N/A</v>
      </c>
      <c r="AE958" s="324" t="e">
        <f t="shared" ca="1" si="411"/>
        <v>#N/A</v>
      </c>
      <c r="AG958" s="306">
        <f t="shared" ca="1" si="433"/>
        <v>-8.9247926954781676E-2</v>
      </c>
      <c r="AH958" s="304">
        <f t="shared" ca="1" si="434"/>
        <v>-9.8904519858195314</v>
      </c>
    </row>
    <row r="959" spans="1:34" x14ac:dyDescent="0.2">
      <c r="A959" s="347">
        <f t="shared" ca="1" si="412"/>
        <v>1E-4</v>
      </c>
      <c r="B959" s="304">
        <f t="shared" ca="1" si="413"/>
        <v>44.614900000000816</v>
      </c>
      <c r="D959" s="306">
        <f t="shared" ca="1" si="414"/>
        <v>-0.41873298030630868</v>
      </c>
      <c r="E959" s="307">
        <f t="shared" ca="1" si="415"/>
        <v>7.1593939992350641E-2</v>
      </c>
      <c r="F959" s="304">
        <f t="shared" ca="1" si="416"/>
        <v>0.42480937023544074</v>
      </c>
      <c r="G959" s="306">
        <f t="shared" ca="1" si="417"/>
        <v>4.8916155879156413</v>
      </c>
      <c r="H959" s="307">
        <f t="shared" ca="1" si="418"/>
        <v>-115.43721655746721</v>
      </c>
      <c r="I959" s="304">
        <f t="shared" ca="1" si="419"/>
        <v>115.54081040738602</v>
      </c>
      <c r="J959" s="306">
        <f t="shared" ca="1" si="420"/>
        <v>976.66817413190017</v>
      </c>
      <c r="K959" s="307">
        <f t="shared" ca="1" si="421"/>
        <v>-12.129354414711718</v>
      </c>
      <c r="L959" s="304">
        <f t="shared" ca="1" si="406"/>
        <v>976.74348915191513</v>
      </c>
      <c r="M959" s="306">
        <f t="shared" ca="1" si="422"/>
        <v>-1.5284469782361854</v>
      </c>
      <c r="N959" s="304">
        <f t="shared" ca="1" si="423"/>
        <v>-87.573561062457415</v>
      </c>
      <c r="P959" s="310">
        <f t="shared" ca="1" si="424"/>
        <v>23</v>
      </c>
      <c r="Q959" s="304">
        <f t="shared" ca="1" si="425"/>
        <v>0</v>
      </c>
      <c r="R959" s="306">
        <f t="shared" ca="1" si="426"/>
        <v>0</v>
      </c>
      <c r="S959" s="307">
        <f t="shared" ca="1" si="427"/>
        <v>5.0829999999999913</v>
      </c>
      <c r="T959" s="304">
        <f t="shared" ca="1" si="407"/>
        <v>49.864229999999914</v>
      </c>
      <c r="U959" s="311">
        <f t="shared" ca="1" si="408"/>
        <v>0</v>
      </c>
      <c r="V959" s="306">
        <f t="shared" ca="1" si="409"/>
        <v>1.2264867475802186</v>
      </c>
      <c r="W959" s="304">
        <f t="shared" ca="1" si="410"/>
        <v>50.273267977998195</v>
      </c>
      <c r="Y959" s="314" t="str">
        <f t="shared" ca="1" si="428"/>
        <v/>
      </c>
      <c r="Z959" s="315" t="str">
        <f t="shared" ca="1" si="429"/>
        <v/>
      </c>
      <c r="AA959" s="316" t="str">
        <f t="shared" ca="1" si="430"/>
        <v/>
      </c>
      <c r="AC959" s="310" t="e">
        <f t="shared" ca="1" si="431"/>
        <v>#N/A</v>
      </c>
      <c r="AD959" s="323" t="e">
        <f t="shared" ca="1" si="432"/>
        <v>#N/A</v>
      </c>
      <c r="AE959" s="324" t="e">
        <f t="shared" ca="1" si="411"/>
        <v>#N/A</v>
      </c>
      <c r="AG959" s="306">
        <f t="shared" ca="1" si="433"/>
        <v>-8.9257666983513673E-2</v>
      </c>
      <c r="AH959" s="304">
        <f t="shared" ca="1" si="434"/>
        <v>-9.8904618751446467</v>
      </c>
    </row>
    <row r="960" spans="1:34" x14ac:dyDescent="0.2">
      <c r="A960" s="347">
        <f t="shared" ca="1" si="412"/>
        <v>1E-4</v>
      </c>
      <c r="B960" s="304">
        <f t="shared" ca="1" si="413"/>
        <v>44.615000000000819</v>
      </c>
      <c r="D960" s="306">
        <f t="shared" ca="1" si="414"/>
        <v>-0.41872984691351772</v>
      </c>
      <c r="E960" s="307">
        <f t="shared" ca="1" si="415"/>
        <v>7.160397081153036E-2</v>
      </c>
      <c r="F960" s="304">
        <f t="shared" ca="1" si="416"/>
        <v>0.42480797230301187</v>
      </c>
      <c r="G960" s="306">
        <f t="shared" ca="1" si="417"/>
        <v>4.8915737149309502</v>
      </c>
      <c r="H960" s="307">
        <f t="shared" ca="1" si="418"/>
        <v>-115.43720939707013</v>
      </c>
      <c r="I960" s="304">
        <f t="shared" ca="1" si="419"/>
        <v>115.5408014806528</v>
      </c>
      <c r="J960" s="306">
        <f t="shared" ca="1" si="420"/>
        <v>976.66817413190017</v>
      </c>
      <c r="K960" s="307">
        <f t="shared" ca="1" si="421"/>
        <v>-12.140898136009445</v>
      </c>
      <c r="L960" s="304">
        <f t="shared" ca="1" si="406"/>
        <v>976.74363257186815</v>
      </c>
      <c r="M960" s="306">
        <f t="shared" ca="1" si="422"/>
        <v>-1.5284473376961627</v>
      </c>
      <c r="N960" s="304">
        <f t="shared" ca="1" si="423"/>
        <v>-87.573581657997011</v>
      </c>
      <c r="P960" s="310">
        <f t="shared" ca="1" si="424"/>
        <v>23</v>
      </c>
      <c r="Q960" s="304">
        <f t="shared" ca="1" si="425"/>
        <v>0</v>
      </c>
      <c r="R960" s="306">
        <f t="shared" ca="1" si="426"/>
        <v>0</v>
      </c>
      <c r="S960" s="307">
        <f t="shared" ca="1" si="427"/>
        <v>5.0829999999999913</v>
      </c>
      <c r="T960" s="304">
        <f t="shared" ca="1" si="407"/>
        <v>49.864229999999914</v>
      </c>
      <c r="U960" s="311">
        <f t="shared" ca="1" si="408"/>
        <v>0</v>
      </c>
      <c r="V960" s="306">
        <f t="shared" ca="1" si="409"/>
        <v>1.2264881634036762</v>
      </c>
      <c r="W960" s="304">
        <f t="shared" ca="1" si="410"/>
        <v>50.273318243834765</v>
      </c>
      <c r="Y960" s="314" t="str">
        <f t="shared" ca="1" si="428"/>
        <v/>
      </c>
      <c r="Z960" s="315" t="str">
        <f t="shared" ca="1" si="429"/>
        <v/>
      </c>
      <c r="AA960" s="316" t="str">
        <f t="shared" ca="1" si="430"/>
        <v/>
      </c>
      <c r="AC960" s="310" t="e">
        <f t="shared" ca="1" si="431"/>
        <v>#N/A</v>
      </c>
      <c r="AD960" s="323" t="e">
        <f t="shared" ca="1" si="432"/>
        <v>#N/A</v>
      </c>
      <c r="AE960" s="324" t="e">
        <f t="shared" ca="1" si="411"/>
        <v>#N/A</v>
      </c>
      <c r="AG960" s="306">
        <f t="shared" ca="1" si="433"/>
        <v>-8.92674068570809E-2</v>
      </c>
      <c r="AH960" s="304">
        <f t="shared" ca="1" si="434"/>
        <v>-9.8904717643120765</v>
      </c>
    </row>
    <row r="961" spans="1:34" x14ac:dyDescent="0.2">
      <c r="A961" s="347">
        <f t="shared" ca="1" si="412"/>
        <v>1E-4</v>
      </c>
      <c r="B961" s="304">
        <f t="shared" ca="1" si="413"/>
        <v>44.615100000000822</v>
      </c>
      <c r="D961" s="306">
        <f t="shared" ca="1" si="414"/>
        <v>-0.41872671353674989</v>
      </c>
      <c r="E961" s="307">
        <f t="shared" ca="1" si="415"/>
        <v>7.1614001470933886E-2</v>
      </c>
      <c r="F961" s="304">
        <f t="shared" ca="1" si="416"/>
        <v>0.42480657461480786</v>
      </c>
      <c r="G961" s="306">
        <f t="shared" ca="1" si="417"/>
        <v>4.8915318422595968</v>
      </c>
      <c r="H961" s="307">
        <f t="shared" ca="1" si="418"/>
        <v>-115.43720223566999</v>
      </c>
      <c r="I961" s="304">
        <f t="shared" ca="1" si="419"/>
        <v>115.5407925529456</v>
      </c>
      <c r="J961" s="306">
        <f t="shared" ca="1" si="420"/>
        <v>976.66817413190017</v>
      </c>
      <c r="K961" s="307">
        <f t="shared" ca="1" si="421"/>
        <v>-12.152441856591082</v>
      </c>
      <c r="L961" s="304">
        <f t="shared" ca="1" si="406"/>
        <v>976.74377612822161</v>
      </c>
      <c r="M961" s="306">
        <f t="shared" ca="1" si="422"/>
        <v>-1.5284476971531185</v>
      </c>
      <c r="N961" s="304">
        <f t="shared" ca="1" si="423"/>
        <v>-87.573602253363504</v>
      </c>
      <c r="P961" s="310">
        <f t="shared" ca="1" si="424"/>
        <v>23</v>
      </c>
      <c r="Q961" s="304">
        <f t="shared" ca="1" si="425"/>
        <v>0</v>
      </c>
      <c r="R961" s="306">
        <f t="shared" ca="1" si="426"/>
        <v>0</v>
      </c>
      <c r="S961" s="307">
        <f t="shared" ca="1" si="427"/>
        <v>5.0829999999999913</v>
      </c>
      <c r="T961" s="304">
        <f t="shared" ca="1" si="407"/>
        <v>49.864229999999914</v>
      </c>
      <c r="U961" s="311">
        <f t="shared" ca="1" si="408"/>
        <v>0</v>
      </c>
      <c r="V961" s="306">
        <f t="shared" ca="1" si="409"/>
        <v>1.2264895792286807</v>
      </c>
      <c r="W961" s="304">
        <f t="shared" ca="1" si="410"/>
        <v>50.273368508869829</v>
      </c>
      <c r="Y961" s="314" t="str">
        <f t="shared" ca="1" si="428"/>
        <v/>
      </c>
      <c r="Z961" s="315" t="str">
        <f t="shared" ca="1" si="429"/>
        <v/>
      </c>
      <c r="AA961" s="316" t="str">
        <f t="shared" ca="1" si="430"/>
        <v/>
      </c>
      <c r="AC961" s="310" t="e">
        <f t="shared" ca="1" si="431"/>
        <v>#N/A</v>
      </c>
      <c r="AD961" s="323" t="e">
        <f t="shared" ca="1" si="432"/>
        <v>#N/A</v>
      </c>
      <c r="AE961" s="324" t="e">
        <f t="shared" ca="1" si="411"/>
        <v>#N/A</v>
      </c>
      <c r="AG961" s="306">
        <f t="shared" ca="1" si="433"/>
        <v>-8.9277146575490463E-2</v>
      </c>
      <c r="AH961" s="304">
        <f t="shared" ca="1" si="434"/>
        <v>-9.890481653321828</v>
      </c>
    </row>
    <row r="962" spans="1:34" x14ac:dyDescent="0.2">
      <c r="A962" s="347">
        <f t="shared" ca="1" si="412"/>
        <v>1E-4</v>
      </c>
      <c r="B962" s="304">
        <f t="shared" ca="1" si="413"/>
        <v>44.615200000000826</v>
      </c>
      <c r="D962" s="306">
        <f t="shared" ca="1" si="414"/>
        <v>-0.41872358017600736</v>
      </c>
      <c r="E962" s="307">
        <f t="shared" ca="1" si="415"/>
        <v>7.1624031970552338E-2</v>
      </c>
      <c r="F962" s="304">
        <f t="shared" ca="1" si="416"/>
        <v>0.42480517717082023</v>
      </c>
      <c r="G962" s="306">
        <f t="shared" ca="1" si="417"/>
        <v>4.8914899699015795</v>
      </c>
      <c r="H962" s="307">
        <f t="shared" ca="1" si="418"/>
        <v>-115.43719507326679</v>
      </c>
      <c r="I962" s="304">
        <f t="shared" ca="1" si="419"/>
        <v>115.54078362426446</v>
      </c>
      <c r="J962" s="306">
        <f t="shared" ca="1" si="420"/>
        <v>976.66817413190017</v>
      </c>
      <c r="K962" s="307">
        <f t="shared" ca="1" si="421"/>
        <v>-12.163985576456529</v>
      </c>
      <c r="L962" s="304">
        <f t="shared" ca="1" si="406"/>
        <v>976.74391982097541</v>
      </c>
      <c r="M962" s="306">
        <f t="shared" ca="1" si="422"/>
        <v>-1.5284480566070526</v>
      </c>
      <c r="N962" s="304">
        <f t="shared" ca="1" si="423"/>
        <v>-87.573622848556852</v>
      </c>
      <c r="P962" s="310">
        <f t="shared" ca="1" si="424"/>
        <v>23</v>
      </c>
      <c r="Q962" s="304">
        <f t="shared" ca="1" si="425"/>
        <v>0</v>
      </c>
      <c r="R962" s="306">
        <f t="shared" ca="1" si="426"/>
        <v>0</v>
      </c>
      <c r="S962" s="307">
        <f t="shared" ca="1" si="427"/>
        <v>5.0829999999999913</v>
      </c>
      <c r="T962" s="304">
        <f t="shared" ca="1" si="407"/>
        <v>49.864229999999914</v>
      </c>
      <c r="U962" s="311">
        <f t="shared" ca="1" si="408"/>
        <v>0</v>
      </c>
      <c r="V962" s="306">
        <f t="shared" ca="1" si="409"/>
        <v>1.2264909950552332</v>
      </c>
      <c r="W962" s="304">
        <f t="shared" ca="1" si="410"/>
        <v>50.273418773103444</v>
      </c>
      <c r="Y962" s="314" t="str">
        <f t="shared" ca="1" si="428"/>
        <v/>
      </c>
      <c r="Z962" s="315" t="str">
        <f t="shared" ca="1" si="429"/>
        <v/>
      </c>
      <c r="AA962" s="316" t="str">
        <f t="shared" ca="1" si="430"/>
        <v/>
      </c>
      <c r="AC962" s="310" t="e">
        <f t="shared" ca="1" si="431"/>
        <v>#N/A</v>
      </c>
      <c r="AD962" s="323" t="e">
        <f t="shared" ca="1" si="432"/>
        <v>#N/A</v>
      </c>
      <c r="AE962" s="324" t="e">
        <f t="shared" ca="1" si="411"/>
        <v>#N/A</v>
      </c>
      <c r="AG962" s="306">
        <f t="shared" ca="1" si="433"/>
        <v>-8.9286886138740584E-2</v>
      </c>
      <c r="AH962" s="304">
        <f t="shared" ca="1" si="434"/>
        <v>-9.8904915421738959</v>
      </c>
    </row>
    <row r="963" spans="1:34" x14ac:dyDescent="0.2">
      <c r="A963" s="347">
        <f t="shared" ca="1" si="412"/>
        <v>1E-4</v>
      </c>
      <c r="B963" s="304">
        <f t="shared" ca="1" si="413"/>
        <v>44.615300000000829</v>
      </c>
      <c r="D963" s="306">
        <f t="shared" ca="1" si="414"/>
        <v>-0.41872044683129089</v>
      </c>
      <c r="E963" s="307">
        <f t="shared" ca="1" si="415"/>
        <v>7.1634062310399926E-2</v>
      </c>
      <c r="F963" s="304">
        <f t="shared" ca="1" si="416"/>
        <v>0.42480377997104279</v>
      </c>
      <c r="G963" s="306">
        <f t="shared" ca="1" si="417"/>
        <v>4.8914480978568964</v>
      </c>
      <c r="H963" s="307">
        <f t="shared" ca="1" si="418"/>
        <v>-115.43718790986055</v>
      </c>
      <c r="I963" s="304">
        <f t="shared" ca="1" si="419"/>
        <v>115.54077469460937</v>
      </c>
      <c r="J963" s="306">
        <f t="shared" ca="1" si="420"/>
        <v>976.66817413190017</v>
      </c>
      <c r="K963" s="307">
        <f t="shared" ca="1" si="421"/>
        <v>-12.175529295605685</v>
      </c>
      <c r="L963" s="304">
        <f t="shared" ca="1" si="406"/>
        <v>976.74406365012931</v>
      </c>
      <c r="M963" s="306">
        <f t="shared" ca="1" si="422"/>
        <v>-1.5284484160579654</v>
      </c>
      <c r="N963" s="304">
        <f t="shared" ca="1" si="423"/>
        <v>-87.573643443577097</v>
      </c>
      <c r="P963" s="310">
        <f t="shared" ca="1" si="424"/>
        <v>23</v>
      </c>
      <c r="Q963" s="304">
        <f t="shared" ca="1" si="425"/>
        <v>0</v>
      </c>
      <c r="R963" s="306">
        <f t="shared" ca="1" si="426"/>
        <v>0</v>
      </c>
      <c r="S963" s="307">
        <f t="shared" ca="1" si="427"/>
        <v>5.0829999999999913</v>
      </c>
      <c r="T963" s="304">
        <f t="shared" ca="1" si="407"/>
        <v>49.864229999999914</v>
      </c>
      <c r="U963" s="311">
        <f t="shared" ca="1" si="408"/>
        <v>0</v>
      </c>
      <c r="V963" s="306">
        <f t="shared" ca="1" si="409"/>
        <v>1.2264924108833331</v>
      </c>
      <c r="W963" s="304">
        <f t="shared" ca="1" si="410"/>
        <v>50.273469036535595</v>
      </c>
      <c r="Y963" s="314" t="str">
        <f t="shared" ca="1" si="428"/>
        <v/>
      </c>
      <c r="Z963" s="315" t="str">
        <f t="shared" ca="1" si="429"/>
        <v/>
      </c>
      <c r="AA963" s="316" t="str">
        <f t="shared" ca="1" si="430"/>
        <v/>
      </c>
      <c r="AC963" s="310" t="e">
        <f t="shared" ca="1" si="431"/>
        <v>#N/A</v>
      </c>
      <c r="AD963" s="323" t="e">
        <f t="shared" ca="1" si="432"/>
        <v>#N/A</v>
      </c>
      <c r="AE963" s="324" t="e">
        <f t="shared" ca="1" si="411"/>
        <v>#N/A</v>
      </c>
      <c r="AG963" s="306">
        <f t="shared" ca="1" si="433"/>
        <v>-8.9296625546838371E-2</v>
      </c>
      <c r="AH963" s="304">
        <f t="shared" ca="1" si="434"/>
        <v>-9.8905014308682926</v>
      </c>
    </row>
    <row r="964" spans="1:34" x14ac:dyDescent="0.2">
      <c r="A964" s="347">
        <f t="shared" ca="1" si="412"/>
        <v>1E-4</v>
      </c>
      <c r="B964" s="304">
        <f t="shared" ca="1" si="413"/>
        <v>44.615400000000832</v>
      </c>
      <c r="D964" s="306">
        <f t="shared" ca="1" si="414"/>
        <v>-0.41871731350259839</v>
      </c>
      <c r="E964" s="307">
        <f t="shared" ca="1" si="415"/>
        <v>7.1644092490471323E-2</v>
      </c>
      <c r="F964" s="304">
        <f t="shared" ca="1" si="416"/>
        <v>0.42480238301546341</v>
      </c>
      <c r="G964" s="306">
        <f t="shared" ca="1" si="417"/>
        <v>4.8914062261255458</v>
      </c>
      <c r="H964" s="307">
        <f t="shared" ca="1" si="418"/>
        <v>-115.4371807454513</v>
      </c>
      <c r="I964" s="304">
        <f t="shared" ca="1" si="419"/>
        <v>115.54076576398035</v>
      </c>
      <c r="J964" s="306">
        <f t="shared" ca="1" si="420"/>
        <v>976.66817413190017</v>
      </c>
      <c r="K964" s="307">
        <f t="shared" ca="1" si="421"/>
        <v>-12.18707301403845</v>
      </c>
      <c r="L964" s="304">
        <f t="shared" ref="L964:L1004" ca="1" si="435">SQRT(pos_x^2+pos_z^2)</f>
        <v>976.74420761568342</v>
      </c>
      <c r="M964" s="306">
        <f t="shared" ca="1" si="422"/>
        <v>-1.5284487755058569</v>
      </c>
      <c r="N964" s="304">
        <f t="shared" ca="1" si="423"/>
        <v>-87.573664038424241</v>
      </c>
      <c r="P964" s="310">
        <f t="shared" ca="1" si="424"/>
        <v>23</v>
      </c>
      <c r="Q964" s="304">
        <f t="shared" ca="1" si="425"/>
        <v>0</v>
      </c>
      <c r="R964" s="306">
        <f t="shared" ca="1" si="426"/>
        <v>0</v>
      </c>
      <c r="S964" s="307">
        <f t="shared" ca="1" si="427"/>
        <v>5.0829999999999913</v>
      </c>
      <c r="T964" s="304">
        <f t="shared" ref="T964:T1004" ca="1" si="436">m*g</f>
        <v>49.864229999999914</v>
      </c>
      <c r="U964" s="311">
        <f t="shared" ref="U964:U1004" ca="1" si="437">IF(pos_xz&lt;L_rampe,Poids*COS(Beta),0)</f>
        <v>0</v>
      </c>
      <c r="V964" s="306">
        <f t="shared" ref="V964:V1004" ca="1" si="438">Rho_moyen*(20000-Alt_rampe-pos_z)/(20000+Alt_rampe+pos_z)</f>
        <v>1.226493826712981</v>
      </c>
      <c r="W964" s="304">
        <f t="shared" ref="W964:W1003" ca="1" si="439">1/2*Rho*Sref*Cx*vit_xz^2</f>
        <v>50.27351929916631</v>
      </c>
      <c r="Y964" s="314" t="str">
        <f t="shared" ca="1" si="428"/>
        <v/>
      </c>
      <c r="Z964" s="315" t="str">
        <f t="shared" ca="1" si="429"/>
        <v/>
      </c>
      <c r="AA964" s="316" t="str">
        <f t="shared" ca="1" si="430"/>
        <v/>
      </c>
      <c r="AC964" s="310" t="e">
        <f t="shared" ca="1" si="431"/>
        <v>#N/A</v>
      </c>
      <c r="AD964" s="323" t="e">
        <f t="shared" ca="1" si="432"/>
        <v>#N/A</v>
      </c>
      <c r="AE964" s="324" t="e">
        <f t="shared" ref="AE964:AE1004" ca="1" si="440">IF(t&lt;T_para, pos_z, NA())</f>
        <v>#N/A</v>
      </c>
      <c r="AG964" s="306">
        <f t="shared" ca="1" si="433"/>
        <v>-8.9306364799782045E-2</v>
      </c>
      <c r="AH964" s="304">
        <f t="shared" ca="1" si="434"/>
        <v>-9.8905113194050127</v>
      </c>
    </row>
    <row r="965" spans="1:34" x14ac:dyDescent="0.2">
      <c r="A965" s="347">
        <f t="shared" ref="A965:A1004" ca="1" si="441">IF(B964+0.01&lt;=T_ini+ROUNDUP(Temps_fin_propu,0), 0.01, IF(K964&gt;0, 0.1, 0.0001))</f>
        <v>1E-4</v>
      </c>
      <c r="B965" s="304">
        <f t="shared" ref="B965:B1004" ca="1" si="442">B964+pas</f>
        <v>44.615500000000836</v>
      </c>
      <c r="D965" s="306">
        <f t="shared" ref="D965:D1004" ca="1" si="443">IF(AND(L964&lt;L_rampe,Poussee&lt;Poids*SIN(M964)),0,(-W964+Poussee)/m*COS(M964)-U964/m*SIN(M964))</f>
        <v>-0.41871418018993045</v>
      </c>
      <c r="E965" s="307">
        <f t="shared" ref="E965:E1004" ca="1" si="444">IF(AND(L964&lt;L_rampe,Poussee&lt;Poids*SIN(M964)),0,(-W964+Poussee)/m*SIN(M964)+U964/m*COS(M964)-Poids/m)</f>
        <v>7.1654122510775409E-2</v>
      </c>
      <c r="F965" s="304">
        <f t="shared" ref="F965:F1004" ca="1" si="445">SQRT(acc_x^2+acc_z^2)</f>
        <v>0.42480098630407481</v>
      </c>
      <c r="G965" s="306">
        <f t="shared" ref="G965:G1004" ca="1" si="446">G964+acc_x*pas</f>
        <v>4.8913643547075267</v>
      </c>
      <c r="H965" s="307">
        <f t="shared" ref="H965:H1004" ca="1" si="447">H964+acc_z*pas</f>
        <v>-115.43717358003904</v>
      </c>
      <c r="I965" s="304">
        <f t="shared" ref="I965:I1004" ca="1" si="448">SQRT(vit_x^2+vit_z^2)</f>
        <v>115.54075683237741</v>
      </c>
      <c r="J965" s="306">
        <f t="shared" ref="J965:J1004" ca="1" si="449">J964+0.5*(vit_x+G964)*pas*(K964&gt;=0)</f>
        <v>976.66817413190017</v>
      </c>
      <c r="K965" s="307">
        <f t="shared" ref="K965:K1004" ca="1" si="450">K964+0.5*(vit_z+H964)*pas</f>
        <v>-12.198616731754726</v>
      </c>
      <c r="L965" s="304">
        <f t="shared" ca="1" si="435"/>
        <v>976.74435171763753</v>
      </c>
      <c r="M965" s="306">
        <f t="shared" ref="M965:M1004" ca="1" si="451">IF(AND(L964&gt;L_rampe,G965&gt;0),ATAN2(G965,H965),$M$4)</f>
        <v>-1.528449134950727</v>
      </c>
      <c r="N965" s="304">
        <f t="shared" ref="N965:N1004" ca="1" si="452">DEGREES(Beta)</f>
        <v>-87.573684633098267</v>
      </c>
      <c r="P965" s="310">
        <f t="shared" ref="P965:P1004" ca="1" si="453">MATCH(t-pas/2-T_ini,CdP_t)</f>
        <v>23</v>
      </c>
      <c r="Q965" s="304">
        <f t="shared" ref="Q965:Q1004" ca="1" si="454">(INDEX(CdP,2,i_P+1)-INDEX(CdP,2,i_P+0))/(INDEX(CdP,1,i_P+1)-INDEX(CdP,1,i_P+0))*(t-pas/2-T_ini-INDEX(CdP,1,i_P+0))+INDEX(CdP,2,i_P+0)</f>
        <v>0</v>
      </c>
      <c r="R965" s="306">
        <f t="shared" ref="R965:R1004" ca="1" si="455">Poussee/(g*ISP)</f>
        <v>0</v>
      </c>
      <c r="S965" s="307">
        <f t="shared" ref="S965:S1004" ca="1" si="456">S964-Débit*pas</f>
        <v>5.0829999999999913</v>
      </c>
      <c r="T965" s="304">
        <f t="shared" ca="1" si="436"/>
        <v>49.864229999999914</v>
      </c>
      <c r="U965" s="311">
        <f t="shared" ca="1" si="437"/>
        <v>0</v>
      </c>
      <c r="V965" s="306">
        <f t="shared" ca="1" si="438"/>
        <v>1.226495242544176</v>
      </c>
      <c r="W965" s="304">
        <f t="shared" ca="1" si="439"/>
        <v>50.273569560995576</v>
      </c>
      <c r="Y965" s="314" t="str">
        <f t="shared" ref="Y965:Y1003" ca="1" si="457">IF(AND(pos_z&lt;=0,K964&gt;0),"Impact balistique","") &amp; IF(AND(H966&lt;0,vit_z&gt;=0),"Apogée","") &amp; IF(AND(Poussee=0,Q964&gt;0),"Fin de propulsion","") &amp; IF(AND(L966&gt;L_rampe,pos_xz&lt;=L_rampe),"Sortie de rampe","")</f>
        <v/>
      </c>
      <c r="Z965" s="315" t="str">
        <f t="shared" ref="Z965:Z1004" ca="1" si="458">IF(ABS(t-T_para)&lt;pas/2,"Para","")</f>
        <v/>
      </c>
      <c r="AA965" s="316" t="str">
        <f t="shared" ref="AA965:AA1004" ca="1" si="459">IF(ABS(t-T_satellite)&lt;pas/2,"Satellite","")</f>
        <v/>
      </c>
      <c r="AC965" s="310" t="e">
        <f t="shared" ref="AC965:AC1004" ca="1" si="460">IF(ABS(t-ROUND(t,0))&lt;0.001,t,NA())</f>
        <v>#N/A</v>
      </c>
      <c r="AD965" s="323" t="e">
        <f t="shared" ref="AD965:AD1004" ca="1" si="461">IF(ABS(t-ROUND(t,0))&lt;0.001,pos_x,NA())</f>
        <v>#N/A</v>
      </c>
      <c r="AE965" s="324" t="e">
        <f t="shared" ca="1" si="440"/>
        <v>#N/A</v>
      </c>
      <c r="AG965" s="306">
        <f t="shared" ref="AG965:AG1004" ca="1" si="462">IF(AND(L964&lt;L_rampe,Poussee&lt;Poids*SIN(M964)),0,(-W964+Poussee)/m-Poids*SIN(M964)/m)</f>
        <v>-8.9316103897576937E-2</v>
      </c>
      <c r="AH965" s="304">
        <f t="shared" ref="AH965:AH1004" ca="1" si="463">IF(AND(L964&lt;L_rampe,Poussee&lt;Poids*SIN(M964)), g*SIN(M964), (-W964+Poussee)/m)</f>
        <v>-9.8905212077840634</v>
      </c>
    </row>
    <row r="966" spans="1:34" x14ac:dyDescent="0.2">
      <c r="A966" s="347">
        <f t="shared" ca="1" si="441"/>
        <v>1E-4</v>
      </c>
      <c r="B966" s="304">
        <f t="shared" ca="1" si="442"/>
        <v>44.615600000000839</v>
      </c>
      <c r="D966" s="306">
        <f t="shared" ca="1" si="443"/>
        <v>-0.41871104689328709</v>
      </c>
      <c r="E966" s="307">
        <f t="shared" ca="1" si="444"/>
        <v>7.1664152371305079E-2</v>
      </c>
      <c r="F966" s="304">
        <f t="shared" ca="1" si="445"/>
        <v>0.42479958983686661</v>
      </c>
      <c r="G966" s="306">
        <f t="shared" ca="1" si="446"/>
        <v>4.8913224836028375</v>
      </c>
      <c r="H966" s="307">
        <f t="shared" ca="1" si="447"/>
        <v>-115.43716641362381</v>
      </c>
      <c r="I966" s="304">
        <f t="shared" ca="1" si="448"/>
        <v>115.54074789980061</v>
      </c>
      <c r="J966" s="306">
        <f t="shared" ca="1" si="449"/>
        <v>976.66817413190017</v>
      </c>
      <c r="K966" s="307">
        <f t="shared" ca="1" si="450"/>
        <v>-12.210160448754408</v>
      </c>
      <c r="L966" s="304">
        <f t="shared" ca="1" si="435"/>
        <v>976.74449595599151</v>
      </c>
      <c r="M966" s="306">
        <f t="shared" ca="1" si="451"/>
        <v>-1.5284494943925757</v>
      </c>
      <c r="N966" s="304">
        <f t="shared" ca="1" si="452"/>
        <v>-87.573705227599177</v>
      </c>
      <c r="P966" s="310">
        <f t="shared" ca="1" si="453"/>
        <v>23</v>
      </c>
      <c r="Q966" s="304">
        <f t="shared" ca="1" si="454"/>
        <v>0</v>
      </c>
      <c r="R966" s="306">
        <f t="shared" ca="1" si="455"/>
        <v>0</v>
      </c>
      <c r="S966" s="307">
        <f t="shared" ca="1" si="456"/>
        <v>5.0829999999999913</v>
      </c>
      <c r="T966" s="304">
        <f t="shared" ca="1" si="436"/>
        <v>49.864229999999914</v>
      </c>
      <c r="U966" s="311">
        <f t="shared" ca="1" si="437"/>
        <v>0</v>
      </c>
      <c r="V966" s="306">
        <f t="shared" ca="1" si="438"/>
        <v>1.2264966583769183</v>
      </c>
      <c r="W966" s="304">
        <f t="shared" ca="1" si="439"/>
        <v>50.273619822023434</v>
      </c>
      <c r="Y966" s="314" t="str">
        <f t="shared" ca="1" si="457"/>
        <v/>
      </c>
      <c r="Z966" s="315" t="str">
        <f t="shared" ca="1" si="458"/>
        <v/>
      </c>
      <c r="AA966" s="316" t="str">
        <f t="shared" ca="1" si="459"/>
        <v/>
      </c>
      <c r="AC966" s="310" t="e">
        <f t="shared" ca="1" si="460"/>
        <v>#N/A</v>
      </c>
      <c r="AD966" s="323" t="e">
        <f t="shared" ca="1" si="461"/>
        <v>#N/A</v>
      </c>
      <c r="AE966" s="324" t="e">
        <f t="shared" ca="1" si="440"/>
        <v>#N/A</v>
      </c>
      <c r="AG966" s="306">
        <f t="shared" ca="1" si="462"/>
        <v>-8.9325842840217717E-2</v>
      </c>
      <c r="AH966" s="304">
        <f t="shared" ca="1" si="463"/>
        <v>-9.8905310960054411</v>
      </c>
    </row>
    <row r="967" spans="1:34" x14ac:dyDescent="0.2">
      <c r="A967" s="347">
        <f t="shared" ca="1" si="441"/>
        <v>1E-4</v>
      </c>
      <c r="B967" s="304">
        <f t="shared" ca="1" si="442"/>
        <v>44.615700000000842</v>
      </c>
      <c r="D967" s="306">
        <f t="shared" ca="1" si="443"/>
        <v>-0.41870791361266907</v>
      </c>
      <c r="E967" s="307">
        <f t="shared" ca="1" si="444"/>
        <v>7.1674182072074544E-2</v>
      </c>
      <c r="F967" s="304">
        <f t="shared" ca="1" si="445"/>
        <v>0.42479819361383264</v>
      </c>
      <c r="G967" s="306">
        <f t="shared" ca="1" si="446"/>
        <v>4.8912806128114763</v>
      </c>
      <c r="H967" s="307">
        <f t="shared" ca="1" si="447"/>
        <v>-115.43715924620561</v>
      </c>
      <c r="I967" s="304">
        <f t="shared" ca="1" si="448"/>
        <v>115.5407389662499</v>
      </c>
      <c r="J967" s="306">
        <f t="shared" ca="1" si="449"/>
        <v>976.66817413190017</v>
      </c>
      <c r="K967" s="307">
        <f t="shared" ca="1" si="450"/>
        <v>-12.2217041650374</v>
      </c>
      <c r="L967" s="304">
        <f t="shared" ca="1" si="435"/>
        <v>976.74464033074548</v>
      </c>
      <c r="M967" s="306">
        <f t="shared" ca="1" si="451"/>
        <v>-1.5284498538314033</v>
      </c>
      <c r="N967" s="304">
        <f t="shared" ca="1" si="452"/>
        <v>-87.573725821926985</v>
      </c>
      <c r="P967" s="310">
        <f t="shared" ca="1" si="453"/>
        <v>23</v>
      </c>
      <c r="Q967" s="304">
        <f t="shared" ca="1" si="454"/>
        <v>0</v>
      </c>
      <c r="R967" s="306">
        <f t="shared" ca="1" si="455"/>
        <v>0</v>
      </c>
      <c r="S967" s="307">
        <f t="shared" ca="1" si="456"/>
        <v>5.0829999999999913</v>
      </c>
      <c r="T967" s="304">
        <f t="shared" ca="1" si="436"/>
        <v>49.864229999999914</v>
      </c>
      <c r="U967" s="311">
        <f t="shared" ca="1" si="437"/>
        <v>0</v>
      </c>
      <c r="V967" s="306">
        <f t="shared" ca="1" si="438"/>
        <v>1.2264980742112084</v>
      </c>
      <c r="W967" s="304">
        <f t="shared" ca="1" si="439"/>
        <v>50.273670082249865</v>
      </c>
      <c r="Y967" s="314" t="str">
        <f t="shared" ca="1" si="457"/>
        <v/>
      </c>
      <c r="Z967" s="315" t="str">
        <f t="shared" ca="1" si="458"/>
        <v/>
      </c>
      <c r="AA967" s="316" t="str">
        <f t="shared" ca="1" si="459"/>
        <v/>
      </c>
      <c r="AC967" s="310" t="e">
        <f t="shared" ca="1" si="460"/>
        <v>#N/A</v>
      </c>
      <c r="AD967" s="323" t="e">
        <f t="shared" ca="1" si="461"/>
        <v>#N/A</v>
      </c>
      <c r="AE967" s="324" t="e">
        <f t="shared" ca="1" si="440"/>
        <v>#N/A</v>
      </c>
      <c r="AG967" s="306">
        <f t="shared" ca="1" si="462"/>
        <v>-8.9335581627720373E-2</v>
      </c>
      <c r="AH967" s="304">
        <f t="shared" ca="1" si="463"/>
        <v>-9.8905409840691565</v>
      </c>
    </row>
    <row r="968" spans="1:34" x14ac:dyDescent="0.2">
      <c r="A968" s="347">
        <f t="shared" ca="1" si="441"/>
        <v>1E-4</v>
      </c>
      <c r="B968" s="304">
        <f t="shared" ca="1" si="442"/>
        <v>44.615800000000846</v>
      </c>
      <c r="D968" s="306">
        <f t="shared" ca="1" si="443"/>
        <v>-0.41870478034807418</v>
      </c>
      <c r="E968" s="307">
        <f t="shared" ca="1" si="444"/>
        <v>7.1684211613073145E-2</v>
      </c>
      <c r="F968" s="304">
        <f t="shared" ca="1" si="445"/>
        <v>0.4247967976349597</v>
      </c>
      <c r="G968" s="306">
        <f t="shared" ca="1" si="446"/>
        <v>4.8912387423334414</v>
      </c>
      <c r="H968" s="307">
        <f t="shared" ca="1" si="447"/>
        <v>-115.43715207778445</v>
      </c>
      <c r="I968" s="304">
        <f t="shared" ca="1" si="448"/>
        <v>115.54073003172533</v>
      </c>
      <c r="J968" s="306">
        <f t="shared" ca="1" si="449"/>
        <v>976.66817413190017</v>
      </c>
      <c r="K968" s="307">
        <f t="shared" ca="1" si="450"/>
        <v>-12.233247880603599</v>
      </c>
      <c r="L968" s="304">
        <f t="shared" ca="1" si="435"/>
        <v>976.74478484189922</v>
      </c>
      <c r="M968" s="306">
        <f t="shared" ca="1" si="451"/>
        <v>-1.5284502132672093</v>
      </c>
      <c r="N968" s="304">
        <f t="shared" ca="1" si="452"/>
        <v>-87.573746416081676</v>
      </c>
      <c r="P968" s="310">
        <f t="shared" ca="1" si="453"/>
        <v>23</v>
      </c>
      <c r="Q968" s="304">
        <f t="shared" ca="1" si="454"/>
        <v>0</v>
      </c>
      <c r="R968" s="306">
        <f t="shared" ca="1" si="455"/>
        <v>0</v>
      </c>
      <c r="S968" s="307">
        <f t="shared" ca="1" si="456"/>
        <v>5.0829999999999913</v>
      </c>
      <c r="T968" s="304">
        <f t="shared" ca="1" si="436"/>
        <v>49.864229999999914</v>
      </c>
      <c r="U968" s="311">
        <f t="shared" ca="1" si="437"/>
        <v>0</v>
      </c>
      <c r="V968" s="306">
        <f t="shared" ca="1" si="438"/>
        <v>1.2264994900470458</v>
      </c>
      <c r="W968" s="304">
        <f t="shared" ca="1" si="439"/>
        <v>50.273720341674874</v>
      </c>
      <c r="Y968" s="314" t="str">
        <f t="shared" ca="1" si="457"/>
        <v/>
      </c>
      <c r="Z968" s="315" t="str">
        <f t="shared" ca="1" si="458"/>
        <v/>
      </c>
      <c r="AA968" s="316" t="str">
        <f t="shared" ca="1" si="459"/>
        <v/>
      </c>
      <c r="AC968" s="310" t="e">
        <f t="shared" ca="1" si="460"/>
        <v>#N/A</v>
      </c>
      <c r="AD968" s="323" t="e">
        <f t="shared" ca="1" si="461"/>
        <v>#N/A</v>
      </c>
      <c r="AE968" s="324" t="e">
        <f t="shared" ca="1" si="440"/>
        <v>#N/A</v>
      </c>
      <c r="AG968" s="306">
        <f t="shared" ca="1" si="462"/>
        <v>-8.9345320260074246E-2</v>
      </c>
      <c r="AH968" s="304">
        <f t="shared" ca="1" si="463"/>
        <v>-9.8905508719752024</v>
      </c>
    </row>
    <row r="969" spans="1:34" x14ac:dyDescent="0.2">
      <c r="A969" s="347">
        <f t="shared" ca="1" si="441"/>
        <v>1E-4</v>
      </c>
      <c r="B969" s="304">
        <f t="shared" ca="1" si="442"/>
        <v>44.615900000000849</v>
      </c>
      <c r="D969" s="306">
        <f t="shared" ca="1" si="443"/>
        <v>-0.41870164709950708</v>
      </c>
      <c r="E969" s="307">
        <f t="shared" ca="1" si="444"/>
        <v>7.1694240994306213E-2</v>
      </c>
      <c r="F969" s="304">
        <f t="shared" ca="1" si="445"/>
        <v>0.42479540190024401</v>
      </c>
      <c r="G969" s="306">
        <f t="shared" ca="1" si="446"/>
        <v>4.8911968721687318</v>
      </c>
      <c r="H969" s="307">
        <f t="shared" ca="1" si="447"/>
        <v>-115.43714490836035</v>
      </c>
      <c r="I969" s="304">
        <f t="shared" ca="1" si="448"/>
        <v>115.54072109622693</v>
      </c>
      <c r="J969" s="306">
        <f t="shared" ca="1" si="449"/>
        <v>976.66817413190017</v>
      </c>
      <c r="K969" s="307">
        <f t="shared" ca="1" si="450"/>
        <v>-12.244791595452906</v>
      </c>
      <c r="L969" s="304">
        <f t="shared" ca="1" si="435"/>
        <v>976.7449294894526</v>
      </c>
      <c r="M969" s="306">
        <f t="shared" ca="1" si="451"/>
        <v>-1.5284505726999942</v>
      </c>
      <c r="N969" s="304">
        <f t="shared" ca="1" si="452"/>
        <v>-87.573767010063264</v>
      </c>
      <c r="P969" s="310">
        <f t="shared" ca="1" si="453"/>
        <v>23</v>
      </c>
      <c r="Q969" s="304">
        <f t="shared" ca="1" si="454"/>
        <v>0</v>
      </c>
      <c r="R969" s="306">
        <f t="shared" ca="1" si="455"/>
        <v>0</v>
      </c>
      <c r="S969" s="307">
        <f t="shared" ca="1" si="456"/>
        <v>5.0829999999999913</v>
      </c>
      <c r="T969" s="304">
        <f t="shared" ca="1" si="436"/>
        <v>49.864229999999914</v>
      </c>
      <c r="U969" s="311">
        <f t="shared" ca="1" si="437"/>
        <v>0</v>
      </c>
      <c r="V969" s="306">
        <f t="shared" ca="1" si="438"/>
        <v>1.2265009058844312</v>
      </c>
      <c r="W969" s="304">
        <f t="shared" ca="1" si="439"/>
        <v>50.273770600298519</v>
      </c>
      <c r="Y969" s="314" t="str">
        <f t="shared" ca="1" si="457"/>
        <v/>
      </c>
      <c r="Z969" s="315" t="str">
        <f t="shared" ca="1" si="458"/>
        <v/>
      </c>
      <c r="AA969" s="316" t="str">
        <f t="shared" ca="1" si="459"/>
        <v/>
      </c>
      <c r="AC969" s="310" t="e">
        <f t="shared" ca="1" si="460"/>
        <v>#N/A</v>
      </c>
      <c r="AD969" s="323" t="e">
        <f t="shared" ca="1" si="461"/>
        <v>#N/A</v>
      </c>
      <c r="AE969" s="324" t="e">
        <f t="shared" ca="1" si="440"/>
        <v>#N/A</v>
      </c>
      <c r="AG969" s="306">
        <f t="shared" ca="1" si="462"/>
        <v>-8.9355058737281112E-2</v>
      </c>
      <c r="AH969" s="304">
        <f t="shared" ca="1" si="463"/>
        <v>-9.8905607597235807</v>
      </c>
    </row>
    <row r="970" spans="1:34" x14ac:dyDescent="0.2">
      <c r="A970" s="347">
        <f t="shared" ca="1" si="441"/>
        <v>1E-4</v>
      </c>
      <c r="B970" s="304">
        <f t="shared" ca="1" si="442"/>
        <v>44.616000000000852</v>
      </c>
      <c r="D970" s="306">
        <f t="shared" ca="1" si="443"/>
        <v>-0.41869851386696416</v>
      </c>
      <c r="E970" s="307">
        <f t="shared" ca="1" si="444"/>
        <v>7.1704270215784405E-2</v>
      </c>
      <c r="F970" s="304">
        <f t="shared" ca="1" si="445"/>
        <v>0.42479400640967452</v>
      </c>
      <c r="G970" s="306">
        <f t="shared" ca="1" si="446"/>
        <v>4.8911550023173449</v>
      </c>
      <c r="H970" s="307">
        <f t="shared" ca="1" si="447"/>
        <v>-115.43713773793333</v>
      </c>
      <c r="I970" s="304">
        <f t="shared" ca="1" si="448"/>
        <v>115.54071215975469</v>
      </c>
      <c r="J970" s="306">
        <f t="shared" ca="1" si="449"/>
        <v>976.66817413190017</v>
      </c>
      <c r="K970" s="307">
        <f t="shared" ca="1" si="450"/>
        <v>-12.25633530958522</v>
      </c>
      <c r="L970" s="304">
        <f t="shared" ca="1" si="435"/>
        <v>976.74507427340563</v>
      </c>
      <c r="M970" s="306">
        <f t="shared" ca="1" si="451"/>
        <v>-1.5284509321297579</v>
      </c>
      <c r="N970" s="304">
        <f t="shared" ca="1" si="452"/>
        <v>-87.573787603871764</v>
      </c>
      <c r="P970" s="310">
        <f t="shared" ca="1" si="453"/>
        <v>23</v>
      </c>
      <c r="Q970" s="304">
        <f t="shared" ca="1" si="454"/>
        <v>0</v>
      </c>
      <c r="R970" s="306">
        <f t="shared" ca="1" si="455"/>
        <v>0</v>
      </c>
      <c r="S970" s="307">
        <f t="shared" ca="1" si="456"/>
        <v>5.0829999999999913</v>
      </c>
      <c r="T970" s="304">
        <f t="shared" ca="1" si="436"/>
        <v>49.864229999999914</v>
      </c>
      <c r="U970" s="311">
        <f t="shared" ca="1" si="437"/>
        <v>0</v>
      </c>
      <c r="V970" s="306">
        <f t="shared" ca="1" si="438"/>
        <v>1.2265023217233637</v>
      </c>
      <c r="W970" s="304">
        <f t="shared" ca="1" si="439"/>
        <v>50.273820858120772</v>
      </c>
      <c r="Y970" s="314" t="str">
        <f t="shared" ca="1" si="457"/>
        <v/>
      </c>
      <c r="Z970" s="315" t="str">
        <f t="shared" ca="1" si="458"/>
        <v/>
      </c>
      <c r="AA970" s="316" t="str">
        <f t="shared" ca="1" si="459"/>
        <v/>
      </c>
      <c r="AC970" s="310" t="e">
        <f t="shared" ca="1" si="460"/>
        <v>#N/A</v>
      </c>
      <c r="AD970" s="323" t="e">
        <f t="shared" ca="1" si="461"/>
        <v>#N/A</v>
      </c>
      <c r="AE970" s="324" t="e">
        <f t="shared" ca="1" si="440"/>
        <v>#N/A</v>
      </c>
      <c r="AG970" s="306">
        <f t="shared" ca="1" si="462"/>
        <v>-8.9364797059351631E-2</v>
      </c>
      <c r="AH970" s="304">
        <f t="shared" ca="1" si="463"/>
        <v>-9.8905706473143038</v>
      </c>
    </row>
    <row r="971" spans="1:34" x14ac:dyDescent="0.2">
      <c r="A971" s="347">
        <f t="shared" ca="1" si="441"/>
        <v>1E-4</v>
      </c>
      <c r="B971" s="304">
        <f t="shared" ca="1" si="442"/>
        <v>44.616100000000856</v>
      </c>
      <c r="D971" s="306">
        <f t="shared" ca="1" si="443"/>
        <v>-0.41869538065044548</v>
      </c>
      <c r="E971" s="307">
        <f t="shared" ca="1" si="444"/>
        <v>7.1714299277500615E-2</v>
      </c>
      <c r="F971" s="304">
        <f t="shared" ca="1" si="445"/>
        <v>0.42479261116324091</v>
      </c>
      <c r="G971" s="306">
        <f t="shared" ca="1" si="446"/>
        <v>4.8911131327792798</v>
      </c>
      <c r="H971" s="307">
        <f t="shared" ca="1" si="447"/>
        <v>-115.4371305665034</v>
      </c>
      <c r="I971" s="304">
        <f t="shared" ca="1" si="448"/>
        <v>115.54070322230864</v>
      </c>
      <c r="J971" s="306">
        <f t="shared" ca="1" si="449"/>
        <v>976.66817413190017</v>
      </c>
      <c r="K971" s="307">
        <f t="shared" ca="1" si="450"/>
        <v>-12.267879023000441</v>
      </c>
      <c r="L971" s="304">
        <f t="shared" ca="1" si="435"/>
        <v>976.7452191937582</v>
      </c>
      <c r="M971" s="306">
        <f t="shared" ca="1" si="451"/>
        <v>-1.5284512915565003</v>
      </c>
      <c r="N971" s="304">
        <f t="shared" ca="1" si="452"/>
        <v>-87.573808197507148</v>
      </c>
      <c r="P971" s="310">
        <f t="shared" ca="1" si="453"/>
        <v>23</v>
      </c>
      <c r="Q971" s="304">
        <f t="shared" ca="1" si="454"/>
        <v>0</v>
      </c>
      <c r="R971" s="306">
        <f t="shared" ca="1" si="455"/>
        <v>0</v>
      </c>
      <c r="S971" s="307">
        <f t="shared" ca="1" si="456"/>
        <v>5.0829999999999913</v>
      </c>
      <c r="T971" s="304">
        <f t="shared" ca="1" si="436"/>
        <v>49.864229999999914</v>
      </c>
      <c r="U971" s="311">
        <f t="shared" ca="1" si="437"/>
        <v>0</v>
      </c>
      <c r="V971" s="306">
        <f t="shared" ca="1" si="438"/>
        <v>1.2265037375638437</v>
      </c>
      <c r="W971" s="304">
        <f t="shared" ca="1" si="439"/>
        <v>50.273871115141652</v>
      </c>
      <c r="Y971" s="314" t="str">
        <f t="shared" ca="1" si="457"/>
        <v/>
      </c>
      <c r="Z971" s="315" t="str">
        <f t="shared" ca="1" si="458"/>
        <v/>
      </c>
      <c r="AA971" s="316" t="str">
        <f t="shared" ca="1" si="459"/>
        <v/>
      </c>
      <c r="AC971" s="310" t="e">
        <f t="shared" ca="1" si="460"/>
        <v>#N/A</v>
      </c>
      <c r="AD971" s="323" t="e">
        <f t="shared" ca="1" si="461"/>
        <v>#N/A</v>
      </c>
      <c r="AE971" s="324" t="e">
        <f t="shared" ca="1" si="440"/>
        <v>#N/A</v>
      </c>
      <c r="AG971" s="306">
        <f t="shared" ca="1" si="462"/>
        <v>-8.9374535226284024E-2</v>
      </c>
      <c r="AH971" s="304">
        <f t="shared" ca="1" si="463"/>
        <v>-9.8905805347473645</v>
      </c>
    </row>
    <row r="972" spans="1:34" x14ac:dyDescent="0.2">
      <c r="A972" s="347">
        <f t="shared" ca="1" si="441"/>
        <v>1E-4</v>
      </c>
      <c r="B972" s="304">
        <f t="shared" ca="1" si="442"/>
        <v>44.616200000000859</v>
      </c>
      <c r="D972" s="306">
        <f t="shared" ca="1" si="443"/>
        <v>-0.41869224744995376</v>
      </c>
      <c r="E972" s="307">
        <f t="shared" ca="1" si="444"/>
        <v>7.1724328179463726E-2</v>
      </c>
      <c r="F972" s="304">
        <f t="shared" ca="1" si="445"/>
        <v>0.42479121616093796</v>
      </c>
      <c r="G972" s="306">
        <f t="shared" ca="1" si="446"/>
        <v>4.8910712635545348</v>
      </c>
      <c r="H972" s="307">
        <f t="shared" ca="1" si="447"/>
        <v>-115.43712339407058</v>
      </c>
      <c r="I972" s="304">
        <f t="shared" ca="1" si="448"/>
        <v>115.54069428388875</v>
      </c>
      <c r="J972" s="306">
        <f t="shared" ca="1" si="449"/>
        <v>976.66817413190017</v>
      </c>
      <c r="K972" s="307">
        <f t="shared" ca="1" si="450"/>
        <v>-12.27942273569847</v>
      </c>
      <c r="L972" s="304">
        <f t="shared" ca="1" si="435"/>
        <v>976.74536425051008</v>
      </c>
      <c r="M972" s="306">
        <f t="shared" ca="1" si="451"/>
        <v>-1.5284516509802215</v>
      </c>
      <c r="N972" s="304">
        <f t="shared" ca="1" si="452"/>
        <v>-87.573828790969429</v>
      </c>
      <c r="P972" s="310">
        <f t="shared" ca="1" si="453"/>
        <v>23</v>
      </c>
      <c r="Q972" s="304">
        <f t="shared" ca="1" si="454"/>
        <v>0</v>
      </c>
      <c r="R972" s="306">
        <f t="shared" ca="1" si="455"/>
        <v>0</v>
      </c>
      <c r="S972" s="307">
        <f t="shared" ca="1" si="456"/>
        <v>5.0829999999999913</v>
      </c>
      <c r="T972" s="304">
        <f t="shared" ca="1" si="436"/>
        <v>49.864229999999914</v>
      </c>
      <c r="U972" s="311">
        <f t="shared" ca="1" si="437"/>
        <v>0</v>
      </c>
      <c r="V972" s="306">
        <f t="shared" ca="1" si="438"/>
        <v>1.2265051534058706</v>
      </c>
      <c r="W972" s="304">
        <f t="shared" ca="1" si="439"/>
        <v>50.273921371361119</v>
      </c>
      <c r="Y972" s="314" t="str">
        <f t="shared" ca="1" si="457"/>
        <v/>
      </c>
      <c r="Z972" s="315" t="str">
        <f t="shared" ca="1" si="458"/>
        <v/>
      </c>
      <c r="AA972" s="316" t="str">
        <f t="shared" ca="1" si="459"/>
        <v/>
      </c>
      <c r="AC972" s="310" t="e">
        <f t="shared" ca="1" si="460"/>
        <v>#N/A</v>
      </c>
      <c r="AD972" s="323" t="e">
        <f t="shared" ca="1" si="461"/>
        <v>#N/A</v>
      </c>
      <c r="AE972" s="324" t="e">
        <f t="shared" ca="1" si="440"/>
        <v>#N/A</v>
      </c>
      <c r="AG972" s="306">
        <f t="shared" ca="1" si="462"/>
        <v>-8.938427323808007E-2</v>
      </c>
      <c r="AH972" s="304">
        <f t="shared" ca="1" si="463"/>
        <v>-9.8905904220227701</v>
      </c>
    </row>
    <row r="973" spans="1:34" x14ac:dyDescent="0.2">
      <c r="A973" s="347">
        <f t="shared" ca="1" si="441"/>
        <v>1E-4</v>
      </c>
      <c r="B973" s="304">
        <f t="shared" ca="1" si="442"/>
        <v>44.616300000000862</v>
      </c>
      <c r="D973" s="306">
        <f t="shared" ca="1" si="443"/>
        <v>-0.4186891142654865</v>
      </c>
      <c r="E973" s="307">
        <f t="shared" ca="1" si="444"/>
        <v>7.1734356921657749E-2</v>
      </c>
      <c r="F973" s="304">
        <f t="shared" ca="1" si="445"/>
        <v>0.42478982140275134</v>
      </c>
      <c r="G973" s="306">
        <f t="shared" ca="1" si="446"/>
        <v>4.891029394643108</v>
      </c>
      <c r="H973" s="307">
        <f t="shared" ca="1" si="447"/>
        <v>-115.43711622063489</v>
      </c>
      <c r="I973" s="304">
        <f t="shared" ca="1" si="448"/>
        <v>115.54068534449512</v>
      </c>
      <c r="J973" s="306">
        <f t="shared" ca="1" si="449"/>
        <v>976.66817413190017</v>
      </c>
      <c r="K973" s="307">
        <f t="shared" ca="1" si="450"/>
        <v>-12.290966447679205</v>
      </c>
      <c r="L973" s="304">
        <f t="shared" ca="1" si="435"/>
        <v>976.74550944366138</v>
      </c>
      <c r="M973" s="306">
        <f t="shared" ca="1" si="451"/>
        <v>-1.5284520104009216</v>
      </c>
      <c r="N973" s="304">
        <f t="shared" ca="1" si="452"/>
        <v>-87.573849384258608</v>
      </c>
      <c r="P973" s="310">
        <f t="shared" ca="1" si="453"/>
        <v>23</v>
      </c>
      <c r="Q973" s="304">
        <f t="shared" ca="1" si="454"/>
        <v>0</v>
      </c>
      <c r="R973" s="306">
        <f t="shared" ca="1" si="455"/>
        <v>0</v>
      </c>
      <c r="S973" s="307">
        <f t="shared" ca="1" si="456"/>
        <v>5.0829999999999913</v>
      </c>
      <c r="T973" s="304">
        <f t="shared" ca="1" si="436"/>
        <v>49.864229999999914</v>
      </c>
      <c r="U973" s="311">
        <f t="shared" ca="1" si="437"/>
        <v>0</v>
      </c>
      <c r="V973" s="306">
        <f t="shared" ca="1" si="438"/>
        <v>1.2265065692494455</v>
      </c>
      <c r="W973" s="304">
        <f t="shared" ca="1" si="439"/>
        <v>50.273971626779286</v>
      </c>
      <c r="Y973" s="314" t="str">
        <f t="shared" ca="1" si="457"/>
        <v/>
      </c>
      <c r="Z973" s="315" t="str">
        <f t="shared" ca="1" si="458"/>
        <v/>
      </c>
      <c r="AA973" s="316" t="str">
        <f t="shared" ca="1" si="459"/>
        <v/>
      </c>
      <c r="AC973" s="310" t="e">
        <f t="shared" ca="1" si="460"/>
        <v>#N/A</v>
      </c>
      <c r="AD973" s="323" t="e">
        <f t="shared" ca="1" si="461"/>
        <v>#N/A</v>
      </c>
      <c r="AE973" s="324" t="e">
        <f t="shared" ca="1" si="440"/>
        <v>#N/A</v>
      </c>
      <c r="AG973" s="306">
        <f t="shared" ca="1" si="462"/>
        <v>-8.9394011094729109E-2</v>
      </c>
      <c r="AH973" s="304">
        <f t="shared" ca="1" si="463"/>
        <v>-9.8906003091405079</v>
      </c>
    </row>
    <row r="974" spans="1:34" x14ac:dyDescent="0.2">
      <c r="A974" s="347">
        <f t="shared" ca="1" si="441"/>
        <v>1E-4</v>
      </c>
      <c r="B974" s="304">
        <f t="shared" ca="1" si="442"/>
        <v>44.616400000000866</v>
      </c>
      <c r="D974" s="306">
        <f t="shared" ca="1" si="443"/>
        <v>-0.41868598109704508</v>
      </c>
      <c r="E974" s="307">
        <f t="shared" ca="1" si="444"/>
        <v>7.1744385504112884E-2</v>
      </c>
      <c r="F974" s="304">
        <f t="shared" ca="1" si="445"/>
        <v>0.42478842688867824</v>
      </c>
      <c r="G974" s="306">
        <f t="shared" ca="1" si="446"/>
        <v>4.8909875260449986</v>
      </c>
      <c r="H974" s="307">
        <f t="shared" ca="1" si="447"/>
        <v>-115.43710904619634</v>
      </c>
      <c r="I974" s="304">
        <f t="shared" ca="1" si="448"/>
        <v>115.54067640412771</v>
      </c>
      <c r="J974" s="306">
        <f t="shared" ca="1" si="449"/>
        <v>976.66817413190017</v>
      </c>
      <c r="K974" s="307">
        <f t="shared" ca="1" si="450"/>
        <v>-12.302510158942546</v>
      </c>
      <c r="L974" s="304">
        <f t="shared" ca="1" si="435"/>
        <v>976.74565477321198</v>
      </c>
      <c r="M974" s="306">
        <f t="shared" ca="1" si="451"/>
        <v>-1.5284523698186006</v>
      </c>
      <c r="N974" s="304">
        <f t="shared" ca="1" si="452"/>
        <v>-87.573869977374699</v>
      </c>
      <c r="P974" s="310">
        <f t="shared" ca="1" si="453"/>
        <v>23</v>
      </c>
      <c r="Q974" s="304">
        <f t="shared" ca="1" si="454"/>
        <v>0</v>
      </c>
      <c r="R974" s="306">
        <f t="shared" ca="1" si="455"/>
        <v>0</v>
      </c>
      <c r="S974" s="307">
        <f t="shared" ca="1" si="456"/>
        <v>5.0829999999999913</v>
      </c>
      <c r="T974" s="304">
        <f t="shared" ca="1" si="436"/>
        <v>49.864229999999914</v>
      </c>
      <c r="U974" s="311">
        <f t="shared" ca="1" si="437"/>
        <v>0</v>
      </c>
      <c r="V974" s="306">
        <f t="shared" ca="1" si="438"/>
        <v>1.2265079850945677</v>
      </c>
      <c r="W974" s="304">
        <f t="shared" ca="1" si="439"/>
        <v>50.274021881396095</v>
      </c>
      <c r="Y974" s="314" t="str">
        <f t="shared" ca="1" si="457"/>
        <v/>
      </c>
      <c r="Z974" s="315" t="str">
        <f t="shared" ca="1" si="458"/>
        <v/>
      </c>
      <c r="AA974" s="316" t="str">
        <f t="shared" ca="1" si="459"/>
        <v/>
      </c>
      <c r="AC974" s="310" t="e">
        <f t="shared" ca="1" si="460"/>
        <v>#N/A</v>
      </c>
      <c r="AD974" s="323" t="e">
        <f t="shared" ca="1" si="461"/>
        <v>#N/A</v>
      </c>
      <c r="AE974" s="324" t="e">
        <f t="shared" ca="1" si="440"/>
        <v>#N/A</v>
      </c>
      <c r="AG974" s="306">
        <f t="shared" ca="1" si="462"/>
        <v>-8.9403748796259563E-2</v>
      </c>
      <c r="AH974" s="304">
        <f t="shared" ca="1" si="463"/>
        <v>-9.8906101961006048</v>
      </c>
    </row>
    <row r="975" spans="1:34" x14ac:dyDescent="0.2">
      <c r="A975" s="347">
        <f t="shared" ca="1" si="441"/>
        <v>1E-4</v>
      </c>
      <c r="B975" s="304">
        <f t="shared" ca="1" si="442"/>
        <v>44.616500000000869</v>
      </c>
      <c r="D975" s="306">
        <f t="shared" ca="1" si="443"/>
        <v>-0.41868284794462923</v>
      </c>
      <c r="E975" s="307">
        <f t="shared" ca="1" si="444"/>
        <v>7.1754413926811367E-2</v>
      </c>
      <c r="F975" s="304">
        <f t="shared" ca="1" si="445"/>
        <v>0.4247870326187061</v>
      </c>
      <c r="G975" s="306">
        <f t="shared" ca="1" si="446"/>
        <v>4.890945657760204</v>
      </c>
      <c r="H975" s="307">
        <f t="shared" ca="1" si="447"/>
        <v>-115.43710187075494</v>
      </c>
      <c r="I975" s="304">
        <f t="shared" ca="1" si="448"/>
        <v>115.54066746278653</v>
      </c>
      <c r="J975" s="306">
        <f t="shared" ca="1" si="449"/>
        <v>976.66817413190017</v>
      </c>
      <c r="K975" s="307">
        <f t="shared" ca="1" si="450"/>
        <v>-12.314053869488394</v>
      </c>
      <c r="L975" s="304">
        <f t="shared" ca="1" si="435"/>
        <v>976.74580023916167</v>
      </c>
      <c r="M975" s="306">
        <f t="shared" ca="1" si="451"/>
        <v>-1.5284527292332586</v>
      </c>
      <c r="N975" s="304">
        <f t="shared" ca="1" si="452"/>
        <v>-87.573890570317701</v>
      </c>
      <c r="P975" s="310">
        <f t="shared" ca="1" si="453"/>
        <v>23</v>
      </c>
      <c r="Q975" s="304">
        <f t="shared" ca="1" si="454"/>
        <v>0</v>
      </c>
      <c r="R975" s="306">
        <f t="shared" ca="1" si="455"/>
        <v>0</v>
      </c>
      <c r="S975" s="307">
        <f t="shared" ca="1" si="456"/>
        <v>5.0829999999999913</v>
      </c>
      <c r="T975" s="304">
        <f t="shared" ca="1" si="436"/>
        <v>49.864229999999914</v>
      </c>
      <c r="U975" s="311">
        <f t="shared" ca="1" si="437"/>
        <v>0</v>
      </c>
      <c r="V975" s="306">
        <f t="shared" ca="1" si="438"/>
        <v>1.2265094009412376</v>
      </c>
      <c r="W975" s="304">
        <f t="shared" ca="1" si="439"/>
        <v>50.274072135211583</v>
      </c>
      <c r="Y975" s="314" t="str">
        <f t="shared" ca="1" si="457"/>
        <v/>
      </c>
      <c r="Z975" s="315" t="str">
        <f t="shared" ca="1" si="458"/>
        <v/>
      </c>
      <c r="AA975" s="316" t="str">
        <f t="shared" ca="1" si="459"/>
        <v/>
      </c>
      <c r="AC975" s="310" t="e">
        <f t="shared" ca="1" si="460"/>
        <v>#N/A</v>
      </c>
      <c r="AD975" s="323" t="e">
        <f t="shared" ca="1" si="461"/>
        <v>#N/A</v>
      </c>
      <c r="AE975" s="324" t="e">
        <f t="shared" ca="1" si="440"/>
        <v>#N/A</v>
      </c>
      <c r="AG975" s="306">
        <f t="shared" ca="1" si="462"/>
        <v>-8.941348634265367E-2</v>
      </c>
      <c r="AH975" s="304">
        <f t="shared" ca="1" si="463"/>
        <v>-9.8906200829030464</v>
      </c>
    </row>
    <row r="976" spans="1:34" x14ac:dyDescent="0.2">
      <c r="A976" s="347">
        <f t="shared" ca="1" si="441"/>
        <v>1E-4</v>
      </c>
      <c r="B976" s="304">
        <f t="shared" ca="1" si="442"/>
        <v>44.616600000000872</v>
      </c>
      <c r="D976" s="306">
        <f t="shared" ca="1" si="443"/>
        <v>-0.41867971480823718</v>
      </c>
      <c r="E976" s="307">
        <f t="shared" ca="1" si="444"/>
        <v>7.1764442189765631E-2</v>
      </c>
      <c r="F976" s="304">
        <f t="shared" ca="1" si="445"/>
        <v>0.42478563859282603</v>
      </c>
      <c r="G976" s="306">
        <f t="shared" ca="1" si="446"/>
        <v>4.8909037897887231</v>
      </c>
      <c r="H976" s="307">
        <f t="shared" ca="1" si="447"/>
        <v>-115.43709469431073</v>
      </c>
      <c r="I976" s="304">
        <f t="shared" ca="1" si="448"/>
        <v>115.54065852047162</v>
      </c>
      <c r="J976" s="306">
        <f t="shared" ca="1" si="449"/>
        <v>976.66817413190017</v>
      </c>
      <c r="K976" s="307">
        <f t="shared" ca="1" si="450"/>
        <v>-12.325597579316646</v>
      </c>
      <c r="L976" s="304">
        <f t="shared" ca="1" si="435"/>
        <v>976.74594584151055</v>
      </c>
      <c r="M976" s="306">
        <f t="shared" ca="1" si="451"/>
        <v>-1.5284530886448953</v>
      </c>
      <c r="N976" s="304">
        <f t="shared" ca="1" si="452"/>
        <v>-87.573911163087587</v>
      </c>
      <c r="P976" s="310">
        <f t="shared" ca="1" si="453"/>
        <v>23</v>
      </c>
      <c r="Q976" s="304">
        <f t="shared" ca="1" si="454"/>
        <v>0</v>
      </c>
      <c r="R976" s="306">
        <f t="shared" ca="1" si="455"/>
        <v>0</v>
      </c>
      <c r="S976" s="307">
        <f t="shared" ca="1" si="456"/>
        <v>5.0829999999999913</v>
      </c>
      <c r="T976" s="304">
        <f t="shared" ca="1" si="436"/>
        <v>49.864229999999914</v>
      </c>
      <c r="U976" s="311">
        <f t="shared" ca="1" si="437"/>
        <v>0</v>
      </c>
      <c r="V976" s="306">
        <f t="shared" ca="1" si="438"/>
        <v>1.2265108167894547</v>
      </c>
      <c r="W976" s="304">
        <f t="shared" ca="1" si="439"/>
        <v>50.274122388225734</v>
      </c>
      <c r="Y976" s="314" t="str">
        <f t="shared" ca="1" si="457"/>
        <v/>
      </c>
      <c r="Z976" s="315" t="str">
        <f t="shared" ca="1" si="458"/>
        <v/>
      </c>
      <c r="AA976" s="316" t="str">
        <f t="shared" ca="1" si="459"/>
        <v/>
      </c>
      <c r="AC976" s="310" t="e">
        <f t="shared" ca="1" si="460"/>
        <v>#N/A</v>
      </c>
      <c r="AD976" s="323" t="e">
        <f t="shared" ca="1" si="461"/>
        <v>#N/A</v>
      </c>
      <c r="AE976" s="324" t="e">
        <f t="shared" ca="1" si="440"/>
        <v>#N/A</v>
      </c>
      <c r="AG976" s="306">
        <f t="shared" ca="1" si="462"/>
        <v>-8.9423223733922086E-2</v>
      </c>
      <c r="AH976" s="304">
        <f t="shared" ca="1" si="463"/>
        <v>-9.8906299695478399</v>
      </c>
    </row>
    <row r="977" spans="1:34" x14ac:dyDescent="0.2">
      <c r="A977" s="347">
        <f t="shared" ca="1" si="441"/>
        <v>1E-4</v>
      </c>
      <c r="B977" s="304">
        <f t="shared" ca="1" si="442"/>
        <v>44.616700000000876</v>
      </c>
      <c r="D977" s="306">
        <f t="shared" ca="1" si="443"/>
        <v>-0.41867658168787375</v>
      </c>
      <c r="E977" s="307">
        <f t="shared" ca="1" si="444"/>
        <v>7.1774470292968573E-2</v>
      </c>
      <c r="F977" s="304">
        <f t="shared" ca="1" si="445"/>
        <v>0.42478424481103233</v>
      </c>
      <c r="G977" s="306">
        <f t="shared" ca="1" si="446"/>
        <v>4.8908619221305543</v>
      </c>
      <c r="H977" s="307">
        <f t="shared" ca="1" si="447"/>
        <v>-115.4370875168637</v>
      </c>
      <c r="I977" s="304">
        <f t="shared" ca="1" si="448"/>
        <v>115.54064957718299</v>
      </c>
      <c r="J977" s="306">
        <f t="shared" ca="1" si="449"/>
        <v>976.66817413190017</v>
      </c>
      <c r="K977" s="307">
        <f t="shared" ca="1" si="450"/>
        <v>-12.337141288427205</v>
      </c>
      <c r="L977" s="304">
        <f t="shared" ca="1" si="435"/>
        <v>976.74609158025828</v>
      </c>
      <c r="M977" s="306">
        <f t="shared" ca="1" si="451"/>
        <v>-1.528453448053511</v>
      </c>
      <c r="N977" s="304">
        <f t="shared" ca="1" si="452"/>
        <v>-87.573931755684399</v>
      </c>
      <c r="P977" s="310">
        <f t="shared" ca="1" si="453"/>
        <v>23</v>
      </c>
      <c r="Q977" s="304">
        <f t="shared" ca="1" si="454"/>
        <v>0</v>
      </c>
      <c r="R977" s="306">
        <f t="shared" ca="1" si="455"/>
        <v>0</v>
      </c>
      <c r="S977" s="307">
        <f t="shared" ca="1" si="456"/>
        <v>5.0829999999999913</v>
      </c>
      <c r="T977" s="304">
        <f t="shared" ca="1" si="436"/>
        <v>49.864229999999914</v>
      </c>
      <c r="U977" s="311">
        <f t="shared" ca="1" si="437"/>
        <v>0</v>
      </c>
      <c r="V977" s="306">
        <f t="shared" ca="1" si="438"/>
        <v>1.2265122326392188</v>
      </c>
      <c r="W977" s="304">
        <f t="shared" ca="1" si="439"/>
        <v>50.274172640438557</v>
      </c>
      <c r="Y977" s="314" t="str">
        <f t="shared" ca="1" si="457"/>
        <v/>
      </c>
      <c r="Z977" s="315" t="str">
        <f t="shared" ca="1" si="458"/>
        <v/>
      </c>
      <c r="AA977" s="316" t="str">
        <f t="shared" ca="1" si="459"/>
        <v/>
      </c>
      <c r="AC977" s="310" t="e">
        <f t="shared" ca="1" si="460"/>
        <v>#N/A</v>
      </c>
      <c r="AD977" s="323" t="e">
        <f t="shared" ca="1" si="461"/>
        <v>#N/A</v>
      </c>
      <c r="AE977" s="324" t="e">
        <f t="shared" ca="1" si="440"/>
        <v>#N/A</v>
      </c>
      <c r="AG977" s="306">
        <f t="shared" ca="1" si="462"/>
        <v>-8.9432960970061259E-2</v>
      </c>
      <c r="AH977" s="304">
        <f t="shared" ca="1" si="463"/>
        <v>-9.8906398560349835</v>
      </c>
    </row>
    <row r="978" spans="1:34" x14ac:dyDescent="0.2">
      <c r="A978" s="347">
        <f t="shared" ca="1" si="441"/>
        <v>1E-4</v>
      </c>
      <c r="B978" s="304">
        <f t="shared" ca="1" si="442"/>
        <v>44.616800000000879</v>
      </c>
      <c r="D978" s="306">
        <f t="shared" ca="1" si="443"/>
        <v>-0.41867344858353461</v>
      </c>
      <c r="E978" s="307">
        <f t="shared" ca="1" si="444"/>
        <v>7.1784498236423744E-2</v>
      </c>
      <c r="F978" s="304">
        <f t="shared" ca="1" si="445"/>
        <v>0.42478285127331206</v>
      </c>
      <c r="G978" s="306">
        <f t="shared" ca="1" si="446"/>
        <v>4.8908200547856957</v>
      </c>
      <c r="H978" s="307">
        <f t="shared" ca="1" si="447"/>
        <v>-115.43708033841388</v>
      </c>
      <c r="I978" s="304">
        <f t="shared" ca="1" si="448"/>
        <v>115.54064063292064</v>
      </c>
      <c r="J978" s="306">
        <f t="shared" ca="1" si="449"/>
        <v>976.66817413190017</v>
      </c>
      <c r="K978" s="307">
        <f t="shared" ca="1" si="450"/>
        <v>-12.348684996819969</v>
      </c>
      <c r="L978" s="304">
        <f t="shared" ca="1" si="435"/>
        <v>976.74623745540498</v>
      </c>
      <c r="M978" s="306">
        <f t="shared" ca="1" si="451"/>
        <v>-1.5284538074591059</v>
      </c>
      <c r="N978" s="304">
        <f t="shared" ca="1" si="452"/>
        <v>-87.573952348108108</v>
      </c>
      <c r="P978" s="310">
        <f t="shared" ca="1" si="453"/>
        <v>23</v>
      </c>
      <c r="Q978" s="304">
        <f t="shared" ca="1" si="454"/>
        <v>0</v>
      </c>
      <c r="R978" s="306">
        <f t="shared" ca="1" si="455"/>
        <v>0</v>
      </c>
      <c r="S978" s="307">
        <f t="shared" ca="1" si="456"/>
        <v>5.0829999999999913</v>
      </c>
      <c r="T978" s="304">
        <f t="shared" ca="1" si="436"/>
        <v>49.864229999999914</v>
      </c>
      <c r="U978" s="311">
        <f t="shared" ca="1" si="437"/>
        <v>0</v>
      </c>
      <c r="V978" s="306">
        <f t="shared" ca="1" si="438"/>
        <v>1.226513648490531</v>
      </c>
      <c r="W978" s="304">
        <f t="shared" ca="1" si="439"/>
        <v>50.274222891850108</v>
      </c>
      <c r="Y978" s="314" t="str">
        <f t="shared" ca="1" si="457"/>
        <v/>
      </c>
      <c r="Z978" s="315" t="str">
        <f t="shared" ca="1" si="458"/>
        <v/>
      </c>
      <c r="AA978" s="316" t="str">
        <f t="shared" ca="1" si="459"/>
        <v/>
      </c>
      <c r="AC978" s="310" t="e">
        <f t="shared" ca="1" si="460"/>
        <v>#N/A</v>
      </c>
      <c r="AD978" s="323" t="e">
        <f t="shared" ca="1" si="461"/>
        <v>#N/A</v>
      </c>
      <c r="AE978" s="324" t="e">
        <f t="shared" ca="1" si="440"/>
        <v>#N/A</v>
      </c>
      <c r="AG978" s="306">
        <f t="shared" ca="1" si="462"/>
        <v>-8.944269805107119E-2</v>
      </c>
      <c r="AH978" s="304">
        <f t="shared" ca="1" si="463"/>
        <v>-9.890649742364479</v>
      </c>
    </row>
    <row r="979" spans="1:34" x14ac:dyDescent="0.2">
      <c r="A979" s="347">
        <f t="shared" ca="1" si="441"/>
        <v>1E-4</v>
      </c>
      <c r="B979" s="304">
        <f t="shared" ca="1" si="442"/>
        <v>44.616900000000882</v>
      </c>
      <c r="D979" s="306">
        <f t="shared" ca="1" si="443"/>
        <v>-0.4186703154952206</v>
      </c>
      <c r="E979" s="307">
        <f t="shared" ca="1" si="444"/>
        <v>7.1794526020141802E-2</v>
      </c>
      <c r="F979" s="304">
        <f t="shared" ca="1" si="445"/>
        <v>0.42478145797965849</v>
      </c>
      <c r="G979" s="306">
        <f t="shared" ca="1" si="446"/>
        <v>4.8907781877541465</v>
      </c>
      <c r="H979" s="307">
        <f t="shared" ca="1" si="447"/>
        <v>-115.43707315896128</v>
      </c>
      <c r="I979" s="304">
        <f t="shared" ca="1" si="448"/>
        <v>115.54063168768462</v>
      </c>
      <c r="J979" s="306">
        <f t="shared" ca="1" si="449"/>
        <v>976.66817413190017</v>
      </c>
      <c r="K979" s="307">
        <f t="shared" ca="1" si="450"/>
        <v>-12.360228704494839</v>
      </c>
      <c r="L979" s="304">
        <f t="shared" ca="1" si="435"/>
        <v>976.74638346695053</v>
      </c>
      <c r="M979" s="306">
        <f t="shared" ca="1" si="451"/>
        <v>-1.5284541668616798</v>
      </c>
      <c r="N979" s="304">
        <f t="shared" ca="1" si="452"/>
        <v>-87.573972940358743</v>
      </c>
      <c r="P979" s="310">
        <f t="shared" ca="1" si="453"/>
        <v>23</v>
      </c>
      <c r="Q979" s="304">
        <f t="shared" ca="1" si="454"/>
        <v>0</v>
      </c>
      <c r="R979" s="306">
        <f t="shared" ca="1" si="455"/>
        <v>0</v>
      </c>
      <c r="S979" s="307">
        <f t="shared" ca="1" si="456"/>
        <v>5.0829999999999913</v>
      </c>
      <c r="T979" s="304">
        <f t="shared" ca="1" si="436"/>
        <v>49.864229999999914</v>
      </c>
      <c r="U979" s="311">
        <f t="shared" ca="1" si="437"/>
        <v>0</v>
      </c>
      <c r="V979" s="306">
        <f t="shared" ca="1" si="438"/>
        <v>1.2265150643433902</v>
      </c>
      <c r="W979" s="304">
        <f t="shared" ca="1" si="439"/>
        <v>50.274273142460366</v>
      </c>
      <c r="Y979" s="314" t="str">
        <f t="shared" ca="1" si="457"/>
        <v/>
      </c>
      <c r="Z979" s="315" t="str">
        <f t="shared" ca="1" si="458"/>
        <v/>
      </c>
      <c r="AA979" s="316" t="str">
        <f t="shared" ca="1" si="459"/>
        <v/>
      </c>
      <c r="AC979" s="310" t="e">
        <f t="shared" ca="1" si="460"/>
        <v>#N/A</v>
      </c>
      <c r="AD979" s="323" t="e">
        <f t="shared" ca="1" si="461"/>
        <v>#N/A</v>
      </c>
      <c r="AE979" s="324" t="e">
        <f t="shared" ca="1" si="440"/>
        <v>#N/A</v>
      </c>
      <c r="AG979" s="306">
        <f t="shared" ca="1" si="462"/>
        <v>-8.9452434976964312E-2</v>
      </c>
      <c r="AH979" s="304">
        <f t="shared" ca="1" si="463"/>
        <v>-9.8906596285363353</v>
      </c>
    </row>
    <row r="980" spans="1:34" x14ac:dyDescent="0.2">
      <c r="A980" s="347">
        <f t="shared" ca="1" si="441"/>
        <v>1E-4</v>
      </c>
      <c r="B980" s="304">
        <f t="shared" ca="1" si="442"/>
        <v>44.617000000000886</v>
      </c>
      <c r="D980" s="306">
        <f t="shared" ca="1" si="443"/>
        <v>-0.41866718242293177</v>
      </c>
      <c r="E980" s="307">
        <f t="shared" ca="1" si="444"/>
        <v>7.1804553644119196E-2</v>
      </c>
      <c r="F980" s="304">
        <f t="shared" ca="1" si="445"/>
        <v>0.42478006493006193</v>
      </c>
      <c r="G980" s="306">
        <f t="shared" ca="1" si="446"/>
        <v>4.8907363210359041</v>
      </c>
      <c r="H980" s="307">
        <f t="shared" ca="1" si="447"/>
        <v>-115.43706597850591</v>
      </c>
      <c r="I980" s="304">
        <f t="shared" ca="1" si="448"/>
        <v>115.54062274147491</v>
      </c>
      <c r="J980" s="306">
        <f t="shared" ca="1" si="449"/>
        <v>976.66817413190017</v>
      </c>
      <c r="K980" s="307">
        <f t="shared" ca="1" si="450"/>
        <v>-12.371772411451712</v>
      </c>
      <c r="L980" s="304">
        <f t="shared" ca="1" si="435"/>
        <v>976.74652961489483</v>
      </c>
      <c r="M980" s="306">
        <f t="shared" ca="1" si="451"/>
        <v>-1.5284545262612326</v>
      </c>
      <c r="N980" s="304">
        <f t="shared" ca="1" si="452"/>
        <v>-87.573993532436276</v>
      </c>
      <c r="P980" s="310">
        <f t="shared" ca="1" si="453"/>
        <v>23</v>
      </c>
      <c r="Q980" s="304">
        <f t="shared" ca="1" si="454"/>
        <v>0</v>
      </c>
      <c r="R980" s="306">
        <f t="shared" ca="1" si="455"/>
        <v>0</v>
      </c>
      <c r="S980" s="307">
        <f t="shared" ca="1" si="456"/>
        <v>5.0829999999999913</v>
      </c>
      <c r="T980" s="304">
        <f t="shared" ca="1" si="436"/>
        <v>49.864229999999914</v>
      </c>
      <c r="U980" s="311">
        <f t="shared" ca="1" si="437"/>
        <v>0</v>
      </c>
      <c r="V980" s="306">
        <f t="shared" ca="1" si="438"/>
        <v>1.2265164801977964</v>
      </c>
      <c r="W980" s="304">
        <f t="shared" ca="1" si="439"/>
        <v>50.274323392269316</v>
      </c>
      <c r="Y980" s="314" t="str">
        <f t="shared" ca="1" si="457"/>
        <v/>
      </c>
      <c r="Z980" s="315" t="str">
        <f t="shared" ca="1" si="458"/>
        <v/>
      </c>
      <c r="AA980" s="316" t="str">
        <f t="shared" ca="1" si="459"/>
        <v/>
      </c>
      <c r="AC980" s="310" t="e">
        <f t="shared" ca="1" si="460"/>
        <v>#N/A</v>
      </c>
      <c r="AD980" s="323" t="e">
        <f t="shared" ca="1" si="461"/>
        <v>#N/A</v>
      </c>
      <c r="AE980" s="324" t="e">
        <f t="shared" ca="1" si="440"/>
        <v>#N/A</v>
      </c>
      <c r="AG980" s="306">
        <f t="shared" ca="1" si="462"/>
        <v>-8.9462171747735297E-2</v>
      </c>
      <c r="AH980" s="304">
        <f t="shared" ca="1" si="463"/>
        <v>-9.8906695145505505</v>
      </c>
    </row>
    <row r="981" spans="1:34" x14ac:dyDescent="0.2">
      <c r="A981" s="347">
        <f t="shared" ca="1" si="441"/>
        <v>1E-4</v>
      </c>
      <c r="B981" s="304">
        <f t="shared" ca="1" si="442"/>
        <v>44.617100000000889</v>
      </c>
      <c r="D981" s="306">
        <f t="shared" ca="1" si="443"/>
        <v>-0.41866404936667068</v>
      </c>
      <c r="E981" s="307">
        <f t="shared" ca="1" si="444"/>
        <v>7.1814581108354147E-2</v>
      </c>
      <c r="F981" s="304">
        <f t="shared" ca="1" si="445"/>
        <v>0.42477867212451526</v>
      </c>
      <c r="G981" s="306">
        <f t="shared" ca="1" si="446"/>
        <v>4.8906944546309674</v>
      </c>
      <c r="H981" s="307">
        <f t="shared" ca="1" si="447"/>
        <v>-115.4370587970478</v>
      </c>
      <c r="I981" s="304">
        <f t="shared" ca="1" si="448"/>
        <v>115.54061379429152</v>
      </c>
      <c r="J981" s="306">
        <f t="shared" ca="1" si="449"/>
        <v>976.66817413190017</v>
      </c>
      <c r="K981" s="307">
        <f t="shared" ca="1" si="450"/>
        <v>-12.383316117690489</v>
      </c>
      <c r="L981" s="304">
        <f t="shared" ca="1" si="435"/>
        <v>976.74667589923763</v>
      </c>
      <c r="M981" s="306">
        <f t="shared" ca="1" si="451"/>
        <v>-1.5284548856577644</v>
      </c>
      <c r="N981" s="304">
        <f t="shared" ca="1" si="452"/>
        <v>-87.574014124340721</v>
      </c>
      <c r="P981" s="310">
        <f t="shared" ca="1" si="453"/>
        <v>23</v>
      </c>
      <c r="Q981" s="304">
        <f t="shared" ca="1" si="454"/>
        <v>0</v>
      </c>
      <c r="R981" s="306">
        <f t="shared" ca="1" si="455"/>
        <v>0</v>
      </c>
      <c r="S981" s="307">
        <f t="shared" ca="1" si="456"/>
        <v>5.0829999999999913</v>
      </c>
      <c r="T981" s="304">
        <f t="shared" ca="1" si="436"/>
        <v>49.864229999999914</v>
      </c>
      <c r="U981" s="311">
        <f t="shared" ca="1" si="437"/>
        <v>0</v>
      </c>
      <c r="V981" s="306">
        <f t="shared" ca="1" si="438"/>
        <v>1.2265178960537506</v>
      </c>
      <c r="W981" s="304">
        <f t="shared" ca="1" si="439"/>
        <v>50.274373641277002</v>
      </c>
      <c r="Y981" s="314" t="str">
        <f t="shared" ca="1" si="457"/>
        <v/>
      </c>
      <c r="Z981" s="315" t="str">
        <f t="shared" ca="1" si="458"/>
        <v/>
      </c>
      <c r="AA981" s="316" t="str">
        <f t="shared" ca="1" si="459"/>
        <v/>
      </c>
      <c r="AC981" s="310" t="e">
        <f t="shared" ca="1" si="460"/>
        <v>#N/A</v>
      </c>
      <c r="AD981" s="323" t="e">
        <f t="shared" ca="1" si="461"/>
        <v>#N/A</v>
      </c>
      <c r="AE981" s="324" t="e">
        <f t="shared" ca="1" si="440"/>
        <v>#N/A</v>
      </c>
      <c r="AG981" s="306">
        <f t="shared" ca="1" si="462"/>
        <v>-8.9471908363384145E-2</v>
      </c>
      <c r="AH981" s="304">
        <f t="shared" ca="1" si="463"/>
        <v>-9.890679400407123</v>
      </c>
    </row>
    <row r="982" spans="1:34" x14ac:dyDescent="0.2">
      <c r="A982" s="347">
        <f t="shared" ca="1" si="441"/>
        <v>1E-4</v>
      </c>
      <c r="B982" s="304">
        <f t="shared" ca="1" si="442"/>
        <v>44.617200000000892</v>
      </c>
      <c r="D982" s="306">
        <f t="shared" ca="1" si="443"/>
        <v>-0.41866091632643532</v>
      </c>
      <c r="E982" s="307">
        <f t="shared" ca="1" si="444"/>
        <v>7.1824608412851987E-2</v>
      </c>
      <c r="F982" s="304">
        <f t="shared" ca="1" si="445"/>
        <v>0.4247772795630082</v>
      </c>
      <c r="G982" s="306">
        <f t="shared" ca="1" si="446"/>
        <v>4.8906525885393348</v>
      </c>
      <c r="H982" s="307">
        <f t="shared" ca="1" si="447"/>
        <v>-115.43705161458695</v>
      </c>
      <c r="I982" s="304">
        <f t="shared" ca="1" si="448"/>
        <v>115.5406048461345</v>
      </c>
      <c r="J982" s="306">
        <f t="shared" ca="1" si="449"/>
        <v>976.66817413190017</v>
      </c>
      <c r="K982" s="307">
        <f t="shared" ca="1" si="450"/>
        <v>-12.394859823211071</v>
      </c>
      <c r="L982" s="304">
        <f t="shared" ca="1" si="435"/>
        <v>976.74682231997906</v>
      </c>
      <c r="M982" s="306">
        <f t="shared" ca="1" si="451"/>
        <v>-1.5284552450512756</v>
      </c>
      <c r="N982" s="304">
        <f t="shared" ca="1" si="452"/>
        <v>-87.574034716072106</v>
      </c>
      <c r="P982" s="310">
        <f t="shared" ca="1" si="453"/>
        <v>23</v>
      </c>
      <c r="Q982" s="304">
        <f t="shared" ca="1" si="454"/>
        <v>0</v>
      </c>
      <c r="R982" s="306">
        <f t="shared" ca="1" si="455"/>
        <v>0</v>
      </c>
      <c r="S982" s="307">
        <f t="shared" ca="1" si="456"/>
        <v>5.0829999999999913</v>
      </c>
      <c r="T982" s="304">
        <f t="shared" ca="1" si="436"/>
        <v>49.864229999999914</v>
      </c>
      <c r="U982" s="311">
        <f t="shared" ca="1" si="437"/>
        <v>0</v>
      </c>
      <c r="V982" s="306">
        <f t="shared" ca="1" si="438"/>
        <v>1.2265193119112521</v>
      </c>
      <c r="W982" s="304">
        <f t="shared" ca="1" si="439"/>
        <v>50.274423889483444</v>
      </c>
      <c r="Y982" s="314" t="str">
        <f t="shared" ca="1" si="457"/>
        <v/>
      </c>
      <c r="Z982" s="315" t="str">
        <f t="shared" ca="1" si="458"/>
        <v/>
      </c>
      <c r="AA982" s="316" t="str">
        <f t="shared" ca="1" si="459"/>
        <v/>
      </c>
      <c r="AC982" s="310" t="e">
        <f t="shared" ca="1" si="460"/>
        <v>#N/A</v>
      </c>
      <c r="AD982" s="323" t="e">
        <f t="shared" ca="1" si="461"/>
        <v>#N/A</v>
      </c>
      <c r="AE982" s="324" t="e">
        <f t="shared" ca="1" si="440"/>
        <v>#N/A</v>
      </c>
      <c r="AG982" s="306">
        <f t="shared" ca="1" si="462"/>
        <v>-8.9481644823914408E-2</v>
      </c>
      <c r="AH982" s="304">
        <f t="shared" ca="1" si="463"/>
        <v>-9.8906892861060562</v>
      </c>
    </row>
    <row r="983" spans="1:34" x14ac:dyDescent="0.2">
      <c r="A983" s="347">
        <f t="shared" ca="1" si="441"/>
        <v>1E-4</v>
      </c>
      <c r="B983" s="304">
        <f t="shared" ca="1" si="442"/>
        <v>44.617300000000895</v>
      </c>
      <c r="D983" s="306">
        <f t="shared" ca="1" si="443"/>
        <v>-0.41865778330222431</v>
      </c>
      <c r="E983" s="307">
        <f t="shared" ca="1" si="444"/>
        <v>7.1834635557621596E-2</v>
      </c>
      <c r="F983" s="304">
        <f t="shared" ca="1" si="445"/>
        <v>0.4247758872455315</v>
      </c>
      <c r="G983" s="306">
        <f t="shared" ca="1" si="446"/>
        <v>4.8906107227610045</v>
      </c>
      <c r="H983" s="307">
        <f t="shared" ca="1" si="447"/>
        <v>-115.4370444311234</v>
      </c>
      <c r="I983" s="304">
        <f t="shared" ca="1" si="448"/>
        <v>115.54059589700384</v>
      </c>
      <c r="J983" s="306">
        <f t="shared" ca="1" si="449"/>
        <v>976.66817413190017</v>
      </c>
      <c r="K983" s="307">
        <f t="shared" ca="1" si="450"/>
        <v>-12.406403528013357</v>
      </c>
      <c r="L983" s="304">
        <f t="shared" ca="1" si="435"/>
        <v>976.746968877119</v>
      </c>
      <c r="M983" s="306">
        <f t="shared" ca="1" si="451"/>
        <v>-1.5284556044417656</v>
      </c>
      <c r="N983" s="304">
        <f t="shared" ca="1" si="452"/>
        <v>-87.574055307630374</v>
      </c>
      <c r="P983" s="310">
        <f t="shared" ca="1" si="453"/>
        <v>23</v>
      </c>
      <c r="Q983" s="304">
        <f t="shared" ca="1" si="454"/>
        <v>0</v>
      </c>
      <c r="R983" s="306">
        <f t="shared" ca="1" si="455"/>
        <v>0</v>
      </c>
      <c r="S983" s="307">
        <f t="shared" ca="1" si="456"/>
        <v>5.0829999999999913</v>
      </c>
      <c r="T983" s="304">
        <f t="shared" ca="1" si="436"/>
        <v>49.864229999999914</v>
      </c>
      <c r="U983" s="311">
        <f t="shared" ca="1" si="437"/>
        <v>0</v>
      </c>
      <c r="V983" s="306">
        <f t="shared" ca="1" si="438"/>
        <v>1.2265207277703005</v>
      </c>
      <c r="W983" s="304">
        <f t="shared" ca="1" si="439"/>
        <v>50.274474136888614</v>
      </c>
      <c r="Y983" s="314" t="str">
        <f t="shared" ca="1" si="457"/>
        <v/>
      </c>
      <c r="Z983" s="315" t="str">
        <f t="shared" ca="1" si="458"/>
        <v/>
      </c>
      <c r="AA983" s="316" t="str">
        <f t="shared" ca="1" si="459"/>
        <v/>
      </c>
      <c r="AC983" s="310" t="e">
        <f t="shared" ca="1" si="460"/>
        <v>#N/A</v>
      </c>
      <c r="AD983" s="323" t="e">
        <f t="shared" ca="1" si="461"/>
        <v>#N/A</v>
      </c>
      <c r="AE983" s="324" t="e">
        <f t="shared" ca="1" si="440"/>
        <v>#N/A</v>
      </c>
      <c r="AG983" s="306">
        <f t="shared" ca="1" si="462"/>
        <v>-8.9491381129334968E-2</v>
      </c>
      <c r="AH983" s="304">
        <f t="shared" ca="1" si="463"/>
        <v>-9.8906991716473591</v>
      </c>
    </row>
    <row r="984" spans="1:34" x14ac:dyDescent="0.2">
      <c r="A984" s="347">
        <f t="shared" ca="1" si="441"/>
        <v>1E-4</v>
      </c>
      <c r="B984" s="304">
        <f t="shared" ca="1" si="442"/>
        <v>44.617400000000899</v>
      </c>
      <c r="D984" s="306">
        <f t="shared" ca="1" si="443"/>
        <v>-0.41865465029404186</v>
      </c>
      <c r="E984" s="307">
        <f t="shared" ca="1" si="444"/>
        <v>7.1844662542652316E-2</v>
      </c>
      <c r="F984" s="304">
        <f t="shared" ca="1" si="445"/>
        <v>0.42477449517207844</v>
      </c>
      <c r="G984" s="306">
        <f t="shared" ca="1" si="446"/>
        <v>4.8905688572959747</v>
      </c>
      <c r="H984" s="307">
        <f t="shared" ca="1" si="447"/>
        <v>-115.43703724665714</v>
      </c>
      <c r="I984" s="304">
        <f t="shared" ca="1" si="448"/>
        <v>115.54058694689958</v>
      </c>
      <c r="J984" s="306">
        <f t="shared" ca="1" si="449"/>
        <v>976.66817413190017</v>
      </c>
      <c r="K984" s="307">
        <f t="shared" ca="1" si="450"/>
        <v>-12.417947232097246</v>
      </c>
      <c r="L984" s="304">
        <f t="shared" ca="1" si="435"/>
        <v>976.74711557065723</v>
      </c>
      <c r="M984" s="306">
        <f t="shared" ca="1" si="451"/>
        <v>-1.528455963829235</v>
      </c>
      <c r="N984" s="304">
        <f t="shared" ca="1" si="452"/>
        <v>-87.574075899015583</v>
      </c>
      <c r="P984" s="310">
        <f t="shared" ca="1" si="453"/>
        <v>23</v>
      </c>
      <c r="Q984" s="304">
        <f t="shared" ca="1" si="454"/>
        <v>0</v>
      </c>
      <c r="R984" s="306">
        <f t="shared" ca="1" si="455"/>
        <v>0</v>
      </c>
      <c r="S984" s="307">
        <f t="shared" ca="1" si="456"/>
        <v>5.0829999999999913</v>
      </c>
      <c r="T984" s="304">
        <f t="shared" ca="1" si="436"/>
        <v>49.864229999999914</v>
      </c>
      <c r="U984" s="311">
        <f t="shared" ca="1" si="437"/>
        <v>0</v>
      </c>
      <c r="V984" s="306">
        <f t="shared" ca="1" si="438"/>
        <v>1.2265221436308964</v>
      </c>
      <c r="W984" s="304">
        <f t="shared" ca="1" si="439"/>
        <v>50.274524383492547</v>
      </c>
      <c r="Y984" s="314" t="str">
        <f t="shared" ca="1" si="457"/>
        <v/>
      </c>
      <c r="Z984" s="315" t="str">
        <f t="shared" ca="1" si="458"/>
        <v/>
      </c>
      <c r="AA984" s="316" t="str">
        <f t="shared" ca="1" si="459"/>
        <v/>
      </c>
      <c r="AC984" s="310" t="e">
        <f t="shared" ca="1" si="460"/>
        <v>#N/A</v>
      </c>
      <c r="AD984" s="323" t="e">
        <f t="shared" ca="1" si="461"/>
        <v>#N/A</v>
      </c>
      <c r="AE984" s="324" t="e">
        <f t="shared" ca="1" si="440"/>
        <v>#N/A</v>
      </c>
      <c r="AG984" s="306">
        <f t="shared" ca="1" si="462"/>
        <v>-8.950111727963872E-2</v>
      </c>
      <c r="AH984" s="304">
        <f t="shared" ca="1" si="463"/>
        <v>-9.8907090570310245</v>
      </c>
    </row>
    <row r="985" spans="1:34" x14ac:dyDescent="0.2">
      <c r="A985" s="347">
        <f t="shared" ca="1" si="441"/>
        <v>1E-4</v>
      </c>
      <c r="B985" s="304">
        <f t="shared" ca="1" si="442"/>
        <v>44.617500000000902</v>
      </c>
      <c r="D985" s="306">
        <f t="shared" ca="1" si="443"/>
        <v>-0.41865151730188421</v>
      </c>
      <c r="E985" s="307">
        <f t="shared" ca="1" si="444"/>
        <v>7.1854689367954805E-2</v>
      </c>
      <c r="F985" s="304">
        <f t="shared" ca="1" si="445"/>
        <v>0.42477310334263768</v>
      </c>
      <c r="G985" s="306">
        <f t="shared" ca="1" si="446"/>
        <v>4.8905269921442445</v>
      </c>
      <c r="H985" s="307">
        <f t="shared" ca="1" si="447"/>
        <v>-115.43703006118821</v>
      </c>
      <c r="I985" s="304">
        <f t="shared" ca="1" si="448"/>
        <v>115.54057799582172</v>
      </c>
      <c r="J985" s="306">
        <f t="shared" ca="1" si="449"/>
        <v>976.66817413190017</v>
      </c>
      <c r="K985" s="307">
        <f t="shared" ca="1" si="450"/>
        <v>-12.429490935462638</v>
      </c>
      <c r="L985" s="304">
        <f t="shared" ca="1" si="435"/>
        <v>976.74726240059385</v>
      </c>
      <c r="M985" s="306">
        <f t="shared" ca="1" si="451"/>
        <v>-1.5284563232136836</v>
      </c>
      <c r="N985" s="304">
        <f t="shared" ca="1" si="452"/>
        <v>-87.574096490227703</v>
      </c>
      <c r="P985" s="310">
        <f t="shared" ca="1" si="453"/>
        <v>23</v>
      </c>
      <c r="Q985" s="304">
        <f t="shared" ca="1" si="454"/>
        <v>0</v>
      </c>
      <c r="R985" s="306">
        <f t="shared" ca="1" si="455"/>
        <v>0</v>
      </c>
      <c r="S985" s="307">
        <f t="shared" ca="1" si="456"/>
        <v>5.0829999999999913</v>
      </c>
      <c r="T985" s="304">
        <f t="shared" ca="1" si="436"/>
        <v>49.864229999999914</v>
      </c>
      <c r="U985" s="311">
        <f t="shared" ca="1" si="437"/>
        <v>0</v>
      </c>
      <c r="V985" s="306">
        <f t="shared" ca="1" si="438"/>
        <v>1.2265235594930395</v>
      </c>
      <c r="W985" s="304">
        <f t="shared" ca="1" si="439"/>
        <v>50.274574629295259</v>
      </c>
      <c r="Y985" s="314" t="str">
        <f t="shared" ca="1" si="457"/>
        <v/>
      </c>
      <c r="Z985" s="315" t="str">
        <f t="shared" ca="1" si="458"/>
        <v/>
      </c>
      <c r="AA985" s="316" t="str">
        <f t="shared" ca="1" si="459"/>
        <v/>
      </c>
      <c r="AC985" s="310" t="e">
        <f t="shared" ca="1" si="460"/>
        <v>#N/A</v>
      </c>
      <c r="AD985" s="323" t="e">
        <f t="shared" ca="1" si="461"/>
        <v>#N/A</v>
      </c>
      <c r="AE985" s="324" t="e">
        <f t="shared" ca="1" si="440"/>
        <v>#N/A</v>
      </c>
      <c r="AG985" s="306">
        <f t="shared" ca="1" si="462"/>
        <v>-8.9510853274830993E-2</v>
      </c>
      <c r="AH985" s="304">
        <f t="shared" ca="1" si="463"/>
        <v>-9.8907189422570596</v>
      </c>
    </row>
    <row r="986" spans="1:34" x14ac:dyDescent="0.2">
      <c r="A986" s="347">
        <f t="shared" ca="1" si="441"/>
        <v>1E-4</v>
      </c>
      <c r="B986" s="304">
        <f t="shared" ca="1" si="442"/>
        <v>44.617600000000905</v>
      </c>
      <c r="D986" s="306">
        <f t="shared" ca="1" si="443"/>
        <v>-0.4186483843257518</v>
      </c>
      <c r="E986" s="307">
        <f t="shared" ca="1" si="444"/>
        <v>7.1864716033529064E-2</v>
      </c>
      <c r="F986" s="304">
        <f t="shared" ca="1" si="445"/>
        <v>0.42477171175720041</v>
      </c>
      <c r="G986" s="306">
        <f t="shared" ca="1" si="446"/>
        <v>4.8904851273058121</v>
      </c>
      <c r="H986" s="307">
        <f t="shared" ca="1" si="447"/>
        <v>-115.4370228747166</v>
      </c>
      <c r="I986" s="304">
        <f t="shared" ca="1" si="448"/>
        <v>115.54056904377026</v>
      </c>
      <c r="J986" s="306">
        <f t="shared" ca="1" si="449"/>
        <v>976.66817413190017</v>
      </c>
      <c r="K986" s="307">
        <f t="shared" ca="1" si="450"/>
        <v>-12.441034638109434</v>
      </c>
      <c r="L986" s="304">
        <f t="shared" ca="1" si="435"/>
        <v>976.74740936692854</v>
      </c>
      <c r="M986" s="306">
        <f t="shared" ca="1" si="451"/>
        <v>-1.5284566825951114</v>
      </c>
      <c r="N986" s="304">
        <f t="shared" ca="1" si="452"/>
        <v>-87.574117081266749</v>
      </c>
      <c r="P986" s="310">
        <f t="shared" ca="1" si="453"/>
        <v>23</v>
      </c>
      <c r="Q986" s="304">
        <f t="shared" ca="1" si="454"/>
        <v>0</v>
      </c>
      <c r="R986" s="306">
        <f t="shared" ca="1" si="455"/>
        <v>0</v>
      </c>
      <c r="S986" s="307">
        <f t="shared" ca="1" si="456"/>
        <v>5.0829999999999913</v>
      </c>
      <c r="T986" s="304">
        <f t="shared" ca="1" si="436"/>
        <v>49.864229999999914</v>
      </c>
      <c r="U986" s="311">
        <f t="shared" ca="1" si="437"/>
        <v>0</v>
      </c>
      <c r="V986" s="306">
        <f t="shared" ca="1" si="438"/>
        <v>1.22652497535673</v>
      </c>
      <c r="W986" s="304">
        <f t="shared" ca="1" si="439"/>
        <v>50.274624874296741</v>
      </c>
      <c r="Y986" s="314" t="str">
        <f t="shared" ca="1" si="457"/>
        <v/>
      </c>
      <c r="Z986" s="315" t="str">
        <f t="shared" ca="1" si="458"/>
        <v/>
      </c>
      <c r="AA986" s="316" t="str">
        <f t="shared" ca="1" si="459"/>
        <v/>
      </c>
      <c r="AC986" s="310" t="e">
        <f t="shared" ca="1" si="460"/>
        <v>#N/A</v>
      </c>
      <c r="AD986" s="323" t="e">
        <f t="shared" ca="1" si="461"/>
        <v>#N/A</v>
      </c>
      <c r="AE986" s="324" t="e">
        <f t="shared" ca="1" si="440"/>
        <v>#N/A</v>
      </c>
      <c r="AG986" s="306">
        <f t="shared" ca="1" si="462"/>
        <v>-8.9520589114917115E-2</v>
      </c>
      <c r="AH986" s="304">
        <f t="shared" ca="1" si="463"/>
        <v>-9.8907288273254661</v>
      </c>
    </row>
    <row r="987" spans="1:34" x14ac:dyDescent="0.2">
      <c r="A987" s="347">
        <f t="shared" ca="1" si="441"/>
        <v>1E-4</v>
      </c>
      <c r="B987" s="304">
        <f t="shared" ca="1" si="442"/>
        <v>44.617700000000909</v>
      </c>
      <c r="D987" s="306">
        <f t="shared" ca="1" si="443"/>
        <v>-0.4186452513656469</v>
      </c>
      <c r="E987" s="307">
        <f t="shared" ca="1" si="444"/>
        <v>7.1874742539376868E-2</v>
      </c>
      <c r="F987" s="304">
        <f t="shared" ca="1" si="445"/>
        <v>0.42477032041575996</v>
      </c>
      <c r="G987" s="306">
        <f t="shared" ca="1" si="446"/>
        <v>4.8904432627806758</v>
      </c>
      <c r="H987" s="307">
        <f t="shared" ca="1" si="447"/>
        <v>-115.43701568724235</v>
      </c>
      <c r="I987" s="304">
        <f t="shared" ca="1" si="448"/>
        <v>115.54056009074525</v>
      </c>
      <c r="J987" s="306">
        <f t="shared" ca="1" si="449"/>
        <v>976.66817413190017</v>
      </c>
      <c r="K987" s="307">
        <f t="shared" ca="1" si="450"/>
        <v>-12.452578340037531</v>
      </c>
      <c r="L987" s="304">
        <f t="shared" ca="1" si="435"/>
        <v>976.7475564696615</v>
      </c>
      <c r="M987" s="306">
        <f t="shared" ca="1" si="451"/>
        <v>-1.5284570419735182</v>
      </c>
      <c r="N987" s="304">
        <f t="shared" ca="1" si="452"/>
        <v>-87.574137672132707</v>
      </c>
      <c r="P987" s="310">
        <f t="shared" ca="1" si="453"/>
        <v>23</v>
      </c>
      <c r="Q987" s="304">
        <f t="shared" ca="1" si="454"/>
        <v>0</v>
      </c>
      <c r="R987" s="306">
        <f t="shared" ca="1" si="455"/>
        <v>0</v>
      </c>
      <c r="S987" s="307">
        <f t="shared" ca="1" si="456"/>
        <v>5.0829999999999913</v>
      </c>
      <c r="T987" s="304">
        <f t="shared" ca="1" si="436"/>
        <v>49.864229999999914</v>
      </c>
      <c r="U987" s="311">
        <f t="shared" ca="1" si="437"/>
        <v>0</v>
      </c>
      <c r="V987" s="306">
        <f t="shared" ca="1" si="438"/>
        <v>1.2265263912219684</v>
      </c>
      <c r="W987" s="304">
        <f t="shared" ca="1" si="439"/>
        <v>50.274675118497044</v>
      </c>
      <c r="Y987" s="314" t="str">
        <f t="shared" ca="1" si="457"/>
        <v/>
      </c>
      <c r="Z987" s="315" t="str">
        <f t="shared" ca="1" si="458"/>
        <v/>
      </c>
      <c r="AA987" s="316" t="str">
        <f t="shared" ca="1" si="459"/>
        <v/>
      </c>
      <c r="AC987" s="310" t="e">
        <f t="shared" ca="1" si="460"/>
        <v>#N/A</v>
      </c>
      <c r="AD987" s="323" t="e">
        <f t="shared" ca="1" si="461"/>
        <v>#N/A</v>
      </c>
      <c r="AE987" s="324" t="e">
        <f t="shared" ca="1" si="440"/>
        <v>#N/A</v>
      </c>
      <c r="AG987" s="306">
        <f t="shared" ca="1" si="462"/>
        <v>-8.9530324799893535E-2</v>
      </c>
      <c r="AH987" s="304">
        <f t="shared" ca="1" si="463"/>
        <v>-9.890738712236244</v>
      </c>
    </row>
    <row r="988" spans="1:34" x14ac:dyDescent="0.2">
      <c r="A988" s="347">
        <f t="shared" ca="1" si="441"/>
        <v>1E-4</v>
      </c>
      <c r="B988" s="304">
        <f t="shared" ca="1" si="442"/>
        <v>44.617800000000912</v>
      </c>
      <c r="D988" s="306">
        <f t="shared" ca="1" si="443"/>
        <v>-0.41864211842157023</v>
      </c>
      <c r="E988" s="307">
        <f t="shared" ca="1" si="444"/>
        <v>7.1884768885505324E-2</v>
      </c>
      <c r="F988" s="304">
        <f t="shared" ca="1" si="445"/>
        <v>0.42476892931830895</v>
      </c>
      <c r="G988" s="306">
        <f t="shared" ca="1" si="446"/>
        <v>4.8904013985688337</v>
      </c>
      <c r="H988" s="307">
        <f t="shared" ca="1" si="447"/>
        <v>-115.43700849876546</v>
      </c>
      <c r="I988" s="304">
        <f t="shared" ca="1" si="448"/>
        <v>115.54055113674669</v>
      </c>
      <c r="J988" s="306">
        <f t="shared" ca="1" si="449"/>
        <v>976.66817413190017</v>
      </c>
      <c r="K988" s="307">
        <f t="shared" ca="1" si="450"/>
        <v>-12.464122041246831</v>
      </c>
      <c r="L988" s="304">
        <f t="shared" ca="1" si="435"/>
        <v>976.7477037087923</v>
      </c>
      <c r="M988" s="306">
        <f t="shared" ca="1" si="451"/>
        <v>-1.5284574013489045</v>
      </c>
      <c r="N988" s="304">
        <f t="shared" ca="1" si="452"/>
        <v>-87.574158262825605</v>
      </c>
      <c r="P988" s="310">
        <f t="shared" ca="1" si="453"/>
        <v>23</v>
      </c>
      <c r="Q988" s="304">
        <f t="shared" ca="1" si="454"/>
        <v>0</v>
      </c>
      <c r="R988" s="306">
        <f t="shared" ca="1" si="455"/>
        <v>0</v>
      </c>
      <c r="S988" s="307">
        <f t="shared" ca="1" si="456"/>
        <v>5.0829999999999913</v>
      </c>
      <c r="T988" s="304">
        <f t="shared" ca="1" si="436"/>
        <v>49.864229999999914</v>
      </c>
      <c r="U988" s="311">
        <f t="shared" ca="1" si="437"/>
        <v>0</v>
      </c>
      <c r="V988" s="306">
        <f t="shared" ca="1" si="438"/>
        <v>1.2265278070887535</v>
      </c>
      <c r="W988" s="304">
        <f t="shared" ca="1" si="439"/>
        <v>50.274725361896145</v>
      </c>
      <c r="Y988" s="314" t="str">
        <f t="shared" ca="1" si="457"/>
        <v/>
      </c>
      <c r="Z988" s="315" t="str">
        <f t="shared" ca="1" si="458"/>
        <v/>
      </c>
      <c r="AA988" s="316" t="str">
        <f t="shared" ca="1" si="459"/>
        <v/>
      </c>
      <c r="AC988" s="310" t="e">
        <f t="shared" ca="1" si="460"/>
        <v>#N/A</v>
      </c>
      <c r="AD988" s="323" t="e">
        <f t="shared" ca="1" si="461"/>
        <v>#N/A</v>
      </c>
      <c r="AE988" s="324" t="e">
        <f t="shared" ca="1" si="440"/>
        <v>#N/A</v>
      </c>
      <c r="AG988" s="306">
        <f t="shared" ca="1" si="462"/>
        <v>-8.954006032977091E-2</v>
      </c>
      <c r="AH988" s="304">
        <f t="shared" ca="1" si="463"/>
        <v>-9.8907485969894022</v>
      </c>
    </row>
    <row r="989" spans="1:34" x14ac:dyDescent="0.2">
      <c r="A989" s="347">
        <f t="shared" ca="1" si="441"/>
        <v>1E-4</v>
      </c>
      <c r="B989" s="304">
        <f t="shared" ca="1" si="442"/>
        <v>44.617900000000915</v>
      </c>
      <c r="D989" s="306">
        <f t="shared" ca="1" si="443"/>
        <v>-0.41863898549351747</v>
      </c>
      <c r="E989" s="307">
        <f t="shared" ca="1" si="444"/>
        <v>7.1894795071909101E-2</v>
      </c>
      <c r="F989" s="304">
        <f t="shared" ca="1" si="445"/>
        <v>0.42476753846483295</v>
      </c>
      <c r="G989" s="306">
        <f t="shared" ca="1" si="446"/>
        <v>4.8903595346702842</v>
      </c>
      <c r="H989" s="307">
        <f t="shared" ca="1" si="447"/>
        <v>-115.43700130928596</v>
      </c>
      <c r="I989" s="304">
        <f t="shared" ca="1" si="448"/>
        <v>115.54054218177457</v>
      </c>
      <c r="J989" s="306">
        <f t="shared" ca="1" si="449"/>
        <v>976.66817413190017</v>
      </c>
      <c r="K989" s="307">
        <f t="shared" ca="1" si="450"/>
        <v>-12.475665741737235</v>
      </c>
      <c r="L989" s="304">
        <f t="shared" ca="1" si="435"/>
        <v>976.74785108432116</v>
      </c>
      <c r="M989" s="306">
        <f t="shared" ca="1" si="451"/>
        <v>-1.5284577607212702</v>
      </c>
      <c r="N989" s="304">
        <f t="shared" ca="1" si="452"/>
        <v>-87.57417885334543</v>
      </c>
      <c r="P989" s="310">
        <f t="shared" ca="1" si="453"/>
        <v>23</v>
      </c>
      <c r="Q989" s="304">
        <f t="shared" ca="1" si="454"/>
        <v>0</v>
      </c>
      <c r="R989" s="306">
        <f t="shared" ca="1" si="455"/>
        <v>0</v>
      </c>
      <c r="S989" s="307">
        <f t="shared" ca="1" si="456"/>
        <v>5.0829999999999913</v>
      </c>
      <c r="T989" s="304">
        <f t="shared" ca="1" si="436"/>
        <v>49.864229999999914</v>
      </c>
      <c r="U989" s="311">
        <f t="shared" ca="1" si="437"/>
        <v>0</v>
      </c>
      <c r="V989" s="306">
        <f t="shared" ca="1" si="438"/>
        <v>1.2265292229570859</v>
      </c>
      <c r="W989" s="304">
        <f t="shared" ca="1" si="439"/>
        <v>50.274775604494018</v>
      </c>
      <c r="Y989" s="314" t="str">
        <f t="shared" ca="1" si="457"/>
        <v/>
      </c>
      <c r="Z989" s="315" t="str">
        <f t="shared" ca="1" si="458"/>
        <v/>
      </c>
      <c r="AA989" s="316" t="str">
        <f t="shared" ca="1" si="459"/>
        <v/>
      </c>
      <c r="AC989" s="310" t="e">
        <f t="shared" ca="1" si="460"/>
        <v>#N/A</v>
      </c>
      <c r="AD989" s="323" t="e">
        <f t="shared" ca="1" si="461"/>
        <v>#N/A</v>
      </c>
      <c r="AE989" s="324" t="e">
        <f t="shared" ca="1" si="440"/>
        <v>#N/A</v>
      </c>
      <c r="AG989" s="306">
        <f t="shared" ca="1" si="462"/>
        <v>-8.9549795704543911E-2</v>
      </c>
      <c r="AH989" s="304">
        <f t="shared" ca="1" si="463"/>
        <v>-9.8907584815849354</v>
      </c>
    </row>
    <row r="990" spans="1:34" x14ac:dyDescent="0.2">
      <c r="A990" s="347">
        <f t="shared" ca="1" si="441"/>
        <v>1E-4</v>
      </c>
      <c r="B990" s="304">
        <f t="shared" ca="1" si="442"/>
        <v>44.618000000000919</v>
      </c>
      <c r="D990" s="306">
        <f t="shared" ca="1" si="443"/>
        <v>-0.41863585258149089</v>
      </c>
      <c r="E990" s="307">
        <f t="shared" ca="1" si="444"/>
        <v>7.1904821098588201E-2</v>
      </c>
      <c r="F990" s="304">
        <f t="shared" ca="1" si="445"/>
        <v>0.4247661478553249</v>
      </c>
      <c r="G990" s="306">
        <f t="shared" ca="1" si="446"/>
        <v>4.8903176710850262</v>
      </c>
      <c r="H990" s="307">
        <f t="shared" ca="1" si="447"/>
        <v>-115.43699411880385</v>
      </c>
      <c r="I990" s="304">
        <f t="shared" ca="1" si="448"/>
        <v>115.54053322582894</v>
      </c>
      <c r="J990" s="306">
        <f t="shared" ca="1" si="449"/>
        <v>976.66817413190017</v>
      </c>
      <c r="K990" s="307">
        <f t="shared" ca="1" si="450"/>
        <v>-12.487209441508639</v>
      </c>
      <c r="L990" s="304">
        <f t="shared" ca="1" si="435"/>
        <v>976.74799859624795</v>
      </c>
      <c r="M990" s="306">
        <f t="shared" ca="1" si="451"/>
        <v>-1.5284581200906149</v>
      </c>
      <c r="N990" s="304">
        <f t="shared" ca="1" si="452"/>
        <v>-87.574199443692166</v>
      </c>
      <c r="P990" s="310">
        <f t="shared" ca="1" si="453"/>
        <v>23</v>
      </c>
      <c r="Q990" s="304">
        <f t="shared" ca="1" si="454"/>
        <v>0</v>
      </c>
      <c r="R990" s="306">
        <f t="shared" ca="1" si="455"/>
        <v>0</v>
      </c>
      <c r="S990" s="307">
        <f t="shared" ca="1" si="456"/>
        <v>5.0829999999999913</v>
      </c>
      <c r="T990" s="304">
        <f t="shared" ca="1" si="436"/>
        <v>49.864229999999914</v>
      </c>
      <c r="U990" s="311">
        <f t="shared" ca="1" si="437"/>
        <v>0</v>
      </c>
      <c r="V990" s="306">
        <f t="shared" ca="1" si="438"/>
        <v>1.2265306388269652</v>
      </c>
      <c r="W990" s="304">
        <f t="shared" ca="1" si="439"/>
        <v>50.274825846290717</v>
      </c>
      <c r="Y990" s="314" t="str">
        <f t="shared" ca="1" si="457"/>
        <v/>
      </c>
      <c r="Z990" s="315" t="str">
        <f t="shared" ca="1" si="458"/>
        <v/>
      </c>
      <c r="AA990" s="316" t="str">
        <f t="shared" ca="1" si="459"/>
        <v/>
      </c>
      <c r="AC990" s="310" t="e">
        <f t="shared" ca="1" si="460"/>
        <v>#N/A</v>
      </c>
      <c r="AD990" s="323" t="e">
        <f t="shared" ca="1" si="461"/>
        <v>#N/A</v>
      </c>
      <c r="AE990" s="324" t="e">
        <f t="shared" ca="1" si="440"/>
        <v>#N/A</v>
      </c>
      <c r="AG990" s="306">
        <f t="shared" ca="1" si="462"/>
        <v>-8.9559530924208985E-2</v>
      </c>
      <c r="AH990" s="304">
        <f t="shared" ca="1" si="463"/>
        <v>-9.8907683660228418</v>
      </c>
    </row>
    <row r="991" spans="1:34" x14ac:dyDescent="0.2">
      <c r="A991" s="347">
        <f t="shared" ca="1" si="441"/>
        <v>1E-4</v>
      </c>
      <c r="B991" s="304">
        <f t="shared" ca="1" si="442"/>
        <v>44.618100000000922</v>
      </c>
      <c r="D991" s="306">
        <f t="shared" ca="1" si="443"/>
        <v>-0.41863271968549343</v>
      </c>
      <c r="E991" s="307">
        <f t="shared" ca="1" si="444"/>
        <v>7.1914846965547952E-2</v>
      </c>
      <c r="F991" s="304">
        <f t="shared" ca="1" si="445"/>
        <v>0.42476475748977938</v>
      </c>
      <c r="G991" s="306">
        <f t="shared" ca="1" si="446"/>
        <v>4.8902758078130573</v>
      </c>
      <c r="H991" s="307">
        <f t="shared" ca="1" si="447"/>
        <v>-115.43698692731915</v>
      </c>
      <c r="I991" s="304">
        <f t="shared" ca="1" si="448"/>
        <v>115.54052426890981</v>
      </c>
      <c r="J991" s="306">
        <f t="shared" ca="1" si="449"/>
        <v>976.66817413190017</v>
      </c>
      <c r="K991" s="307">
        <f t="shared" ca="1" si="450"/>
        <v>-12.498753140560945</v>
      </c>
      <c r="L991" s="304">
        <f t="shared" ca="1" si="435"/>
        <v>976.74814624457235</v>
      </c>
      <c r="M991" s="306">
        <f t="shared" ca="1" si="451"/>
        <v>-1.5284584794569391</v>
      </c>
      <c r="N991" s="304">
        <f t="shared" ca="1" si="452"/>
        <v>-87.574220033865856</v>
      </c>
      <c r="P991" s="310">
        <f t="shared" ca="1" si="453"/>
        <v>23</v>
      </c>
      <c r="Q991" s="304">
        <f t="shared" ca="1" si="454"/>
        <v>0</v>
      </c>
      <c r="R991" s="306">
        <f t="shared" ca="1" si="455"/>
        <v>0</v>
      </c>
      <c r="S991" s="307">
        <f t="shared" ca="1" si="456"/>
        <v>5.0829999999999913</v>
      </c>
      <c r="T991" s="304">
        <f t="shared" ca="1" si="436"/>
        <v>49.864229999999914</v>
      </c>
      <c r="U991" s="311">
        <f t="shared" ca="1" si="437"/>
        <v>0</v>
      </c>
      <c r="V991" s="306">
        <f t="shared" ca="1" si="438"/>
        <v>1.2265320546983924</v>
      </c>
      <c r="W991" s="304">
        <f t="shared" ca="1" si="439"/>
        <v>50.274876087286273</v>
      </c>
      <c r="Y991" s="314" t="str">
        <f t="shared" ca="1" si="457"/>
        <v/>
      </c>
      <c r="Z991" s="315" t="str">
        <f t="shared" ca="1" si="458"/>
        <v/>
      </c>
      <c r="AA991" s="316" t="str">
        <f t="shared" ca="1" si="459"/>
        <v/>
      </c>
      <c r="AC991" s="310" t="e">
        <f t="shared" ca="1" si="460"/>
        <v>#N/A</v>
      </c>
      <c r="AD991" s="323" t="e">
        <f t="shared" ca="1" si="461"/>
        <v>#N/A</v>
      </c>
      <c r="AE991" s="324" t="e">
        <f t="shared" ca="1" si="440"/>
        <v>#N/A</v>
      </c>
      <c r="AG991" s="306">
        <f t="shared" ca="1" si="462"/>
        <v>-8.9569265988773239E-2</v>
      </c>
      <c r="AH991" s="304">
        <f t="shared" ca="1" si="463"/>
        <v>-9.8907782503031285</v>
      </c>
    </row>
    <row r="992" spans="1:34" x14ac:dyDescent="0.2">
      <c r="A992" s="347">
        <f t="shared" ca="1" si="441"/>
        <v>1E-4</v>
      </c>
      <c r="B992" s="304">
        <f t="shared" ca="1" si="442"/>
        <v>44.618200000000925</v>
      </c>
      <c r="D992" s="306">
        <f t="shared" ca="1" si="443"/>
        <v>-0.41862958680552109</v>
      </c>
      <c r="E992" s="307">
        <f t="shared" ca="1" si="444"/>
        <v>7.1924872672797235E-2</v>
      </c>
      <c r="F992" s="304">
        <f t="shared" ca="1" si="445"/>
        <v>0.42476336736818471</v>
      </c>
      <c r="G992" s="306">
        <f t="shared" ca="1" si="446"/>
        <v>4.8902339448543763</v>
      </c>
      <c r="H992" s="307">
        <f t="shared" ca="1" si="447"/>
        <v>-115.43697973483188</v>
      </c>
      <c r="I992" s="304">
        <f t="shared" ca="1" si="448"/>
        <v>115.54051531101716</v>
      </c>
      <c r="J992" s="306">
        <f t="shared" ca="1" si="449"/>
        <v>976.66817413190017</v>
      </c>
      <c r="K992" s="307">
        <f t="shared" ca="1" si="450"/>
        <v>-12.510296838894053</v>
      </c>
      <c r="L992" s="304">
        <f t="shared" ca="1" si="435"/>
        <v>976.74829402929436</v>
      </c>
      <c r="M992" s="306">
        <f t="shared" ca="1" si="451"/>
        <v>-1.5284588388202429</v>
      </c>
      <c r="N992" s="304">
        <f t="shared" ca="1" si="452"/>
        <v>-87.574240623866473</v>
      </c>
      <c r="P992" s="310">
        <f t="shared" ca="1" si="453"/>
        <v>23</v>
      </c>
      <c r="Q992" s="304">
        <f t="shared" ca="1" si="454"/>
        <v>0</v>
      </c>
      <c r="R992" s="306">
        <f t="shared" ca="1" si="455"/>
        <v>0</v>
      </c>
      <c r="S992" s="307">
        <f t="shared" ca="1" si="456"/>
        <v>5.0829999999999913</v>
      </c>
      <c r="T992" s="304">
        <f t="shared" ca="1" si="436"/>
        <v>49.864229999999914</v>
      </c>
      <c r="U992" s="311">
        <f t="shared" ca="1" si="437"/>
        <v>0</v>
      </c>
      <c r="V992" s="306">
        <f t="shared" ca="1" si="438"/>
        <v>1.2265334705713664</v>
      </c>
      <c r="W992" s="304">
        <f t="shared" ca="1" si="439"/>
        <v>50.274926327480649</v>
      </c>
      <c r="Y992" s="314" t="str">
        <f t="shared" ca="1" si="457"/>
        <v/>
      </c>
      <c r="Z992" s="315" t="str">
        <f t="shared" ca="1" si="458"/>
        <v/>
      </c>
      <c r="AA992" s="316" t="str">
        <f t="shared" ca="1" si="459"/>
        <v/>
      </c>
      <c r="AC992" s="310" t="e">
        <f t="shared" ca="1" si="460"/>
        <v>#N/A</v>
      </c>
      <c r="AD992" s="323" t="e">
        <f t="shared" ca="1" si="461"/>
        <v>#N/A</v>
      </c>
      <c r="AE992" s="324" t="e">
        <f t="shared" ca="1" si="440"/>
        <v>#N/A</v>
      </c>
      <c r="AG992" s="306">
        <f t="shared" ca="1" si="462"/>
        <v>-8.957900089824733E-2</v>
      </c>
      <c r="AH992" s="304">
        <f t="shared" ca="1" si="463"/>
        <v>-9.8907881344258026</v>
      </c>
    </row>
    <row r="993" spans="1:34" x14ac:dyDescent="0.2">
      <c r="A993" s="347">
        <f t="shared" ca="1" si="441"/>
        <v>1E-4</v>
      </c>
      <c r="B993" s="304">
        <f t="shared" ca="1" si="442"/>
        <v>44.618300000000929</v>
      </c>
      <c r="D993" s="306">
        <f t="shared" ca="1" si="443"/>
        <v>-0.41862645394157399</v>
      </c>
      <c r="E993" s="307">
        <f t="shared" ca="1" si="444"/>
        <v>7.1934898220328947E-2</v>
      </c>
      <c r="F993" s="304">
        <f t="shared" ca="1" si="445"/>
        <v>0.42476197749053041</v>
      </c>
      <c r="G993" s="306">
        <f t="shared" ca="1" si="446"/>
        <v>4.8901920822089826</v>
      </c>
      <c r="H993" s="307">
        <f t="shared" ca="1" si="447"/>
        <v>-115.43697254134206</v>
      </c>
      <c r="I993" s="304">
        <f t="shared" ca="1" si="448"/>
        <v>115.54050635215107</v>
      </c>
      <c r="J993" s="306">
        <f t="shared" ca="1" si="449"/>
        <v>976.66817413190017</v>
      </c>
      <c r="K993" s="307">
        <f t="shared" ca="1" si="450"/>
        <v>-12.521840536507861</v>
      </c>
      <c r="L993" s="304">
        <f t="shared" ca="1" si="435"/>
        <v>976.74844195041408</v>
      </c>
      <c r="M993" s="306">
        <f t="shared" ca="1" si="451"/>
        <v>-1.5284591981805258</v>
      </c>
      <c r="N993" s="304">
        <f t="shared" ca="1" si="452"/>
        <v>-87.574261213694001</v>
      </c>
      <c r="P993" s="310">
        <f t="shared" ca="1" si="453"/>
        <v>23</v>
      </c>
      <c r="Q993" s="304">
        <f t="shared" ca="1" si="454"/>
        <v>0</v>
      </c>
      <c r="R993" s="306">
        <f t="shared" ca="1" si="455"/>
        <v>0</v>
      </c>
      <c r="S993" s="307">
        <f t="shared" ca="1" si="456"/>
        <v>5.0829999999999913</v>
      </c>
      <c r="T993" s="304">
        <f t="shared" ca="1" si="436"/>
        <v>49.864229999999914</v>
      </c>
      <c r="U993" s="311">
        <f t="shared" ca="1" si="437"/>
        <v>0</v>
      </c>
      <c r="V993" s="306">
        <f t="shared" ca="1" si="438"/>
        <v>1.2265348864458883</v>
      </c>
      <c r="W993" s="304">
        <f t="shared" ca="1" si="439"/>
        <v>50.27497656687391</v>
      </c>
      <c r="Y993" s="314" t="str">
        <f t="shared" ca="1" si="457"/>
        <v/>
      </c>
      <c r="Z993" s="315" t="str">
        <f t="shared" ca="1" si="458"/>
        <v/>
      </c>
      <c r="AA993" s="316" t="str">
        <f t="shared" ca="1" si="459"/>
        <v/>
      </c>
      <c r="AC993" s="310" t="e">
        <f t="shared" ca="1" si="460"/>
        <v>#N/A</v>
      </c>
      <c r="AD993" s="323" t="e">
        <f t="shared" ca="1" si="461"/>
        <v>#N/A</v>
      </c>
      <c r="AE993" s="324" t="e">
        <f t="shared" ca="1" si="440"/>
        <v>#N/A</v>
      </c>
      <c r="AG993" s="306">
        <f t="shared" ca="1" si="462"/>
        <v>-8.9588735652622375E-2</v>
      </c>
      <c r="AH993" s="304">
        <f t="shared" ca="1" si="463"/>
        <v>-9.8907980183908588</v>
      </c>
    </row>
    <row r="994" spans="1:34" x14ac:dyDescent="0.2">
      <c r="A994" s="347">
        <f t="shared" ca="1" si="441"/>
        <v>1E-4</v>
      </c>
      <c r="B994" s="304">
        <f t="shared" ca="1" si="442"/>
        <v>44.618400000000932</v>
      </c>
      <c r="D994" s="306">
        <f t="shared" ca="1" si="443"/>
        <v>-0.41862332109365724</v>
      </c>
      <c r="E994" s="307">
        <f t="shared" ca="1" si="444"/>
        <v>7.194492360815552E-2</v>
      </c>
      <c r="F994" s="304">
        <f t="shared" ca="1" si="445"/>
        <v>0.42476058785681448</v>
      </c>
      <c r="G994" s="306">
        <f t="shared" ca="1" si="446"/>
        <v>4.8901502198768734</v>
      </c>
      <c r="H994" s="307">
        <f t="shared" ca="1" si="447"/>
        <v>-115.4369653468497</v>
      </c>
      <c r="I994" s="304">
        <f t="shared" ca="1" si="448"/>
        <v>115.54049739231151</v>
      </c>
      <c r="J994" s="306">
        <f t="shared" ca="1" si="449"/>
        <v>976.66817413190017</v>
      </c>
      <c r="K994" s="307">
        <f t="shared" ca="1" si="450"/>
        <v>-12.533384233402272</v>
      </c>
      <c r="L994" s="304">
        <f t="shared" ca="1" si="435"/>
        <v>976.74859000793128</v>
      </c>
      <c r="M994" s="306">
        <f t="shared" ca="1" si="451"/>
        <v>-1.5284595575377884</v>
      </c>
      <c r="N994" s="304">
        <f t="shared" ca="1" si="452"/>
        <v>-87.574281803348484</v>
      </c>
      <c r="P994" s="310">
        <f t="shared" ca="1" si="453"/>
        <v>23</v>
      </c>
      <c r="Q994" s="304">
        <f t="shared" ca="1" si="454"/>
        <v>0</v>
      </c>
      <c r="R994" s="306">
        <f t="shared" ca="1" si="455"/>
        <v>0</v>
      </c>
      <c r="S994" s="307">
        <f t="shared" ca="1" si="456"/>
        <v>5.0829999999999913</v>
      </c>
      <c r="T994" s="304">
        <f t="shared" ca="1" si="436"/>
        <v>49.864229999999914</v>
      </c>
      <c r="U994" s="311">
        <f t="shared" ca="1" si="437"/>
        <v>0</v>
      </c>
      <c r="V994" s="306">
        <f t="shared" ca="1" si="438"/>
        <v>1.2265363023219571</v>
      </c>
      <c r="W994" s="304">
        <f t="shared" ca="1" si="439"/>
        <v>50.275026805466034</v>
      </c>
      <c r="Y994" s="314" t="str">
        <f t="shared" ca="1" si="457"/>
        <v/>
      </c>
      <c r="Z994" s="315" t="str">
        <f t="shared" ca="1" si="458"/>
        <v/>
      </c>
      <c r="AA994" s="316" t="str">
        <f t="shared" ca="1" si="459"/>
        <v/>
      </c>
      <c r="AC994" s="310" t="e">
        <f t="shared" ca="1" si="460"/>
        <v>#N/A</v>
      </c>
      <c r="AD994" s="323" t="e">
        <f t="shared" ca="1" si="461"/>
        <v>#N/A</v>
      </c>
      <c r="AE994" s="324" t="e">
        <f t="shared" ca="1" si="440"/>
        <v>#N/A</v>
      </c>
      <c r="AG994" s="306">
        <f t="shared" ca="1" si="462"/>
        <v>-8.9598470251910811E-2</v>
      </c>
      <c r="AH994" s="304">
        <f t="shared" ca="1" si="463"/>
        <v>-9.8908079021983077</v>
      </c>
    </row>
    <row r="995" spans="1:34" x14ac:dyDescent="0.2">
      <c r="A995" s="347">
        <f t="shared" ca="1" si="441"/>
        <v>1E-4</v>
      </c>
      <c r="B995" s="304">
        <f t="shared" ca="1" si="442"/>
        <v>44.618500000000935</v>
      </c>
      <c r="D995" s="306">
        <f t="shared" ca="1" si="443"/>
        <v>-0.41862018826176423</v>
      </c>
      <c r="E995" s="307">
        <f t="shared" ca="1" si="444"/>
        <v>7.1954948836271626E-2</v>
      </c>
      <c r="F995" s="304">
        <f t="shared" ca="1" si="445"/>
        <v>0.42475919846702015</v>
      </c>
      <c r="G995" s="306">
        <f t="shared" ca="1" si="446"/>
        <v>4.8901083578580469</v>
      </c>
      <c r="H995" s="307">
        <f t="shared" ca="1" si="447"/>
        <v>-115.43695815135482</v>
      </c>
      <c r="I995" s="304">
        <f t="shared" ca="1" si="448"/>
        <v>115.54048843149849</v>
      </c>
      <c r="J995" s="306">
        <f t="shared" ca="1" si="449"/>
        <v>976.66817413190017</v>
      </c>
      <c r="K995" s="307">
        <f t="shared" ca="1" si="450"/>
        <v>-12.544927929577181</v>
      </c>
      <c r="L995" s="304">
        <f t="shared" ca="1" si="435"/>
        <v>976.74873820184587</v>
      </c>
      <c r="M995" s="306">
        <f t="shared" ca="1" si="451"/>
        <v>-1.5284599168920303</v>
      </c>
      <c r="N995" s="304">
        <f t="shared" ca="1" si="452"/>
        <v>-87.574302392829907</v>
      </c>
      <c r="P995" s="310">
        <f t="shared" ca="1" si="453"/>
        <v>23</v>
      </c>
      <c r="Q995" s="304">
        <f t="shared" ca="1" si="454"/>
        <v>0</v>
      </c>
      <c r="R995" s="306">
        <f t="shared" ca="1" si="455"/>
        <v>0</v>
      </c>
      <c r="S995" s="307">
        <f t="shared" ca="1" si="456"/>
        <v>5.0829999999999913</v>
      </c>
      <c r="T995" s="304">
        <f t="shared" ca="1" si="436"/>
        <v>49.864229999999914</v>
      </c>
      <c r="U995" s="311">
        <f t="shared" ca="1" si="437"/>
        <v>0</v>
      </c>
      <c r="V995" s="306">
        <f t="shared" ca="1" si="438"/>
        <v>1.2265377181995731</v>
      </c>
      <c r="W995" s="304">
        <f t="shared" ca="1" si="439"/>
        <v>50.275077043256999</v>
      </c>
      <c r="Y995" s="314" t="str">
        <f t="shared" ca="1" si="457"/>
        <v/>
      </c>
      <c r="Z995" s="315" t="str">
        <f t="shared" ca="1" si="458"/>
        <v/>
      </c>
      <c r="AA995" s="316" t="str">
        <f t="shared" ca="1" si="459"/>
        <v/>
      </c>
      <c r="AC995" s="310" t="e">
        <f t="shared" ca="1" si="460"/>
        <v>#N/A</v>
      </c>
      <c r="AD995" s="323" t="e">
        <f t="shared" ca="1" si="461"/>
        <v>#N/A</v>
      </c>
      <c r="AE995" s="324" t="e">
        <f t="shared" ca="1" si="440"/>
        <v>#N/A</v>
      </c>
      <c r="AG995" s="306">
        <f t="shared" ca="1" si="462"/>
        <v>-8.9608204696105531E-2</v>
      </c>
      <c r="AH995" s="304">
        <f t="shared" ca="1" si="463"/>
        <v>-9.8908177858481441</v>
      </c>
    </row>
    <row r="996" spans="1:34" x14ac:dyDescent="0.2">
      <c r="A996" s="347">
        <f t="shared" ca="1" si="441"/>
        <v>1E-4</v>
      </c>
      <c r="B996" s="304">
        <f t="shared" ca="1" si="442"/>
        <v>44.618600000000939</v>
      </c>
      <c r="D996" s="306">
        <f t="shared" ca="1" si="443"/>
        <v>-0.41861705544589972</v>
      </c>
      <c r="E996" s="307">
        <f t="shared" ca="1" si="444"/>
        <v>7.1964973904673712E-2</v>
      </c>
      <c r="F996" s="304">
        <f t="shared" ca="1" si="445"/>
        <v>0.42475780932114227</v>
      </c>
      <c r="G996" s="306">
        <f t="shared" ca="1" si="446"/>
        <v>4.8900664961525022</v>
      </c>
      <c r="H996" s="307">
        <f t="shared" ca="1" si="447"/>
        <v>-115.43695095485742</v>
      </c>
      <c r="I996" s="304">
        <f t="shared" ca="1" si="448"/>
        <v>115.54047946971205</v>
      </c>
      <c r="J996" s="306">
        <f t="shared" ca="1" si="449"/>
        <v>976.66817413190017</v>
      </c>
      <c r="K996" s="307">
        <f t="shared" ca="1" si="450"/>
        <v>-12.556471625032492</v>
      </c>
      <c r="L996" s="304">
        <f t="shared" ca="1" si="435"/>
        <v>976.74888653215771</v>
      </c>
      <c r="M996" s="306">
        <f t="shared" ca="1" si="451"/>
        <v>-1.5284602762432518</v>
      </c>
      <c r="N996" s="304">
        <f t="shared" ca="1" si="452"/>
        <v>-87.574322982138256</v>
      </c>
      <c r="P996" s="310">
        <f t="shared" ca="1" si="453"/>
        <v>23</v>
      </c>
      <c r="Q996" s="304">
        <f t="shared" ca="1" si="454"/>
        <v>0</v>
      </c>
      <c r="R996" s="306">
        <f t="shared" ca="1" si="455"/>
        <v>0</v>
      </c>
      <c r="S996" s="307">
        <f t="shared" ca="1" si="456"/>
        <v>5.0829999999999913</v>
      </c>
      <c r="T996" s="304">
        <f t="shared" ca="1" si="436"/>
        <v>49.864229999999914</v>
      </c>
      <c r="U996" s="311">
        <f t="shared" ca="1" si="437"/>
        <v>0</v>
      </c>
      <c r="V996" s="306">
        <f t="shared" ca="1" si="438"/>
        <v>1.2265391340787362</v>
      </c>
      <c r="W996" s="304">
        <f t="shared" ca="1" si="439"/>
        <v>50.27512728024687</v>
      </c>
      <c r="Y996" s="314" t="str">
        <f t="shared" ca="1" si="457"/>
        <v/>
      </c>
      <c r="Z996" s="315" t="str">
        <f t="shared" ca="1" si="458"/>
        <v/>
      </c>
      <c r="AA996" s="316" t="str">
        <f t="shared" ca="1" si="459"/>
        <v/>
      </c>
      <c r="AC996" s="310" t="e">
        <f t="shared" ca="1" si="460"/>
        <v>#N/A</v>
      </c>
      <c r="AD996" s="323" t="e">
        <f t="shared" ca="1" si="461"/>
        <v>#N/A</v>
      </c>
      <c r="AE996" s="324" t="e">
        <f t="shared" ca="1" si="440"/>
        <v>#N/A</v>
      </c>
      <c r="AG996" s="306">
        <f t="shared" ca="1" si="462"/>
        <v>-8.9617938985208312E-2</v>
      </c>
      <c r="AH996" s="304">
        <f t="shared" ca="1" si="463"/>
        <v>-9.8908276693403678</v>
      </c>
    </row>
    <row r="997" spans="1:34" x14ac:dyDescent="0.2">
      <c r="A997" s="347">
        <f t="shared" ca="1" si="441"/>
        <v>1E-4</v>
      </c>
      <c r="B997" s="304">
        <f t="shared" ca="1" si="442"/>
        <v>44.618700000000942</v>
      </c>
      <c r="D997" s="306">
        <f t="shared" ca="1" si="443"/>
        <v>-0.41861392264606195</v>
      </c>
      <c r="E997" s="307">
        <f t="shared" ca="1" si="444"/>
        <v>7.1974998813372437E-2</v>
      </c>
      <c r="F997" s="304">
        <f t="shared" ca="1" si="445"/>
        <v>0.42475642041917167</v>
      </c>
      <c r="G997" s="306">
        <f t="shared" ca="1" si="446"/>
        <v>4.8900246347602376</v>
      </c>
      <c r="H997" s="307">
        <f t="shared" ca="1" si="447"/>
        <v>-115.43694375735754</v>
      </c>
      <c r="I997" s="304">
        <f t="shared" ca="1" si="448"/>
        <v>115.5404705069522</v>
      </c>
      <c r="J997" s="306">
        <f t="shared" ca="1" si="449"/>
        <v>976.66817413190017</v>
      </c>
      <c r="K997" s="307">
        <f t="shared" ca="1" si="450"/>
        <v>-12.568015319768103</v>
      </c>
      <c r="L997" s="304">
        <f t="shared" ca="1" si="435"/>
        <v>976.74903499886682</v>
      </c>
      <c r="M997" s="306">
        <f t="shared" ca="1" si="451"/>
        <v>-1.5284606355914527</v>
      </c>
      <c r="N997" s="304">
        <f t="shared" ca="1" si="452"/>
        <v>-87.574343571273545</v>
      </c>
      <c r="P997" s="310">
        <f t="shared" ca="1" si="453"/>
        <v>23</v>
      </c>
      <c r="Q997" s="304">
        <f t="shared" ca="1" si="454"/>
        <v>0</v>
      </c>
      <c r="R997" s="306">
        <f t="shared" ca="1" si="455"/>
        <v>0</v>
      </c>
      <c r="S997" s="307">
        <f t="shared" ca="1" si="456"/>
        <v>5.0829999999999913</v>
      </c>
      <c r="T997" s="304">
        <f t="shared" ca="1" si="436"/>
        <v>49.864229999999914</v>
      </c>
      <c r="U997" s="311">
        <f t="shared" ca="1" si="437"/>
        <v>0</v>
      </c>
      <c r="V997" s="306">
        <f t="shared" ca="1" si="438"/>
        <v>1.2265405499594464</v>
      </c>
      <c r="W997" s="304">
        <f t="shared" ca="1" si="439"/>
        <v>50.275177516435626</v>
      </c>
      <c r="Y997" s="314" t="str">
        <f t="shared" ca="1" si="457"/>
        <v/>
      </c>
      <c r="Z997" s="315" t="str">
        <f t="shared" ca="1" si="458"/>
        <v/>
      </c>
      <c r="AA997" s="316" t="str">
        <f t="shared" ca="1" si="459"/>
        <v/>
      </c>
      <c r="AC997" s="310" t="e">
        <f t="shared" ca="1" si="460"/>
        <v>#N/A</v>
      </c>
      <c r="AD997" s="323" t="e">
        <f t="shared" ca="1" si="461"/>
        <v>#N/A</v>
      </c>
      <c r="AE997" s="324" t="e">
        <f t="shared" ca="1" si="440"/>
        <v>#N/A</v>
      </c>
      <c r="AG997" s="306">
        <f t="shared" ca="1" si="462"/>
        <v>-8.9627673119224482E-2</v>
      </c>
      <c r="AH997" s="304">
        <f t="shared" ca="1" si="463"/>
        <v>-9.8908375526749861</v>
      </c>
    </row>
    <row r="998" spans="1:34" x14ac:dyDescent="0.2">
      <c r="A998" s="347">
        <f t="shared" ca="1" si="441"/>
        <v>1E-4</v>
      </c>
      <c r="B998" s="304">
        <f t="shared" ca="1" si="442"/>
        <v>44.618800000000945</v>
      </c>
      <c r="D998" s="306">
        <f t="shared" ca="1" si="443"/>
        <v>-0.41861078986225125</v>
      </c>
      <c r="E998" s="307">
        <f t="shared" ca="1" si="444"/>
        <v>7.19850235623678E-2</v>
      </c>
      <c r="F998" s="304">
        <f t="shared" ca="1" si="445"/>
        <v>0.42475503176109936</v>
      </c>
      <c r="G998" s="306">
        <f t="shared" ca="1" si="446"/>
        <v>4.8899827736812513</v>
      </c>
      <c r="H998" s="307">
        <f t="shared" ca="1" si="447"/>
        <v>-115.43693655885518</v>
      </c>
      <c r="I998" s="304">
        <f t="shared" ca="1" si="448"/>
        <v>115.54046154321894</v>
      </c>
      <c r="J998" s="306">
        <f t="shared" ca="1" si="449"/>
        <v>976.66817413190017</v>
      </c>
      <c r="K998" s="307">
        <f t="shared" ca="1" si="450"/>
        <v>-12.579559013783912</v>
      </c>
      <c r="L998" s="304">
        <f t="shared" ca="1" si="435"/>
        <v>976.74918360197307</v>
      </c>
      <c r="M998" s="306">
        <f t="shared" ca="1" si="451"/>
        <v>-1.5284609949366332</v>
      </c>
      <c r="N998" s="304">
        <f t="shared" ca="1" si="452"/>
        <v>-87.574364160235774</v>
      </c>
      <c r="P998" s="310">
        <f t="shared" ca="1" si="453"/>
        <v>23</v>
      </c>
      <c r="Q998" s="304">
        <f t="shared" ca="1" si="454"/>
        <v>0</v>
      </c>
      <c r="R998" s="306">
        <f t="shared" ca="1" si="455"/>
        <v>0</v>
      </c>
      <c r="S998" s="307">
        <f t="shared" ca="1" si="456"/>
        <v>5.0829999999999913</v>
      </c>
      <c r="T998" s="304">
        <f t="shared" ca="1" si="436"/>
        <v>49.864229999999914</v>
      </c>
      <c r="U998" s="311">
        <f t="shared" ca="1" si="437"/>
        <v>0</v>
      </c>
      <c r="V998" s="306">
        <f t="shared" ca="1" si="438"/>
        <v>1.2265419658417036</v>
      </c>
      <c r="W998" s="304">
        <f t="shared" ca="1" si="439"/>
        <v>50.275227751823259</v>
      </c>
      <c r="Y998" s="314" t="str">
        <f t="shared" ca="1" si="457"/>
        <v/>
      </c>
      <c r="Z998" s="315" t="str">
        <f t="shared" ca="1" si="458"/>
        <v/>
      </c>
      <c r="AA998" s="316" t="str">
        <f t="shared" ca="1" si="459"/>
        <v/>
      </c>
      <c r="AC998" s="310" t="e">
        <f t="shared" ca="1" si="460"/>
        <v>#N/A</v>
      </c>
      <c r="AD998" s="323" t="e">
        <f t="shared" ca="1" si="461"/>
        <v>#N/A</v>
      </c>
      <c r="AE998" s="324" t="e">
        <f t="shared" ca="1" si="440"/>
        <v>#N/A</v>
      </c>
      <c r="AG998" s="306">
        <f t="shared" ca="1" si="462"/>
        <v>-8.9637407098155819E-2</v>
      </c>
      <c r="AH998" s="304">
        <f t="shared" ca="1" si="463"/>
        <v>-9.8908474358519989</v>
      </c>
    </row>
    <row r="999" spans="1:34" x14ac:dyDescent="0.2">
      <c r="A999" s="347">
        <f t="shared" ca="1" si="441"/>
        <v>1E-4</v>
      </c>
      <c r="B999" s="304">
        <f t="shared" ca="1" si="442"/>
        <v>44.618900000000949</v>
      </c>
      <c r="D999" s="306">
        <f t="shared" ca="1" si="443"/>
        <v>-0.41860765709446773</v>
      </c>
      <c r="E999" s="307">
        <f t="shared" ca="1" si="444"/>
        <v>7.1995048151658025E-2</v>
      </c>
      <c r="F999" s="304">
        <f t="shared" ca="1" si="445"/>
        <v>0.42475364334691595</v>
      </c>
      <c r="G999" s="306">
        <f t="shared" ca="1" si="446"/>
        <v>4.8899409129155416</v>
      </c>
      <c r="H999" s="307">
        <f t="shared" ca="1" si="447"/>
        <v>-115.43692935935036</v>
      </c>
      <c r="I999" s="304">
        <f t="shared" ca="1" si="448"/>
        <v>115.5404525785123</v>
      </c>
      <c r="J999" s="306">
        <f t="shared" ca="1" si="449"/>
        <v>976.66817413190017</v>
      </c>
      <c r="K999" s="307">
        <f t="shared" ca="1" si="450"/>
        <v>-12.591102707079823</v>
      </c>
      <c r="L999" s="304">
        <f t="shared" ca="1" si="435"/>
        <v>976.74933234147636</v>
      </c>
      <c r="M999" s="306">
        <f t="shared" ca="1" si="451"/>
        <v>-1.5284613542787935</v>
      </c>
      <c r="N999" s="304">
        <f t="shared" ca="1" si="452"/>
        <v>-87.574384749024958</v>
      </c>
      <c r="P999" s="310">
        <f t="shared" ca="1" si="453"/>
        <v>23</v>
      </c>
      <c r="Q999" s="304">
        <f t="shared" ca="1" si="454"/>
        <v>0</v>
      </c>
      <c r="R999" s="306">
        <f t="shared" ca="1" si="455"/>
        <v>0</v>
      </c>
      <c r="S999" s="307">
        <f t="shared" ca="1" si="456"/>
        <v>5.0829999999999913</v>
      </c>
      <c r="T999" s="304">
        <f t="shared" ca="1" si="436"/>
        <v>49.864229999999914</v>
      </c>
      <c r="U999" s="311">
        <f t="shared" ca="1" si="437"/>
        <v>0</v>
      </c>
      <c r="V999" s="306">
        <f t="shared" ca="1" si="438"/>
        <v>1.2265433817255085</v>
      </c>
      <c r="W999" s="304">
        <f t="shared" ca="1" si="439"/>
        <v>50.275277986409833</v>
      </c>
      <c r="Y999" s="314" t="str">
        <f t="shared" ca="1" si="457"/>
        <v/>
      </c>
      <c r="Z999" s="315" t="str">
        <f t="shared" ca="1" si="458"/>
        <v/>
      </c>
      <c r="AA999" s="316" t="str">
        <f t="shared" ca="1" si="459"/>
        <v/>
      </c>
      <c r="AC999" s="310" t="e">
        <f t="shared" ca="1" si="460"/>
        <v>#N/A</v>
      </c>
      <c r="AD999" s="323" t="e">
        <f t="shared" ca="1" si="461"/>
        <v>#N/A</v>
      </c>
      <c r="AE999" s="324" t="e">
        <f t="shared" ca="1" si="440"/>
        <v>#N/A</v>
      </c>
      <c r="AG999" s="306">
        <f t="shared" ca="1" si="462"/>
        <v>-8.9647140922000546E-2</v>
      </c>
      <c r="AH999" s="304">
        <f t="shared" ca="1" si="463"/>
        <v>-9.8908573188714044</v>
      </c>
    </row>
    <row r="1000" spans="1:34" x14ac:dyDescent="0.2">
      <c r="A1000" s="347">
        <f t="shared" ca="1" si="441"/>
        <v>1E-4</v>
      </c>
      <c r="B1000" s="304">
        <f t="shared" ca="1" si="442"/>
        <v>44.619000000000952</v>
      </c>
      <c r="D1000" s="306">
        <f t="shared" ca="1" si="443"/>
        <v>-0.41860452434271</v>
      </c>
      <c r="E1000" s="307">
        <f t="shared" ca="1" si="444"/>
        <v>7.2005072581251994E-2</v>
      </c>
      <c r="F1000" s="304">
        <f t="shared" ca="1" si="445"/>
        <v>0.42475225517661219</v>
      </c>
      <c r="G1000" s="306">
        <f t="shared" ca="1" si="446"/>
        <v>4.8898990524631074</v>
      </c>
      <c r="H1000" s="307">
        <f t="shared" ca="1" si="447"/>
        <v>-115.4369221588431</v>
      </c>
      <c r="I1000" s="304">
        <f t="shared" ca="1" si="448"/>
        <v>115.54044361283231</v>
      </c>
      <c r="J1000" s="306">
        <f t="shared" ca="1" si="449"/>
        <v>976.66817413190017</v>
      </c>
      <c r="K1000" s="307">
        <f t="shared" ca="1" si="450"/>
        <v>-12.602646399655733</v>
      </c>
      <c r="L1000" s="304">
        <f t="shared" ca="1" si="435"/>
        <v>976.74948121737668</v>
      </c>
      <c r="M1000" s="306">
        <f t="shared" ca="1" si="451"/>
        <v>-1.528461713617933</v>
      </c>
      <c r="N1000" s="304">
        <f t="shared" ca="1" si="452"/>
        <v>-87.574405337641068</v>
      </c>
      <c r="P1000" s="310">
        <f t="shared" ca="1" si="453"/>
        <v>23</v>
      </c>
      <c r="Q1000" s="304">
        <f t="shared" ca="1" si="454"/>
        <v>0</v>
      </c>
      <c r="R1000" s="306">
        <f t="shared" ca="1" si="455"/>
        <v>0</v>
      </c>
      <c r="S1000" s="307">
        <f t="shared" ca="1" si="456"/>
        <v>5.0829999999999913</v>
      </c>
      <c r="T1000" s="304">
        <f t="shared" ca="1" si="436"/>
        <v>49.864229999999914</v>
      </c>
      <c r="U1000" s="311">
        <f t="shared" ca="1" si="437"/>
        <v>0</v>
      </c>
      <c r="V1000" s="306">
        <f t="shared" ca="1" si="438"/>
        <v>1.2265447976108603</v>
      </c>
      <c r="W1000" s="304">
        <f t="shared" ca="1" si="439"/>
        <v>50.275328220195341</v>
      </c>
      <c r="Y1000" s="314" t="str">
        <f t="shared" ca="1" si="457"/>
        <v/>
      </c>
      <c r="Z1000" s="315" t="str">
        <f t="shared" ca="1" si="458"/>
        <v/>
      </c>
      <c r="AA1000" s="316" t="str">
        <f t="shared" ca="1" si="459"/>
        <v/>
      </c>
      <c r="AC1000" s="310" t="e">
        <f t="shared" ca="1" si="460"/>
        <v>#N/A</v>
      </c>
      <c r="AD1000" s="323" t="e">
        <f t="shared" ca="1" si="461"/>
        <v>#N/A</v>
      </c>
      <c r="AE1000" s="324" t="e">
        <f t="shared" ca="1" si="440"/>
        <v>#N/A</v>
      </c>
      <c r="AG1000" s="306">
        <f t="shared" ca="1" si="462"/>
        <v>-8.9656874590765767E-2</v>
      </c>
      <c r="AH1000" s="304">
        <f t="shared" ca="1" si="463"/>
        <v>-9.8908672017332133</v>
      </c>
    </row>
    <row r="1001" spans="1:34" x14ac:dyDescent="0.2">
      <c r="A1001" s="347">
        <f t="shared" ca="1" si="441"/>
        <v>1E-4</v>
      </c>
      <c r="B1001" s="304">
        <f t="shared" ca="1" si="442"/>
        <v>44.619100000000955</v>
      </c>
      <c r="D1001" s="306">
        <f t="shared" ca="1" si="443"/>
        <v>-0.41860139160698262</v>
      </c>
      <c r="E1001" s="307">
        <f t="shared" ca="1" si="444"/>
        <v>7.2015096851149707E-2</v>
      </c>
      <c r="F1001" s="304">
        <f t="shared" ca="1" si="445"/>
        <v>0.42475086725018335</v>
      </c>
      <c r="G1001" s="306">
        <f t="shared" ca="1" si="446"/>
        <v>4.8898571923239471</v>
      </c>
      <c r="H1001" s="307">
        <f t="shared" ca="1" si="447"/>
        <v>-115.43691495733341</v>
      </c>
      <c r="I1001" s="304">
        <f t="shared" ca="1" si="448"/>
        <v>115.54043464617895</v>
      </c>
      <c r="J1001" s="306">
        <f t="shared" ca="1" si="449"/>
        <v>976.66817413190017</v>
      </c>
      <c r="K1001" s="307">
        <f t="shared" ca="1" si="450"/>
        <v>-12.614190091511542</v>
      </c>
      <c r="L1001" s="304">
        <f t="shared" ca="1" si="435"/>
        <v>976.74963022967381</v>
      </c>
      <c r="M1001" s="306">
        <f t="shared" ca="1" si="451"/>
        <v>-1.5284620729540526</v>
      </c>
      <c r="N1001" s="304">
        <f t="shared" ca="1" si="452"/>
        <v>-87.574425926084146</v>
      </c>
      <c r="P1001" s="310">
        <f t="shared" ca="1" si="453"/>
        <v>23</v>
      </c>
      <c r="Q1001" s="304">
        <f t="shared" ca="1" si="454"/>
        <v>0</v>
      </c>
      <c r="R1001" s="306">
        <f t="shared" ca="1" si="455"/>
        <v>0</v>
      </c>
      <c r="S1001" s="307">
        <f t="shared" ca="1" si="456"/>
        <v>5.0829999999999913</v>
      </c>
      <c r="T1001" s="304">
        <f t="shared" ca="1" si="436"/>
        <v>49.864229999999914</v>
      </c>
      <c r="U1001" s="311">
        <f t="shared" ca="1" si="437"/>
        <v>0</v>
      </c>
      <c r="V1001" s="306">
        <f t="shared" ca="1" si="438"/>
        <v>1.2265462134977592</v>
      </c>
      <c r="W1001" s="304">
        <f t="shared" ca="1" si="439"/>
        <v>50.275378453179755</v>
      </c>
      <c r="Y1001" s="314" t="str">
        <f t="shared" ca="1" si="457"/>
        <v/>
      </c>
      <c r="Z1001" s="315" t="str">
        <f t="shared" ca="1" si="458"/>
        <v/>
      </c>
      <c r="AA1001" s="316" t="str">
        <f t="shared" ca="1" si="459"/>
        <v/>
      </c>
      <c r="AC1001" s="310" t="e">
        <f t="shared" ca="1" si="460"/>
        <v>#N/A</v>
      </c>
      <c r="AD1001" s="323" t="e">
        <f t="shared" ca="1" si="461"/>
        <v>#N/A</v>
      </c>
      <c r="AE1001" s="324" t="e">
        <f t="shared" ca="1" si="440"/>
        <v>#N/A</v>
      </c>
      <c r="AG1001" s="306">
        <f t="shared" ca="1" si="462"/>
        <v>-8.966660810445326E-2</v>
      </c>
      <c r="AH1001" s="304">
        <f t="shared" ca="1" si="463"/>
        <v>-9.8908770844374239</v>
      </c>
    </row>
    <row r="1002" spans="1:34" x14ac:dyDescent="0.2">
      <c r="A1002" s="347">
        <f t="shared" ca="1" si="441"/>
        <v>1E-4</v>
      </c>
      <c r="B1002" s="304">
        <f t="shared" ca="1" si="442"/>
        <v>44.619200000000959</v>
      </c>
      <c r="D1002" s="306">
        <f t="shared" ca="1" si="443"/>
        <v>-0.41859825888727908</v>
      </c>
      <c r="E1002" s="307">
        <f t="shared" ca="1" si="444"/>
        <v>7.2025120961347611E-2</v>
      </c>
      <c r="F1002" s="304">
        <f t="shared" ca="1" si="445"/>
        <v>0.42474947956761322</v>
      </c>
      <c r="G1002" s="306">
        <f t="shared" ca="1" si="446"/>
        <v>4.889815332498058</v>
      </c>
      <c r="H1002" s="307">
        <f t="shared" ca="1" si="447"/>
        <v>-115.43690775482132</v>
      </c>
      <c r="I1002" s="304">
        <f t="shared" ca="1" si="448"/>
        <v>115.54042567855227</v>
      </c>
      <c r="J1002" s="306">
        <f t="shared" ca="1" si="449"/>
        <v>976.66817413190017</v>
      </c>
      <c r="K1002" s="307">
        <f t="shared" ca="1" si="450"/>
        <v>-12.625733782647149</v>
      </c>
      <c r="L1002" s="304">
        <f t="shared" ca="1" si="435"/>
        <v>976.74977937836775</v>
      </c>
      <c r="M1002" s="306">
        <f t="shared" ca="1" si="451"/>
        <v>-1.5284624322871516</v>
      </c>
      <c r="N1002" s="304">
        <f t="shared" ca="1" si="452"/>
        <v>-87.574446514354165</v>
      </c>
      <c r="P1002" s="310">
        <f t="shared" ca="1" si="453"/>
        <v>23</v>
      </c>
      <c r="Q1002" s="304">
        <f t="shared" ca="1" si="454"/>
        <v>0</v>
      </c>
      <c r="R1002" s="306">
        <f t="shared" ca="1" si="455"/>
        <v>0</v>
      </c>
      <c r="S1002" s="307">
        <f t="shared" ca="1" si="456"/>
        <v>5.0829999999999913</v>
      </c>
      <c r="T1002" s="304">
        <f t="shared" ca="1" si="436"/>
        <v>49.864229999999914</v>
      </c>
      <c r="U1002" s="311">
        <f t="shared" ca="1" si="437"/>
        <v>0</v>
      </c>
      <c r="V1002" s="306">
        <f t="shared" ca="1" si="438"/>
        <v>1.2265476293862054</v>
      </c>
      <c r="W1002" s="304">
        <f t="shared" ca="1" si="439"/>
        <v>50.275428685363146</v>
      </c>
      <c r="Y1002" s="314" t="str">
        <f t="shared" ca="1" si="457"/>
        <v/>
      </c>
      <c r="Z1002" s="315" t="str">
        <f t="shared" ca="1" si="458"/>
        <v/>
      </c>
      <c r="AA1002" s="316" t="str">
        <f t="shared" ca="1" si="459"/>
        <v/>
      </c>
      <c r="AC1002" s="310" t="e">
        <f t="shared" ca="1" si="460"/>
        <v>#N/A</v>
      </c>
      <c r="AD1002" s="323" t="e">
        <f t="shared" ca="1" si="461"/>
        <v>#N/A</v>
      </c>
      <c r="AE1002" s="324" t="e">
        <f t="shared" ca="1" si="440"/>
        <v>#N/A</v>
      </c>
      <c r="AG1002" s="306">
        <f t="shared" ca="1" si="462"/>
        <v>-8.9676341463057696E-2</v>
      </c>
      <c r="AH1002" s="304">
        <f t="shared" ca="1" si="463"/>
        <v>-9.8908869669840325</v>
      </c>
    </row>
    <row r="1003" spans="1:34" x14ac:dyDescent="0.2">
      <c r="A1003" s="347">
        <f t="shared" ca="1" si="441"/>
        <v>1E-4</v>
      </c>
      <c r="B1003" s="304">
        <f t="shared" ca="1" si="442"/>
        <v>44.619300000000962</v>
      </c>
      <c r="D1003" s="306">
        <f t="shared" ca="1" si="443"/>
        <v>-0.41859512618360467</v>
      </c>
      <c r="E1003" s="307">
        <f t="shared" ca="1" si="444"/>
        <v>7.203514491185814E-2</v>
      </c>
      <c r="F1003" s="304">
        <f t="shared" ca="1" si="445"/>
        <v>0.4247480921288998</v>
      </c>
      <c r="G1003" s="306">
        <f t="shared" ca="1" si="446"/>
        <v>4.8897734729854401</v>
      </c>
      <c r="H1003" s="307">
        <f t="shared" ca="1" si="447"/>
        <v>-115.43690055130683</v>
      </c>
      <c r="I1003" s="304">
        <f t="shared" ca="1" si="448"/>
        <v>115.54041670995227</v>
      </c>
      <c r="J1003" s="306">
        <f t="shared" ca="1" si="449"/>
        <v>976.66817413190017</v>
      </c>
      <c r="K1003" s="307">
        <f t="shared" ca="1" si="450"/>
        <v>-12.637277473062456</v>
      </c>
      <c r="L1003" s="304">
        <f t="shared" ca="1" si="435"/>
        <v>976.74992866345826</v>
      </c>
      <c r="M1003" s="306">
        <f t="shared" ca="1" si="451"/>
        <v>-1.5284627916172302</v>
      </c>
      <c r="N1003" s="304">
        <f t="shared" ca="1" si="452"/>
        <v>-87.574467102451109</v>
      </c>
      <c r="P1003" s="310">
        <f t="shared" ca="1" si="453"/>
        <v>23</v>
      </c>
      <c r="Q1003" s="304">
        <f t="shared" ca="1" si="454"/>
        <v>0</v>
      </c>
      <c r="R1003" s="306">
        <f t="shared" ca="1" si="455"/>
        <v>0</v>
      </c>
      <c r="S1003" s="307">
        <f t="shared" ca="1" si="456"/>
        <v>5.0829999999999913</v>
      </c>
      <c r="T1003" s="304">
        <f t="shared" ca="1" si="436"/>
        <v>49.864229999999914</v>
      </c>
      <c r="U1003" s="311">
        <f t="shared" ca="1" si="437"/>
        <v>0</v>
      </c>
      <c r="V1003" s="306">
        <f ca="1">Rho_moyen*(20000-Alt_rampe-pos_z)/(20000+Alt_rampe+pos_z)</f>
        <v>1.2265490452761989</v>
      </c>
      <c r="W1003" s="304">
        <f t="shared" ca="1" si="439"/>
        <v>50.275478916745499</v>
      </c>
      <c r="Y1003" s="314" t="str">
        <f t="shared" ca="1" si="457"/>
        <v/>
      </c>
      <c r="Z1003" s="315" t="str">
        <f t="shared" ca="1" si="458"/>
        <v/>
      </c>
      <c r="AA1003" s="316" t="str">
        <f t="shared" ca="1" si="459"/>
        <v/>
      </c>
      <c r="AC1003" s="310" t="e">
        <f t="shared" ca="1" si="460"/>
        <v>#N/A</v>
      </c>
      <c r="AD1003" s="323" t="e">
        <f t="shared" ca="1" si="461"/>
        <v>#N/A</v>
      </c>
      <c r="AE1003" s="324" t="e">
        <f t="shared" ca="1" si="440"/>
        <v>#N/A</v>
      </c>
      <c r="AG1003" s="306">
        <f t="shared" ca="1" si="462"/>
        <v>-8.9686074666596838E-2</v>
      </c>
      <c r="AH1003" s="304">
        <f t="shared" ca="1" si="463"/>
        <v>-9.8908968493730534</v>
      </c>
    </row>
    <row r="1004" spans="1:34" x14ac:dyDescent="0.2">
      <c r="A1004" s="348">
        <f t="shared" ca="1" si="441"/>
        <v>1E-4</v>
      </c>
      <c r="B1004" s="305">
        <f t="shared" ca="1" si="442"/>
        <v>44.619400000000965</v>
      </c>
      <c r="D1004" s="308">
        <f t="shared" ca="1" si="443"/>
        <v>-0.41859199349595949</v>
      </c>
      <c r="E1004" s="309">
        <f t="shared" ca="1" si="444"/>
        <v>7.2045168702677742E-2</v>
      </c>
      <c r="F1004" s="305">
        <f t="shared" ca="1" si="445"/>
        <v>0.42474670493403321</v>
      </c>
      <c r="G1004" s="308">
        <f t="shared" ca="1" si="446"/>
        <v>4.8897316137860907</v>
      </c>
      <c r="H1004" s="309">
        <f t="shared" ca="1" si="447"/>
        <v>-115.43689334678996</v>
      </c>
      <c r="I1004" s="305">
        <f t="shared" ca="1" si="448"/>
        <v>115.54040774037895</v>
      </c>
      <c r="J1004" s="308">
        <f t="shared" ca="1" si="449"/>
        <v>976.66817413190017</v>
      </c>
      <c r="K1004" s="309">
        <f t="shared" ca="1" si="450"/>
        <v>-12.648821162757361</v>
      </c>
      <c r="L1004" s="305">
        <f t="shared" ca="1" si="435"/>
        <v>976.75007808494547</v>
      </c>
      <c r="M1004" s="308">
        <f t="shared" ca="1" si="451"/>
        <v>-1.5284631509442888</v>
      </c>
      <c r="N1004" s="305">
        <f t="shared" ca="1" si="452"/>
        <v>-87.574487690375037</v>
      </c>
      <c r="P1004" s="312">
        <f t="shared" ca="1" si="453"/>
        <v>23</v>
      </c>
      <c r="Q1004" s="305">
        <f t="shared" ca="1" si="454"/>
        <v>0</v>
      </c>
      <c r="R1004" s="308">
        <f t="shared" ca="1" si="455"/>
        <v>0</v>
      </c>
      <c r="S1004" s="309">
        <f t="shared" ca="1" si="456"/>
        <v>5.0829999999999913</v>
      </c>
      <c r="T1004" s="305">
        <f t="shared" ca="1" si="436"/>
        <v>49.864229999999914</v>
      </c>
      <c r="U1004" s="313">
        <f t="shared" ca="1" si="437"/>
        <v>0</v>
      </c>
      <c r="V1004" s="308">
        <f t="shared" ca="1" si="438"/>
        <v>1.2265504611677394</v>
      </c>
      <c r="W1004" s="305">
        <f ca="1">1/2*Rho*Sref*Cx*vit_xz^2</f>
        <v>50.2755291473268</v>
      </c>
      <c r="Y1004" s="317" t="str">
        <f ca="1">IF(AND(pos_z&lt;=0,K1003&gt;0),"Impact balistique","") &amp; IF(AND(H1005&lt;0,vit_z&gt;=0),"Apogée","") &amp; IF(AND(Poussee=0,Q1003&gt;0),"Fin de propulsion","") &amp; IF(AND(L1005&gt;L_rampe,pos_xz&lt;=L_rampe),"Sortie de rampe","")</f>
        <v/>
      </c>
      <c r="Z1004" s="318" t="str">
        <f t="shared" ca="1" si="458"/>
        <v/>
      </c>
      <c r="AA1004" s="319" t="str">
        <f t="shared" ca="1" si="459"/>
        <v/>
      </c>
      <c r="AC1004" s="312" t="e">
        <f t="shared" ca="1" si="460"/>
        <v>#N/A</v>
      </c>
      <c r="AD1004" s="325" t="e">
        <f t="shared" ca="1" si="461"/>
        <v>#N/A</v>
      </c>
      <c r="AE1004" s="326" t="e">
        <f t="shared" ca="1" si="440"/>
        <v>#N/A</v>
      </c>
      <c r="AG1004" s="308">
        <f t="shared" ca="1" si="462"/>
        <v>-8.9695807715061804E-2</v>
      </c>
      <c r="AH1004" s="305">
        <f t="shared" ca="1" si="463"/>
        <v>-9.890906731604483</v>
      </c>
    </row>
    <row r="1005" spans="1:34" x14ac:dyDescent="0.2">
      <c r="Y1005" s="303"/>
    </row>
    <row r="1010" spans="12:12" x14ac:dyDescent="0.2">
      <c r="L1010"/>
    </row>
    <row r="1034" spans="5:25" x14ac:dyDescent="0.2">
      <c r="E1034" s="300" t="s">
        <v>254</v>
      </c>
      <c r="J1034" s="301" t="s">
        <v>246</v>
      </c>
      <c r="T1034" s="300" t="s">
        <v>245</v>
      </c>
      <c r="Y1034" s="302" t="s">
        <v>248</v>
      </c>
    </row>
    <row r="1035" spans="5:25" x14ac:dyDescent="0.2">
      <c r="E1035" s="299" t="s">
        <v>258</v>
      </c>
    </row>
    <row r="1036" spans="5:25" x14ac:dyDescent="0.2">
      <c r="E1036" s="299"/>
      <c r="T1036" s="299" t="s">
        <v>251</v>
      </c>
    </row>
    <row r="1037" spans="5:25" x14ac:dyDescent="0.2">
      <c r="E1037" s="299"/>
      <c r="T1037" s="299" t="s">
        <v>255</v>
      </c>
    </row>
    <row r="1038" spans="5:25" x14ac:dyDescent="0.2">
      <c r="E1038" s="299"/>
      <c r="T1038" s="299" t="s">
        <v>256</v>
      </c>
    </row>
    <row r="1039" spans="5:25" x14ac:dyDescent="0.2">
      <c r="E1039" s="299"/>
      <c r="T1039" s="299" t="s">
        <v>262</v>
      </c>
    </row>
    <row r="1040" spans="5:25" x14ac:dyDescent="0.2">
      <c r="E1040" s="299" t="s">
        <v>257</v>
      </c>
      <c r="T1040" s="299" t="s">
        <v>247</v>
      </c>
    </row>
    <row r="1041" spans="5:20" x14ac:dyDescent="0.2">
      <c r="E1041" s="299"/>
      <c r="T1041" s="299" t="s">
        <v>263</v>
      </c>
    </row>
    <row r="1042" spans="5:20" x14ac:dyDescent="0.2">
      <c r="E1042" s="299"/>
      <c r="R1042" s="303"/>
      <c r="T1042" s="299"/>
    </row>
    <row r="1043" spans="5:20" x14ac:dyDescent="0.2">
      <c r="E1043" s="299"/>
    </row>
    <row r="1044" spans="5:20" x14ac:dyDescent="0.2">
      <c r="E1044" s="299"/>
    </row>
    <row r="1045" spans="5:20" x14ac:dyDescent="0.2">
      <c r="E1045" s="299" t="s">
        <v>260</v>
      </c>
      <c r="R1045" s="303"/>
      <c r="T1045" s="299"/>
    </row>
    <row r="1046" spans="5:20" x14ac:dyDescent="0.2">
      <c r="E1046" s="299"/>
    </row>
    <row r="1047" spans="5:20" x14ac:dyDescent="0.2">
      <c r="E1047" s="299"/>
    </row>
    <row r="1048" spans="5:20" x14ac:dyDescent="0.2">
      <c r="E1048" s="299"/>
      <c r="T1048" s="298" t="s">
        <v>253</v>
      </c>
    </row>
    <row r="1049" spans="5:20" x14ac:dyDescent="0.2">
      <c r="E1049" s="299"/>
    </row>
    <row r="1050" spans="5:20" x14ac:dyDescent="0.2">
      <c r="E1050" s="299" t="s">
        <v>261</v>
      </c>
    </row>
    <row r="1053" spans="5:20" x14ac:dyDescent="0.2">
      <c r="T1053" s="298" t="s">
        <v>268</v>
      </c>
    </row>
    <row r="1055" spans="5:20" x14ac:dyDescent="0.2">
      <c r="E1055" s="299" t="s">
        <v>250</v>
      </c>
    </row>
    <row r="1058" spans="5:20" x14ac:dyDescent="0.2">
      <c r="T1058" s="299" t="s">
        <v>269</v>
      </c>
    </row>
    <row r="1060" spans="5:20" x14ac:dyDescent="0.2">
      <c r="E1060" s="299" t="s">
        <v>259</v>
      </c>
    </row>
    <row r="1061" spans="5:20" x14ac:dyDescent="0.2">
      <c r="E1061" s="299"/>
    </row>
    <row r="1062" spans="5:20" x14ac:dyDescent="0.2">
      <c r="E1062" s="299"/>
    </row>
    <row r="1063" spans="5:20" x14ac:dyDescent="0.2">
      <c r="E1063" s="299"/>
    </row>
    <row r="1064" spans="5:20" x14ac:dyDescent="0.2">
      <c r="E1064" s="299"/>
    </row>
    <row r="1065" spans="5:20" x14ac:dyDescent="0.2">
      <c r="E1065" s="299" t="s">
        <v>249</v>
      </c>
    </row>
    <row r="1066" spans="5:20" x14ac:dyDescent="0.2">
      <c r="E1066" s="299"/>
    </row>
    <row r="1067" spans="5:20" x14ac:dyDescent="0.2">
      <c r="E1067" s="299"/>
    </row>
    <row r="1068" spans="5:20" x14ac:dyDescent="0.2">
      <c r="E1068" s="299"/>
    </row>
    <row r="1069" spans="5:20" x14ac:dyDescent="0.2">
      <c r="E1069" s="299"/>
    </row>
    <row r="1070" spans="5:20" x14ac:dyDescent="0.2">
      <c r="E1070" s="299" t="s">
        <v>252</v>
      </c>
    </row>
    <row r="1071" spans="5:20" x14ac:dyDescent="0.2">
      <c r="E1071" s="299"/>
    </row>
    <row r="1072" spans="5:20" x14ac:dyDescent="0.2">
      <c r="E1072" s="299"/>
    </row>
    <row r="1073" spans="5:5" x14ac:dyDescent="0.2">
      <c r="E1073" s="299"/>
    </row>
    <row r="1074" spans="5:5" x14ac:dyDescent="0.2">
      <c r="E1074" s="299"/>
    </row>
    <row r="1075" spans="5:5" x14ac:dyDescent="0.2">
      <c r="E1075" s="299" t="s">
        <v>264</v>
      </c>
    </row>
  </sheetData>
  <sheetProtection password="C6AC" sheet="1"/>
  <mergeCells count="5">
    <mergeCell ref="D1:N1"/>
    <mergeCell ref="P1:W1"/>
    <mergeCell ref="AG1:AH1"/>
    <mergeCell ref="Y2:AA2"/>
    <mergeCell ref="AC1:AE1"/>
  </mergeCells>
  <phoneticPr fontId="8" type="noConversion"/>
  <conditionalFormatting sqref="A4:XFD1004">
    <cfRule type="expression" dxfId="5" priority="7" stopIfTrue="1">
      <formula>OR($Y4="Sortie de rampe",$Z4="Para")</formula>
    </cfRule>
    <cfRule type="expression" dxfId="4" priority="8" stopIfTrue="1">
      <formula>OR($Y4="Fin de propulsion",$Y4="Impact balistique",$AA4="Satellite")</formula>
    </cfRule>
    <cfRule type="expression" dxfId="3" priority="9" stopIfTrue="1">
      <formula>$Y4="Apogée"</formula>
    </cfRule>
  </conditionalFormatting>
  <hyperlinks>
    <hyperlink ref="J1034" r:id="rId1" xr:uid="{00000000-0004-0000-0400-000000000000}"/>
    <hyperlink ref="Y1034" r:id="rId2" xr:uid="{00000000-0004-0000-0400-000001000000}"/>
  </hyperlinks>
  <pageMargins left="0.39370078740157483" right="0.39370078740157483" top="0.39370078740157483" bottom="0.39370078740157483" header="0" footer="0"/>
  <pageSetup paperSize="9" scale="29" firstPageNumber="0" fitToHeight="5" orientation="portrait" horizontalDpi="300" verticalDpi="300" r:id="rId3"/>
  <headerFooter alignWithMargins="0"/>
  <drawing r:id="rId4"/>
  <legacyDrawing r:id="rId5"/>
  <oleObjects>
    <mc:AlternateContent xmlns:mc="http://schemas.openxmlformats.org/markup-compatibility/2006">
      <mc:Choice Requires="x14">
        <oleObject progId="Equation.3" shapeId="3091" r:id="rId6">
          <objectPr defaultSize="0" autoPict="0" r:id="rId7">
            <anchor moveWithCells="1">
              <from>
                <xdr:col>18</xdr:col>
                <xdr:colOff>9525</xdr:colOff>
                <xdr:row>1010</xdr:row>
                <xdr:rowOff>104775</xdr:rowOff>
              </from>
              <to>
                <xdr:col>20</xdr:col>
                <xdr:colOff>295275</xdr:colOff>
                <xdr:row>1013</xdr:row>
                <xdr:rowOff>28575</xdr:rowOff>
              </to>
            </anchor>
          </objectPr>
        </oleObject>
      </mc:Choice>
      <mc:Fallback>
        <oleObject progId="Equation.3" shapeId="3091" r:id="rId6"/>
      </mc:Fallback>
    </mc:AlternateContent>
    <mc:AlternateContent xmlns:mc="http://schemas.openxmlformats.org/markup-compatibility/2006">
      <mc:Choice Requires="x14">
        <oleObject progId="Equation.3" shapeId="3092" r:id="rId8">
          <objectPr defaultSize="0" autoPict="0" r:id="rId9">
            <anchor moveWithCells="1">
              <from>
                <xdr:col>21</xdr:col>
                <xdr:colOff>28575</xdr:colOff>
                <xdr:row>1024</xdr:row>
                <xdr:rowOff>161925</xdr:rowOff>
              </from>
              <to>
                <xdr:col>25</xdr:col>
                <xdr:colOff>457200</xdr:colOff>
                <xdr:row>1026</xdr:row>
                <xdr:rowOff>76200</xdr:rowOff>
              </to>
            </anchor>
          </objectPr>
        </oleObject>
      </mc:Choice>
      <mc:Fallback>
        <oleObject progId="Equation.3" shapeId="3092" r:id="rId8"/>
      </mc:Fallback>
    </mc:AlternateContent>
    <mc:AlternateContent xmlns:mc="http://schemas.openxmlformats.org/markup-compatibility/2006">
      <mc:Choice Requires="x14">
        <oleObject progId="Equation.3" shapeId="3096" r:id="rId10">
          <objectPr defaultSize="0" autoPict="0" r:id="rId11">
            <anchor moveWithCells="1">
              <from>
                <xdr:col>16</xdr:col>
                <xdr:colOff>257175</xdr:colOff>
                <xdr:row>1006</xdr:row>
                <xdr:rowOff>28575</xdr:rowOff>
              </from>
              <to>
                <xdr:col>24</xdr:col>
                <xdr:colOff>152400</xdr:colOff>
                <xdr:row>1007</xdr:row>
                <xdr:rowOff>104775</xdr:rowOff>
              </to>
            </anchor>
          </objectPr>
        </oleObject>
      </mc:Choice>
      <mc:Fallback>
        <oleObject progId="Equation.3" shapeId="3096" r:id="rId10"/>
      </mc:Fallback>
    </mc:AlternateContent>
    <mc:AlternateContent xmlns:mc="http://schemas.openxmlformats.org/markup-compatibility/2006">
      <mc:Choice Requires="x14">
        <oleObject progId="Equation.3" shapeId="3112" r:id="rId12">
          <objectPr defaultSize="0" autoPict="0" r:id="rId13">
            <anchor moveWithCells="1">
              <from>
                <xdr:col>7</xdr:col>
                <xdr:colOff>9525</xdr:colOff>
                <xdr:row>1017</xdr:row>
                <xdr:rowOff>161925</xdr:rowOff>
              </from>
              <to>
                <xdr:col>10</xdr:col>
                <xdr:colOff>581025</xdr:colOff>
                <xdr:row>1019</xdr:row>
                <xdr:rowOff>142875</xdr:rowOff>
              </to>
            </anchor>
          </objectPr>
        </oleObject>
      </mc:Choice>
      <mc:Fallback>
        <oleObject progId="Equation.3" shapeId="3112" r:id="rId12"/>
      </mc:Fallback>
    </mc:AlternateContent>
    <mc:AlternateContent xmlns:mc="http://schemas.openxmlformats.org/markup-compatibility/2006">
      <mc:Choice Requires="x14">
        <oleObject progId="Equation.3" shapeId="3114" r:id="rId14">
          <objectPr defaultSize="0" autoPict="0" r:id="rId15">
            <anchor moveWithCells="1">
              <from>
                <xdr:col>7</xdr:col>
                <xdr:colOff>9525</xdr:colOff>
                <xdr:row>1014</xdr:row>
                <xdr:rowOff>180975</xdr:rowOff>
              </from>
              <to>
                <xdr:col>11</xdr:col>
                <xdr:colOff>266700</xdr:colOff>
                <xdr:row>1016</xdr:row>
                <xdr:rowOff>66675</xdr:rowOff>
              </to>
            </anchor>
          </objectPr>
        </oleObject>
      </mc:Choice>
      <mc:Fallback>
        <oleObject progId="Equation.3" shapeId="3114" r:id="rId14"/>
      </mc:Fallback>
    </mc:AlternateContent>
    <mc:AlternateContent xmlns:mc="http://schemas.openxmlformats.org/markup-compatibility/2006">
      <mc:Choice Requires="x14">
        <oleObject progId="Equation.3" shapeId="3115" r:id="rId16">
          <objectPr defaultSize="0" autoPict="0" r:id="rId17">
            <anchor moveWithCells="1">
              <from>
                <xdr:col>7</xdr:col>
                <xdr:colOff>9525</xdr:colOff>
                <xdr:row>1016</xdr:row>
                <xdr:rowOff>76200</xdr:rowOff>
              </from>
              <to>
                <xdr:col>11</xdr:col>
                <xdr:colOff>238125</xdr:colOff>
                <xdr:row>1017</xdr:row>
                <xdr:rowOff>161925</xdr:rowOff>
              </to>
            </anchor>
          </objectPr>
        </oleObject>
      </mc:Choice>
      <mc:Fallback>
        <oleObject progId="Equation.3" shapeId="3115" r:id="rId16"/>
      </mc:Fallback>
    </mc:AlternateContent>
    <mc:AlternateContent xmlns:mc="http://schemas.openxmlformats.org/markup-compatibility/2006">
      <mc:Choice Requires="x14">
        <oleObject progId="Equation.3" shapeId="3119" r:id="rId18">
          <objectPr defaultSize="0" autoPict="0" r:id="rId19">
            <anchor moveWithCells="1">
              <from>
                <xdr:col>10</xdr:col>
                <xdr:colOff>0</xdr:colOff>
                <xdr:row>1022</xdr:row>
                <xdr:rowOff>66675</xdr:rowOff>
              </from>
              <to>
                <xdr:col>17</xdr:col>
                <xdr:colOff>276225</xdr:colOff>
                <xdr:row>1024</xdr:row>
                <xdr:rowOff>161925</xdr:rowOff>
              </to>
            </anchor>
          </objectPr>
        </oleObject>
      </mc:Choice>
      <mc:Fallback>
        <oleObject progId="Equation.3" shapeId="3119" r:id="rId18"/>
      </mc:Fallback>
    </mc:AlternateContent>
    <mc:AlternateContent xmlns:mc="http://schemas.openxmlformats.org/markup-compatibility/2006">
      <mc:Choice Requires="x14">
        <oleObject progId="Equation.3" shapeId="3120" r:id="rId20">
          <objectPr defaultSize="0" autoPict="0" r:id="rId21">
            <anchor moveWithCells="1">
              <from>
                <xdr:col>4</xdr:col>
                <xdr:colOff>0</xdr:colOff>
                <xdr:row>1008</xdr:row>
                <xdr:rowOff>0</xdr:rowOff>
              </from>
              <to>
                <xdr:col>11</xdr:col>
                <xdr:colOff>238125</xdr:colOff>
                <xdr:row>1010</xdr:row>
                <xdr:rowOff>85725</xdr:rowOff>
              </to>
            </anchor>
          </objectPr>
        </oleObject>
      </mc:Choice>
      <mc:Fallback>
        <oleObject progId="Equation.3" shapeId="3120" r:id="rId20"/>
      </mc:Fallback>
    </mc:AlternateContent>
    <mc:AlternateContent xmlns:mc="http://schemas.openxmlformats.org/markup-compatibility/2006">
      <mc:Choice Requires="x14">
        <oleObject progId="Equation.3" shapeId="3121" r:id="rId22">
          <objectPr defaultSize="0" autoPict="0" r:id="rId23">
            <anchor moveWithCells="1">
              <from>
                <xdr:col>4</xdr:col>
                <xdr:colOff>0</xdr:colOff>
                <xdr:row>1010</xdr:row>
                <xdr:rowOff>104775</xdr:rowOff>
              </from>
              <to>
                <xdr:col>12</xdr:col>
                <xdr:colOff>238125</xdr:colOff>
                <xdr:row>1013</xdr:row>
                <xdr:rowOff>0</xdr:rowOff>
              </to>
            </anchor>
          </objectPr>
        </oleObject>
      </mc:Choice>
      <mc:Fallback>
        <oleObject progId="Equation.3" shapeId="3121" r:id="rId22"/>
      </mc:Fallback>
    </mc:AlternateContent>
    <mc:AlternateContent xmlns:mc="http://schemas.openxmlformats.org/markup-compatibility/2006">
      <mc:Choice Requires="x14">
        <oleObject progId="Equation.3" shapeId="3122" r:id="rId24">
          <objectPr defaultSize="0" autoPict="0" r:id="rId25">
            <anchor moveWithCells="1">
              <from>
                <xdr:col>1</xdr:col>
                <xdr:colOff>9525</xdr:colOff>
                <xdr:row>1006</xdr:row>
                <xdr:rowOff>104775</xdr:rowOff>
              </from>
              <to>
                <xdr:col>3</xdr:col>
                <xdr:colOff>542925</xdr:colOff>
                <xdr:row>1007</xdr:row>
                <xdr:rowOff>180975</xdr:rowOff>
              </to>
            </anchor>
          </objectPr>
        </oleObject>
      </mc:Choice>
      <mc:Fallback>
        <oleObject progId="Equation.3" shapeId="3122" r:id="rId24"/>
      </mc:Fallback>
    </mc:AlternateContent>
    <mc:AlternateContent xmlns:mc="http://schemas.openxmlformats.org/markup-compatibility/2006">
      <mc:Choice Requires="x14">
        <oleObject progId="Equation.3" shapeId="3124" r:id="rId26">
          <objectPr defaultSize="0" autoPict="0" r:id="rId27">
            <anchor moveWithCells="1">
              <from>
                <xdr:col>10</xdr:col>
                <xdr:colOff>0</xdr:colOff>
                <xdr:row>1024</xdr:row>
                <xdr:rowOff>180975</xdr:rowOff>
              </from>
              <to>
                <xdr:col>16</xdr:col>
                <xdr:colOff>0</xdr:colOff>
                <xdr:row>1026</xdr:row>
                <xdr:rowOff>142875</xdr:rowOff>
              </to>
            </anchor>
          </objectPr>
        </oleObject>
      </mc:Choice>
      <mc:Fallback>
        <oleObject progId="Equation.3" shapeId="3124" r:id="rId26"/>
      </mc:Fallback>
    </mc:AlternateContent>
    <mc:AlternateContent xmlns:mc="http://schemas.openxmlformats.org/markup-compatibility/2006">
      <mc:Choice Requires="x14">
        <oleObject progId="Equation.3" shapeId="3125" r:id="rId28">
          <objectPr defaultSize="0" autoPict="0" r:id="rId29">
            <anchor moveWithCells="1">
              <from>
                <xdr:col>18</xdr:col>
                <xdr:colOff>9525</xdr:colOff>
                <xdr:row>1013</xdr:row>
                <xdr:rowOff>28575</xdr:rowOff>
              </from>
              <to>
                <xdr:col>21</xdr:col>
                <xdr:colOff>28575</xdr:colOff>
                <xdr:row>1014</xdr:row>
                <xdr:rowOff>114300</xdr:rowOff>
              </to>
            </anchor>
          </objectPr>
        </oleObject>
      </mc:Choice>
      <mc:Fallback>
        <oleObject progId="Equation.3" shapeId="3125" r:id="rId28"/>
      </mc:Fallback>
    </mc:AlternateContent>
    <mc:AlternateContent xmlns:mc="http://schemas.openxmlformats.org/markup-compatibility/2006">
      <mc:Choice Requires="x14">
        <oleObject progId="Equation.3" shapeId="3127" r:id="rId30">
          <objectPr defaultSize="0" autoPict="0" r:id="rId31">
            <anchor moveWithCells="1">
              <from>
                <xdr:col>1</xdr:col>
                <xdr:colOff>9525</xdr:colOff>
                <xdr:row>1005</xdr:row>
                <xdr:rowOff>9525</xdr:rowOff>
              </from>
              <to>
                <xdr:col>10</xdr:col>
                <xdr:colOff>409575</xdr:colOff>
                <xdr:row>1006</xdr:row>
                <xdr:rowOff>85725</xdr:rowOff>
              </to>
            </anchor>
          </objectPr>
        </oleObject>
      </mc:Choice>
      <mc:Fallback>
        <oleObject progId="Equation.3" shapeId="3127" r:id="rId30"/>
      </mc:Fallback>
    </mc:AlternateContent>
    <mc:AlternateContent xmlns:mc="http://schemas.openxmlformats.org/markup-compatibility/2006">
      <mc:Choice Requires="x14">
        <oleObject progId="Equation.3" shapeId="3129" r:id="rId32">
          <objectPr defaultSize="0" autoPict="0" r:id="rId33">
            <anchor moveWithCells="1">
              <from>
                <xdr:col>4</xdr:col>
                <xdr:colOff>0</xdr:colOff>
                <xdr:row>1013</xdr:row>
                <xdr:rowOff>9525</xdr:rowOff>
              </from>
              <to>
                <xdr:col>8</xdr:col>
                <xdr:colOff>190500</xdr:colOff>
                <xdr:row>1014</xdr:row>
                <xdr:rowOff>161925</xdr:rowOff>
              </to>
            </anchor>
          </objectPr>
        </oleObject>
      </mc:Choice>
      <mc:Fallback>
        <oleObject progId="Equation.3" shapeId="3129" r:id="rId32"/>
      </mc:Fallback>
    </mc:AlternateContent>
    <mc:AlternateContent xmlns:mc="http://schemas.openxmlformats.org/markup-compatibility/2006">
      <mc:Choice Requires="x14">
        <oleObject progId="Equation.3" shapeId="3131" r:id="rId34">
          <objectPr defaultSize="0" autoPict="0" r:id="rId35">
            <anchor moveWithCells="1">
              <from>
                <xdr:col>20</xdr:col>
                <xdr:colOff>9525</xdr:colOff>
                <xdr:row>1018</xdr:row>
                <xdr:rowOff>47625</xdr:rowOff>
              </from>
              <to>
                <xdr:col>24</xdr:col>
                <xdr:colOff>1076325</xdr:colOff>
                <xdr:row>1019</xdr:row>
                <xdr:rowOff>142875</xdr:rowOff>
              </to>
            </anchor>
          </objectPr>
        </oleObject>
      </mc:Choice>
      <mc:Fallback>
        <oleObject progId="Equation.3" shapeId="3131" r:id="rId34"/>
      </mc:Fallback>
    </mc:AlternateContent>
    <mc:AlternateContent xmlns:mc="http://schemas.openxmlformats.org/markup-compatibility/2006">
      <mc:Choice Requires="x14">
        <oleObject progId="Equation.3" shapeId="3134" r:id="rId36">
          <objectPr defaultSize="0" autoPict="0" r:id="rId37">
            <anchor moveWithCells="1">
              <from>
                <xdr:col>10</xdr:col>
                <xdr:colOff>0</xdr:colOff>
                <xdr:row>1019</xdr:row>
                <xdr:rowOff>142875</xdr:rowOff>
              </from>
              <to>
                <xdr:col>20</xdr:col>
                <xdr:colOff>581025</xdr:colOff>
                <xdr:row>1022</xdr:row>
                <xdr:rowOff>47625</xdr:rowOff>
              </to>
            </anchor>
          </objectPr>
        </oleObject>
      </mc:Choice>
      <mc:Fallback>
        <oleObject progId="Equation.3" shapeId="3134" r:id="rId36"/>
      </mc:Fallback>
    </mc:AlternateContent>
    <mc:AlternateContent xmlns:mc="http://schemas.openxmlformats.org/markup-compatibility/2006">
      <mc:Choice Requires="x14">
        <oleObject progId="Equation.3" shapeId="3135" r:id="rId38">
          <objectPr defaultSize="0" autoPict="0" r:id="rId39">
            <anchor moveWithCells="1">
              <from>
                <xdr:col>12</xdr:col>
                <xdr:colOff>0</xdr:colOff>
                <xdr:row>1018</xdr:row>
                <xdr:rowOff>47625</xdr:rowOff>
              </from>
              <to>
                <xdr:col>19</xdr:col>
                <xdr:colOff>180975</xdr:colOff>
                <xdr:row>1019</xdr:row>
                <xdr:rowOff>142875</xdr:rowOff>
              </to>
            </anchor>
          </objectPr>
        </oleObject>
      </mc:Choice>
      <mc:Fallback>
        <oleObject progId="Equation.3" shapeId="3135" r:id="rId38"/>
      </mc:Fallback>
    </mc:AlternateContent>
    <mc:AlternateContent xmlns:mc="http://schemas.openxmlformats.org/markup-compatibility/2006">
      <mc:Choice Requires="x14">
        <oleObject progId="Equation.3" shapeId="3141" r:id="rId40">
          <objectPr defaultSize="0" autoPict="0" r:id="rId41">
            <anchor moveWithCells="1">
              <from>
                <xdr:col>33</xdr:col>
                <xdr:colOff>9525</xdr:colOff>
                <xdr:row>1007</xdr:row>
                <xdr:rowOff>123825</xdr:rowOff>
              </from>
              <to>
                <xdr:col>37</xdr:col>
                <xdr:colOff>276225</xdr:colOff>
                <xdr:row>1010</xdr:row>
                <xdr:rowOff>76200</xdr:rowOff>
              </to>
            </anchor>
          </objectPr>
        </oleObject>
      </mc:Choice>
      <mc:Fallback>
        <oleObject progId="Equation.3" shapeId="3141" r:id="rId40"/>
      </mc:Fallback>
    </mc:AlternateContent>
    <mc:AlternateContent xmlns:mc="http://schemas.openxmlformats.org/markup-compatibility/2006">
      <mc:Choice Requires="x14">
        <oleObject progId="Equation.3" shapeId="3142" r:id="rId42">
          <objectPr defaultSize="0" autoPict="0" r:id="rId43">
            <anchor moveWithCells="1">
              <from>
                <xdr:col>33</xdr:col>
                <xdr:colOff>9525</xdr:colOff>
                <xdr:row>1010</xdr:row>
                <xdr:rowOff>85725</xdr:rowOff>
              </from>
              <to>
                <xdr:col>35</xdr:col>
                <xdr:colOff>723900</xdr:colOff>
                <xdr:row>1013</xdr:row>
                <xdr:rowOff>47625</xdr:rowOff>
              </to>
            </anchor>
          </objectPr>
        </oleObject>
      </mc:Choice>
      <mc:Fallback>
        <oleObject progId="Equation.3" shapeId="3142" r:id="rId42"/>
      </mc:Fallback>
    </mc:AlternateContent>
    <mc:AlternateContent xmlns:mc="http://schemas.openxmlformats.org/markup-compatibility/2006">
      <mc:Choice Requires="x14">
        <oleObject progId="Equation.3" shapeId="3157" r:id="rId44">
          <objectPr defaultSize="0" autoPict="0" r:id="rId45">
            <anchor moveWithCells="1">
              <from>
                <xdr:col>4</xdr:col>
                <xdr:colOff>0</xdr:colOff>
                <xdr:row>1035</xdr:row>
                <xdr:rowOff>28575</xdr:rowOff>
              </from>
              <to>
                <xdr:col>11</xdr:col>
                <xdr:colOff>561975</xdr:colOff>
                <xdr:row>1038</xdr:row>
                <xdr:rowOff>28575</xdr:rowOff>
              </to>
            </anchor>
          </objectPr>
        </oleObject>
      </mc:Choice>
      <mc:Fallback>
        <oleObject progId="Equation.3" shapeId="3157" r:id="rId44"/>
      </mc:Fallback>
    </mc:AlternateContent>
    <mc:AlternateContent xmlns:mc="http://schemas.openxmlformats.org/markup-compatibility/2006">
      <mc:Choice Requires="x14">
        <oleObject progId="Equation.3" shapeId="3158" r:id="rId46">
          <objectPr defaultSize="0" autoPict="0" r:id="rId47">
            <anchor moveWithCells="1">
              <from>
                <xdr:col>4</xdr:col>
                <xdr:colOff>0</xdr:colOff>
                <xdr:row>1040</xdr:row>
                <xdr:rowOff>28575</xdr:rowOff>
              </from>
              <to>
                <xdr:col>12</xdr:col>
                <xdr:colOff>28575</xdr:colOff>
                <xdr:row>1043</xdr:row>
                <xdr:rowOff>28575</xdr:rowOff>
              </to>
            </anchor>
          </objectPr>
        </oleObject>
      </mc:Choice>
      <mc:Fallback>
        <oleObject progId="Equation.3" shapeId="3158" r:id="rId46"/>
      </mc:Fallback>
    </mc:AlternateContent>
    <mc:AlternateContent xmlns:mc="http://schemas.openxmlformats.org/markup-compatibility/2006">
      <mc:Choice Requires="x14">
        <oleObject progId="Equation.3" shapeId="3161" r:id="rId48">
          <objectPr defaultSize="0" autoPict="0" r:id="rId49">
            <anchor moveWithCells="1">
              <from>
                <xdr:col>18</xdr:col>
                <xdr:colOff>9525</xdr:colOff>
                <xdr:row>1014</xdr:row>
                <xdr:rowOff>123825</xdr:rowOff>
              </from>
              <to>
                <xdr:col>20</xdr:col>
                <xdr:colOff>333375</xdr:colOff>
                <xdr:row>1016</xdr:row>
                <xdr:rowOff>9525</xdr:rowOff>
              </to>
            </anchor>
          </objectPr>
        </oleObject>
      </mc:Choice>
      <mc:Fallback>
        <oleObject progId="Equation.3" shapeId="3161" r:id="rId48"/>
      </mc:Fallback>
    </mc:AlternateContent>
    <mc:AlternateContent xmlns:mc="http://schemas.openxmlformats.org/markup-compatibility/2006">
      <mc:Choice Requires="x14">
        <oleObject progId="Equation.3" shapeId="3162" r:id="rId50">
          <objectPr defaultSize="0" autoPict="0" r:id="rId51">
            <anchor moveWithCells="1">
              <from>
                <xdr:col>16</xdr:col>
                <xdr:colOff>257175</xdr:colOff>
                <xdr:row>1007</xdr:row>
                <xdr:rowOff>114300</xdr:rowOff>
              </from>
              <to>
                <xdr:col>32</xdr:col>
                <xdr:colOff>161925</xdr:colOff>
                <xdr:row>1010</xdr:row>
                <xdr:rowOff>85725</xdr:rowOff>
              </to>
            </anchor>
          </objectPr>
        </oleObject>
      </mc:Choice>
      <mc:Fallback>
        <oleObject progId="Equation.3" shapeId="3162" r:id="rId50"/>
      </mc:Fallback>
    </mc:AlternateContent>
    <mc:AlternateContent xmlns:mc="http://schemas.openxmlformats.org/markup-compatibility/2006">
      <mc:Choice Requires="x14">
        <oleObject progId="Equation.3" shapeId="3167" r:id="rId52">
          <objectPr defaultSize="0" autoPict="0" r:id="rId53">
            <anchor moveWithCells="1">
              <from>
                <xdr:col>4</xdr:col>
                <xdr:colOff>0</xdr:colOff>
                <xdr:row>1055</xdr:row>
                <xdr:rowOff>28575</xdr:rowOff>
              </from>
              <to>
                <xdr:col>12</xdr:col>
                <xdr:colOff>333375</xdr:colOff>
                <xdr:row>1058</xdr:row>
                <xdr:rowOff>47625</xdr:rowOff>
              </to>
            </anchor>
          </objectPr>
        </oleObject>
      </mc:Choice>
      <mc:Fallback>
        <oleObject progId="Equation.3" shapeId="3167" r:id="rId52"/>
      </mc:Fallback>
    </mc:AlternateContent>
    <mc:AlternateContent xmlns:mc="http://schemas.openxmlformats.org/markup-compatibility/2006">
      <mc:Choice Requires="x14">
        <oleObject progId="Equation.3" shapeId="3168" r:id="rId54">
          <objectPr defaultSize="0" autoPict="0" r:id="rId55">
            <anchor moveWithCells="1">
              <from>
                <xdr:col>4</xdr:col>
                <xdr:colOff>0</xdr:colOff>
                <xdr:row>1060</xdr:row>
                <xdr:rowOff>28575</xdr:rowOff>
              </from>
              <to>
                <xdr:col>15</xdr:col>
                <xdr:colOff>47625</xdr:colOff>
                <xdr:row>1063</xdr:row>
                <xdr:rowOff>47625</xdr:rowOff>
              </to>
            </anchor>
          </objectPr>
        </oleObject>
      </mc:Choice>
      <mc:Fallback>
        <oleObject progId="Equation.3" shapeId="3168" r:id="rId54"/>
      </mc:Fallback>
    </mc:AlternateContent>
    <mc:AlternateContent xmlns:mc="http://schemas.openxmlformats.org/markup-compatibility/2006">
      <mc:Choice Requires="x14">
        <oleObject progId="Equation.3" shapeId="3169" r:id="rId56">
          <objectPr defaultSize="0" autoPict="0" r:id="rId57">
            <anchor moveWithCells="1">
              <from>
                <xdr:col>4</xdr:col>
                <xdr:colOff>0</xdr:colOff>
                <xdr:row>1065</xdr:row>
                <xdr:rowOff>28575</xdr:rowOff>
              </from>
              <to>
                <xdr:col>16</xdr:col>
                <xdr:colOff>676275</xdr:colOff>
                <xdr:row>1068</xdr:row>
                <xdr:rowOff>47625</xdr:rowOff>
              </to>
            </anchor>
          </objectPr>
        </oleObject>
      </mc:Choice>
      <mc:Fallback>
        <oleObject progId="Equation.3" shapeId="3169" r:id="rId56"/>
      </mc:Fallback>
    </mc:AlternateContent>
    <mc:AlternateContent xmlns:mc="http://schemas.openxmlformats.org/markup-compatibility/2006">
      <mc:Choice Requires="x14">
        <oleObject progId="Equation.3" shapeId="3173" r:id="rId58">
          <objectPr defaultSize="0" autoPict="0" r:id="rId59">
            <anchor moveWithCells="1">
              <from>
                <xdr:col>4</xdr:col>
                <xdr:colOff>0</xdr:colOff>
                <xdr:row>1045</xdr:row>
                <xdr:rowOff>28575</xdr:rowOff>
              </from>
              <to>
                <xdr:col>16</xdr:col>
                <xdr:colOff>104775</xdr:colOff>
                <xdr:row>1048</xdr:row>
                <xdr:rowOff>28575</xdr:rowOff>
              </to>
            </anchor>
          </objectPr>
        </oleObject>
      </mc:Choice>
      <mc:Fallback>
        <oleObject progId="Equation.3" shapeId="3173" r:id="rId58"/>
      </mc:Fallback>
    </mc:AlternateContent>
    <mc:AlternateContent xmlns:mc="http://schemas.openxmlformats.org/markup-compatibility/2006">
      <mc:Choice Requires="x14">
        <oleObject progId="Equation.3" shapeId="3174" r:id="rId60">
          <objectPr defaultSize="0" autoPict="0" r:id="rId61">
            <anchor moveWithCells="1">
              <from>
                <xdr:col>4</xdr:col>
                <xdr:colOff>0</xdr:colOff>
                <xdr:row>1050</xdr:row>
                <xdr:rowOff>28575</xdr:rowOff>
              </from>
              <to>
                <xdr:col>16</xdr:col>
                <xdr:colOff>390525</xdr:colOff>
                <xdr:row>1053</xdr:row>
                <xdr:rowOff>47625</xdr:rowOff>
              </to>
            </anchor>
          </objectPr>
        </oleObject>
      </mc:Choice>
      <mc:Fallback>
        <oleObject progId="Equation.3" shapeId="3174" r:id="rId60"/>
      </mc:Fallback>
    </mc:AlternateContent>
    <mc:AlternateContent xmlns:mc="http://schemas.openxmlformats.org/markup-compatibility/2006">
      <mc:Choice Requires="x14">
        <oleObject progId="Equation.3" shapeId="3178" r:id="rId62">
          <objectPr defaultSize="0" autoPict="0" r:id="rId63">
            <anchor moveWithCells="1">
              <from>
                <xdr:col>4</xdr:col>
                <xdr:colOff>0</xdr:colOff>
                <xdr:row>1070</xdr:row>
                <xdr:rowOff>28575</xdr:rowOff>
              </from>
              <to>
                <xdr:col>12</xdr:col>
                <xdr:colOff>409575</xdr:colOff>
                <xdr:row>1073</xdr:row>
                <xdr:rowOff>47625</xdr:rowOff>
              </to>
            </anchor>
          </objectPr>
        </oleObject>
      </mc:Choice>
      <mc:Fallback>
        <oleObject progId="Equation.3" shapeId="3178" r:id="rId62"/>
      </mc:Fallback>
    </mc:AlternateContent>
    <mc:AlternateContent xmlns:mc="http://schemas.openxmlformats.org/markup-compatibility/2006">
      <mc:Choice Requires="x14">
        <oleObject progId="Equation.3" shapeId="3188" r:id="rId64">
          <objectPr defaultSize="0" autoPict="0" r:id="rId65">
            <anchor moveWithCells="1">
              <from>
                <xdr:col>19</xdr:col>
                <xdr:colOff>0</xdr:colOff>
                <xdr:row>1053</xdr:row>
                <xdr:rowOff>28575</xdr:rowOff>
              </from>
              <to>
                <xdr:col>32</xdr:col>
                <xdr:colOff>419100</xdr:colOff>
                <xdr:row>1056</xdr:row>
                <xdr:rowOff>28575</xdr:rowOff>
              </to>
            </anchor>
          </objectPr>
        </oleObject>
      </mc:Choice>
      <mc:Fallback>
        <oleObject progId="Equation.3" shapeId="3188" r:id="rId64"/>
      </mc:Fallback>
    </mc:AlternateContent>
    <mc:AlternateContent xmlns:mc="http://schemas.openxmlformats.org/markup-compatibility/2006">
      <mc:Choice Requires="x14">
        <oleObject progId="Equation.3" shapeId="3192" r:id="rId66">
          <objectPr defaultSize="0" autoPict="0" r:id="rId67">
            <anchor moveWithCells="1">
              <from>
                <xdr:col>21</xdr:col>
                <xdr:colOff>28575</xdr:colOff>
                <xdr:row>1022</xdr:row>
                <xdr:rowOff>47625</xdr:rowOff>
              </from>
              <to>
                <xdr:col>32</xdr:col>
                <xdr:colOff>266700</xdr:colOff>
                <xdr:row>1024</xdr:row>
                <xdr:rowOff>142875</xdr:rowOff>
              </to>
            </anchor>
          </objectPr>
        </oleObject>
      </mc:Choice>
      <mc:Fallback>
        <oleObject progId="Equation.3" shapeId="3192" r:id="rId66"/>
      </mc:Fallback>
    </mc:AlternateContent>
    <mc:AlternateContent xmlns:mc="http://schemas.openxmlformats.org/markup-compatibility/2006">
      <mc:Choice Requires="x14">
        <oleObject progId="Equation.3" shapeId="3220" r:id="rId68">
          <objectPr defaultSize="0" autoPict="0" r:id="rId69">
            <anchor moveWithCells="1">
              <from>
                <xdr:col>33</xdr:col>
                <xdr:colOff>0</xdr:colOff>
                <xdr:row>1017</xdr:row>
                <xdr:rowOff>28575</xdr:rowOff>
              </from>
              <to>
                <xdr:col>36</xdr:col>
                <xdr:colOff>161925</xdr:colOff>
                <xdr:row>1020</xdr:row>
                <xdr:rowOff>28575</xdr:rowOff>
              </to>
            </anchor>
          </objectPr>
        </oleObject>
      </mc:Choice>
      <mc:Fallback>
        <oleObject progId="Equation.3" shapeId="3220" r:id="rId68"/>
      </mc:Fallback>
    </mc:AlternateContent>
    <mc:AlternateContent xmlns:mc="http://schemas.openxmlformats.org/markup-compatibility/2006">
      <mc:Choice Requires="x14">
        <oleObject progId="Equation.3" shapeId="3222" r:id="rId70">
          <objectPr defaultSize="0" autoPict="0" r:id="rId71">
            <anchor moveWithCells="1">
              <from>
                <xdr:col>33</xdr:col>
                <xdr:colOff>0</xdr:colOff>
                <xdr:row>1014</xdr:row>
                <xdr:rowOff>0</xdr:rowOff>
              </from>
              <to>
                <xdr:col>36</xdr:col>
                <xdr:colOff>695325</xdr:colOff>
                <xdr:row>1017</xdr:row>
                <xdr:rowOff>0</xdr:rowOff>
              </to>
            </anchor>
          </objectPr>
        </oleObject>
      </mc:Choice>
      <mc:Fallback>
        <oleObject progId="Equation.3" shapeId="3222" r:id="rId70"/>
      </mc:Fallback>
    </mc:AlternateContent>
    <mc:AlternateContent xmlns:mc="http://schemas.openxmlformats.org/markup-compatibility/2006">
      <mc:Choice Requires="x14">
        <oleObject progId="Equation.3" shapeId="3223" r:id="rId72">
          <objectPr defaultSize="0" autoPict="0" r:id="rId73">
            <anchor moveWithCells="1">
              <from>
                <xdr:col>33</xdr:col>
                <xdr:colOff>0</xdr:colOff>
                <xdr:row>1020</xdr:row>
                <xdr:rowOff>47625</xdr:rowOff>
              </from>
              <to>
                <xdr:col>35</xdr:col>
                <xdr:colOff>142875</xdr:colOff>
                <xdr:row>1023</xdr:row>
                <xdr:rowOff>47625</xdr:rowOff>
              </to>
            </anchor>
          </objectPr>
        </oleObject>
      </mc:Choice>
      <mc:Fallback>
        <oleObject progId="Equation.3" shapeId="3223" r:id="rId72"/>
      </mc:Fallback>
    </mc:AlternateContent>
    <mc:AlternateContent xmlns:mc="http://schemas.openxmlformats.org/markup-compatibility/2006">
      <mc:Choice Requires="x14">
        <oleObject progId="Equation.3" shapeId="3225" r:id="rId74">
          <objectPr defaultSize="0" autoPict="0" r:id="rId75">
            <anchor moveWithCells="1">
              <from>
                <xdr:col>33</xdr:col>
                <xdr:colOff>0</xdr:colOff>
                <xdr:row>1023</xdr:row>
                <xdr:rowOff>66675</xdr:rowOff>
              </from>
              <to>
                <xdr:col>36</xdr:col>
                <xdr:colOff>47625</xdr:colOff>
                <xdr:row>1026</xdr:row>
                <xdr:rowOff>66675</xdr:rowOff>
              </to>
            </anchor>
          </objectPr>
        </oleObject>
      </mc:Choice>
      <mc:Fallback>
        <oleObject progId="Equation.3" shapeId="3225" r:id="rId74"/>
      </mc:Fallback>
    </mc:AlternateContent>
    <mc:AlternateContent xmlns:mc="http://schemas.openxmlformats.org/markup-compatibility/2006">
      <mc:Choice Requires="x14">
        <oleObject progId="Equation.3" shapeId="3281" r:id="rId76">
          <objectPr defaultSize="0" autoPict="0" r:id="rId77">
            <anchor moveWithCells="1">
              <from>
                <xdr:col>19</xdr:col>
                <xdr:colOff>0</xdr:colOff>
                <xdr:row>1048</xdr:row>
                <xdr:rowOff>28575</xdr:rowOff>
              </from>
              <to>
                <xdr:col>34</xdr:col>
                <xdr:colOff>352425</xdr:colOff>
                <xdr:row>1051</xdr:row>
                <xdr:rowOff>85725</xdr:rowOff>
              </to>
            </anchor>
          </objectPr>
        </oleObject>
      </mc:Choice>
      <mc:Fallback>
        <oleObject progId="Equation.3" shapeId="3281" r:id="rId76"/>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8">
    <pageSetUpPr fitToPage="1"/>
  </sheetPr>
  <dimension ref="A1:M81"/>
  <sheetViews>
    <sheetView showGridLines="0" zoomScaleNormal="100" workbookViewId="0">
      <selection activeCell="E13" sqref="E13"/>
    </sheetView>
  </sheetViews>
  <sheetFormatPr baseColWidth="10" defaultRowHeight="12.75" x14ac:dyDescent="0.2"/>
  <cols>
    <col min="1" max="1" width="2.140625" customWidth="1"/>
    <col min="2" max="2" width="16.140625" customWidth="1"/>
    <col min="3" max="4" width="11.42578125" customWidth="1"/>
  </cols>
  <sheetData>
    <row r="1" spans="1:13" x14ac:dyDescent="0.2">
      <c r="A1" s="51"/>
      <c r="B1" s="52"/>
      <c r="C1" s="53"/>
      <c r="D1" s="52"/>
      <c r="E1" s="72"/>
      <c r="F1" s="72"/>
      <c r="G1" s="72"/>
      <c r="H1" s="72"/>
      <c r="I1" s="72"/>
      <c r="J1" s="72"/>
      <c r="K1" s="72"/>
      <c r="L1" s="72"/>
      <c r="M1" s="73"/>
    </row>
    <row r="2" spans="1:13" ht="12.75" customHeight="1" x14ac:dyDescent="0.2">
      <c r="A2" s="56"/>
      <c r="B2" s="2"/>
      <c r="C2" s="598" t="s">
        <v>281</v>
      </c>
      <c r="D2" s="598"/>
      <c r="M2" s="75"/>
    </row>
    <row r="3" spans="1:13" ht="12.75" customHeight="1" x14ac:dyDescent="0.2">
      <c r="A3" s="56"/>
      <c r="B3" s="2"/>
      <c r="C3" s="598"/>
      <c r="D3" s="598"/>
      <c r="M3" s="75"/>
    </row>
    <row r="4" spans="1:13" x14ac:dyDescent="0.2">
      <c r="A4" s="56"/>
      <c r="B4" s="2"/>
      <c r="C4" s="603" t="str">
        <f>IF(Lang="Français","Abaques de performance",IF(Lang="English","Performance charts",""))</f>
        <v>Abaques de performance</v>
      </c>
      <c r="D4" s="603"/>
      <c r="M4" s="75"/>
    </row>
    <row r="5" spans="1:13" x14ac:dyDescent="0.2">
      <c r="A5" s="56"/>
      <c r="B5" s="2"/>
      <c r="C5" s="603" t="str">
        <f>IF(Lang="Français","Calcul analytique simple",IF(Lang="English","Analytical computation",""))</f>
        <v>Calcul analytique simple</v>
      </c>
      <c r="D5" s="603"/>
      <c r="M5" s="75"/>
    </row>
    <row r="6" spans="1:13" x14ac:dyDescent="0.2">
      <c r="A6" s="56"/>
      <c r="B6" s="87"/>
      <c r="C6" s="1"/>
      <c r="D6" s="1"/>
      <c r="M6" s="75"/>
    </row>
    <row r="7" spans="1:13" x14ac:dyDescent="0.2">
      <c r="A7" s="59"/>
      <c r="B7" s="6"/>
      <c r="C7" s="599" t="str">
        <f>IF(Lang="Français","Fusée",IF(Lang="English","Rocket",""))</f>
        <v>Fusée</v>
      </c>
      <c r="D7" s="599"/>
      <c r="M7" s="75"/>
    </row>
    <row r="8" spans="1:13" ht="15.75" x14ac:dyDescent="0.25">
      <c r="A8" s="59"/>
      <c r="B8" s="140" t="str">
        <f>IF(Lang="Français","Nom",IF(Lang="English","Name",""))</f>
        <v>Nom</v>
      </c>
      <c r="C8" s="600" t="str">
        <f>Nom</f>
        <v>SP02</v>
      </c>
      <c r="D8" s="600"/>
      <c r="M8" s="75"/>
    </row>
    <row r="9" spans="1:13" ht="15.75" x14ac:dyDescent="0.25">
      <c r="A9" s="59"/>
      <c r="B9" s="140" t="s">
        <v>4</v>
      </c>
      <c r="C9" s="600" t="str">
        <f>Club</f>
        <v>L'AéroIPSA</v>
      </c>
      <c r="D9" s="600"/>
      <c r="M9" s="75"/>
    </row>
    <row r="10" spans="1:13" ht="15.75" x14ac:dyDescent="0.25">
      <c r="A10" s="59"/>
      <c r="B10" s="140" t="s">
        <v>562</v>
      </c>
      <c r="C10" s="666" t="str">
        <f>Matricule</f>
        <v>FX0</v>
      </c>
      <c r="D10" s="667"/>
      <c r="M10" s="75"/>
    </row>
    <row r="11" spans="1:13" x14ac:dyDescent="0.2">
      <c r="A11" s="59"/>
      <c r="B11" s="140" t="str">
        <f>IF(Lang="Français","Masse sans propu",IF(Lang="English","Mass without M",""))</f>
        <v>Masse sans propu</v>
      </c>
      <c r="C11" s="662">
        <f>MasseSans</f>
        <v>4.431</v>
      </c>
      <c r="D11" s="662"/>
      <c r="M11" s="75"/>
    </row>
    <row r="12" spans="1:13" x14ac:dyDescent="0.2">
      <c r="A12" s="59"/>
      <c r="B12" s="140" t="str">
        <f>IF(Lang="Français","Masse totale",IF(Lang="English","Total mass",""))</f>
        <v>Masse totale</v>
      </c>
      <c r="C12" s="665" t="str">
        <f ca="1">MassePlein &amp; " kg ±" &amp; MasseSans &amp; " kg"</f>
        <v>6,116 kg ±4,431 kg</v>
      </c>
      <c r="D12" s="665"/>
      <c r="M12" s="75"/>
    </row>
    <row r="13" spans="1:13" x14ac:dyDescent="0.2">
      <c r="A13" s="59"/>
      <c r="B13" s="227" t="str">
        <f>IF(Lang="Français","Propulseur",IF(Lang="English","Motor",""))</f>
        <v>Propulseur</v>
      </c>
      <c r="C13" s="628" t="str">
        <f>Propu</f>
        <v>Barasinga (Pro54-5G C)</v>
      </c>
      <c r="D13" s="629"/>
      <c r="M13" s="75"/>
    </row>
    <row r="14" spans="1:13" x14ac:dyDescent="0.2">
      <c r="A14" s="59"/>
      <c r="B14" s="1"/>
      <c r="C14" s="1"/>
      <c r="D14" s="1"/>
      <c r="M14" s="75"/>
    </row>
    <row r="15" spans="1:13" x14ac:dyDescent="0.2">
      <c r="A15" s="74"/>
      <c r="C15" s="599" t="str">
        <f>IF(Lang="Français","Traînée Aérdynamique",IF(Lang="English","Drag",""))</f>
        <v>Traînée Aérdynamique</v>
      </c>
      <c r="D15" s="599"/>
      <c r="M15" s="75"/>
    </row>
    <row r="16" spans="1:13" x14ac:dyDescent="0.2">
      <c r="A16" s="74"/>
      <c r="B16" s="139" t="str">
        <f>IF(Lang="Français","Diamètre Ø",IF(Lang="English","Diameter Ø",""))</f>
        <v>Diamètre Ø</v>
      </c>
      <c r="C16" s="663">
        <f>D_ref</f>
        <v>104</v>
      </c>
      <c r="D16" s="663"/>
      <c r="M16" s="75"/>
    </row>
    <row r="17" spans="1:13" x14ac:dyDescent="0.2">
      <c r="A17" s="74"/>
      <c r="B17" s="140" t="s">
        <v>5</v>
      </c>
      <c r="C17" s="664">
        <f>Cx</f>
        <v>0.6</v>
      </c>
      <c r="D17" s="664"/>
      <c r="M17" s="75"/>
    </row>
    <row r="18" spans="1:13" x14ac:dyDescent="0.2">
      <c r="A18" s="74"/>
      <c r="M18" s="75"/>
    </row>
    <row r="19" spans="1:13" x14ac:dyDescent="0.2">
      <c r="A19" s="74"/>
      <c r="M19" s="75"/>
    </row>
    <row r="20" spans="1:13" x14ac:dyDescent="0.2">
      <c r="A20" s="74"/>
      <c r="M20" s="75"/>
    </row>
    <row r="21" spans="1:13" x14ac:dyDescent="0.2">
      <c r="A21" s="74"/>
      <c r="M21" s="75"/>
    </row>
    <row r="22" spans="1:13" x14ac:dyDescent="0.2">
      <c r="A22" s="74"/>
      <c r="M22" s="75"/>
    </row>
    <row r="23" spans="1:13" x14ac:dyDescent="0.2">
      <c r="A23" s="74"/>
      <c r="M23" s="75"/>
    </row>
    <row r="24" spans="1:13" x14ac:dyDescent="0.2">
      <c r="A24" s="74"/>
      <c r="M24" s="75"/>
    </row>
    <row r="25" spans="1:13" x14ac:dyDescent="0.2">
      <c r="A25" s="74"/>
      <c r="M25" s="75"/>
    </row>
    <row r="26" spans="1:13" x14ac:dyDescent="0.2">
      <c r="A26" s="74"/>
      <c r="M26" s="75"/>
    </row>
    <row r="27" spans="1:13" x14ac:dyDescent="0.2">
      <c r="A27" s="74"/>
      <c r="M27" s="75"/>
    </row>
    <row r="28" spans="1:13" x14ac:dyDescent="0.2">
      <c r="A28" s="74"/>
      <c r="M28" s="75"/>
    </row>
    <row r="29" spans="1:13" x14ac:dyDescent="0.2">
      <c r="A29" s="74"/>
      <c r="M29" s="75"/>
    </row>
    <row r="30" spans="1:13" x14ac:dyDescent="0.2">
      <c r="A30" s="74"/>
      <c r="M30" s="75"/>
    </row>
    <row r="31" spans="1:13" x14ac:dyDescent="0.2">
      <c r="A31" s="74"/>
      <c r="M31" s="75"/>
    </row>
    <row r="32" spans="1:13" x14ac:dyDescent="0.2">
      <c r="A32" s="74"/>
      <c r="M32" s="75"/>
    </row>
    <row r="33" spans="1:13" x14ac:dyDescent="0.2">
      <c r="A33" s="74"/>
      <c r="M33" s="75"/>
    </row>
    <row r="34" spans="1:13" x14ac:dyDescent="0.2">
      <c r="A34" s="74"/>
      <c r="M34" s="75"/>
    </row>
    <row r="35" spans="1:13" x14ac:dyDescent="0.2">
      <c r="A35" s="74"/>
      <c r="M35" s="75"/>
    </row>
    <row r="36" spans="1:13" x14ac:dyDescent="0.2">
      <c r="A36" s="74"/>
      <c r="M36" s="75"/>
    </row>
    <row r="37" spans="1:13" ht="13.5" thickBot="1" x14ac:dyDescent="0.25">
      <c r="A37" s="77"/>
      <c r="B37" s="78"/>
      <c r="C37" s="78"/>
      <c r="D37" s="78"/>
      <c r="E37" s="78"/>
      <c r="F37" s="78"/>
      <c r="G37" s="78"/>
      <c r="H37" s="78"/>
      <c r="I37" s="78"/>
      <c r="J37" s="78"/>
      <c r="K37" s="78"/>
      <c r="L37" s="78"/>
      <c r="M37" s="79"/>
    </row>
    <row r="41" spans="1:13" x14ac:dyDescent="0.2">
      <c r="B41" s="419" t="s">
        <v>61</v>
      </c>
      <c r="C41" s="170" t="s">
        <v>285</v>
      </c>
      <c r="D41" s="134" t="s">
        <v>282</v>
      </c>
      <c r="E41" s="134" t="s">
        <v>286</v>
      </c>
      <c r="F41" s="134" t="s">
        <v>287</v>
      </c>
      <c r="G41" s="134" t="s">
        <v>13</v>
      </c>
      <c r="H41" s="134" t="s">
        <v>283</v>
      </c>
      <c r="I41" s="134" t="s">
        <v>284</v>
      </c>
      <c r="J41" s="134" t="s">
        <v>299</v>
      </c>
      <c r="K41" s="134" t="s">
        <v>300</v>
      </c>
      <c r="L41" s="134" t="s">
        <v>302</v>
      </c>
      <c r="M41" s="134" t="s">
        <v>290</v>
      </c>
    </row>
    <row r="42" spans="1:13" x14ac:dyDescent="0.2">
      <c r="B42" s="420" t="s">
        <v>291</v>
      </c>
      <c r="C42" s="170" t="s">
        <v>292</v>
      </c>
      <c r="D42" s="134" t="s">
        <v>293</v>
      </c>
      <c r="E42" s="134" t="s">
        <v>294</v>
      </c>
      <c r="F42" s="134" t="s">
        <v>295</v>
      </c>
      <c r="G42" s="134" t="s">
        <v>296</v>
      </c>
      <c r="H42" s="134" t="s">
        <v>297</v>
      </c>
      <c r="I42" s="134" t="s">
        <v>298</v>
      </c>
      <c r="J42" s="134" t="s">
        <v>288</v>
      </c>
      <c r="K42" s="134" t="s">
        <v>289</v>
      </c>
      <c r="L42" s="134"/>
      <c r="M42" s="134"/>
    </row>
    <row r="43" spans="1:13" x14ac:dyDescent="0.2">
      <c r="B43" s="425">
        <f t="shared" ref="B43:B51" ca="1" si="0">MAX(D_ref*0.5, Diam_propu)</f>
        <v>54</v>
      </c>
      <c r="C43" s="403">
        <f t="shared" ref="C43:C69" ca="1" si="1">1/2*Rho_moyen*PI()*D_var^2/4*Cx/10^6</f>
        <v>8.4165623384160752E-4</v>
      </c>
      <c r="D43" s="400">
        <f ca="1">MpropuPlein+0*MasseSans</f>
        <v>1.6850000000000001</v>
      </c>
      <c r="E43" s="400">
        <f t="shared" ref="E43:E69" ca="1" si="2">m_var - 0.5*m_poudre</f>
        <v>1.1685000000000001</v>
      </c>
      <c r="F43" s="400">
        <f t="shared" ref="F43:F69" ca="1" si="3">m_var - m_poudre</f>
        <v>0.65200000000000014</v>
      </c>
      <c r="G43" s="407">
        <f t="shared" ref="G43:G69" ca="1" si="4">MAX(0, (I_total/Temps_fin_propu)/m_prop-g)</f>
        <v>480.87217115245477</v>
      </c>
      <c r="H43" s="406">
        <f t="shared" ref="H43:H69" ca="1" si="5">Q_var/m_prop</f>
        <v>7.2028774825982661E-4</v>
      </c>
      <c r="I43" s="403">
        <f t="shared" ref="I43:I69" ca="1" si="6">Q_var/m_bal</f>
        <v>1.290883794235594E-3</v>
      </c>
      <c r="J43" s="403">
        <f t="shared" ref="J43:J69" ca="1" si="7">1/(2*b_prop)*LN(  ((EXP(2*SQRT(a_prop*b_prop)*Temps_fin_propu)+1)^2)  /  (((1+1)^2)*EXP(2*SQRT(a_prop*b_prop)*Temps_fin_propu)))</f>
        <v>1991.1236899685493</v>
      </c>
      <c r="K43" s="410">
        <f t="shared" ref="K43:K69" ca="1" si="8">SQRT(a_prop/b_prop)  *  (EXP(2*SQRT(a_prop*b_prop)*Temps_fin_propu)-1)/(EXP(2*SQRT(a_prop*b_prop)*Temps_fin_propu)+1)</f>
        <v>793.5341125462329</v>
      </c>
      <c r="L43" s="413">
        <f t="shared" ref="L43:L69" ca="1" si="9">alt_prop + 1/(2*b_bal) * LN(1+b_bal/g*V_prop^2)</f>
        <v>3706.6765556662222</v>
      </c>
      <c r="M43" s="416">
        <f t="shared" ref="M43:M69" ca="1" si="10">Temps_fin_propu + ATAN(SQRT(b_bal/g)*V_prop)/SQRT(b_bal*g)</f>
        <v>16.576277929342474</v>
      </c>
    </row>
    <row r="44" spans="1:13" x14ac:dyDescent="0.2">
      <c r="B44" s="426">
        <f t="shared" ca="1" si="0"/>
        <v>54</v>
      </c>
      <c r="C44" s="404">
        <f t="shared" ca="1" si="1"/>
        <v>8.4165623384160752E-4</v>
      </c>
      <c r="D44" s="401">
        <f ca="1">MpropuPlein+0.25*MasseSans</f>
        <v>2.7927499999999998</v>
      </c>
      <c r="E44" s="401">
        <f t="shared" ca="1" si="2"/>
        <v>2.2762500000000001</v>
      </c>
      <c r="F44" s="401">
        <f t="shared" ca="1" si="3"/>
        <v>1.7597499999999999</v>
      </c>
      <c r="G44" s="408">
        <f t="shared" ca="1" si="4"/>
        <v>242.0789036756259</v>
      </c>
      <c r="H44" s="404">
        <f t="shared" ca="1" si="5"/>
        <v>3.6975562167670842E-4</v>
      </c>
      <c r="I44" s="404">
        <f t="shared" ca="1" si="6"/>
        <v>4.7828170697065351E-4</v>
      </c>
      <c r="J44" s="404">
        <f t="shared" ca="1" si="7"/>
        <v>1328.7078404800056</v>
      </c>
      <c r="K44" s="411">
        <f t="shared" ca="1" si="8"/>
        <v>640.01586537867388</v>
      </c>
      <c r="L44" s="414">
        <f t="shared" ca="1" si="9"/>
        <v>4510.0261525130873</v>
      </c>
      <c r="M44" s="417">
        <f t="shared" ca="1" si="10"/>
        <v>23.308204732528374</v>
      </c>
    </row>
    <row r="45" spans="1:13" x14ac:dyDescent="0.2">
      <c r="B45" s="426">
        <f t="shared" ca="1" si="0"/>
        <v>54</v>
      </c>
      <c r="C45" s="404">
        <f t="shared" ca="1" si="1"/>
        <v>8.4165623384160752E-4</v>
      </c>
      <c r="D45" s="401">
        <f ca="1">MpropuPlein+0.5*MasseSans</f>
        <v>3.9005000000000001</v>
      </c>
      <c r="E45" s="401">
        <f t="shared" ca="1" si="2"/>
        <v>3.3840000000000003</v>
      </c>
      <c r="F45" s="401">
        <f t="shared" ca="1" si="3"/>
        <v>2.8675000000000002</v>
      </c>
      <c r="G45" s="408">
        <f t="shared" ca="1" si="4"/>
        <v>159.62324970202229</v>
      </c>
      <c r="H45" s="404">
        <f t="shared" ca="1" si="5"/>
        <v>2.4871638115886744E-4</v>
      </c>
      <c r="I45" s="404">
        <f t="shared" ca="1" si="6"/>
        <v>2.9351568747745685E-4</v>
      </c>
      <c r="J45" s="404">
        <f t="shared" ca="1" si="7"/>
        <v>951.27412410219665</v>
      </c>
      <c r="K45" s="411">
        <f t="shared" ca="1" si="8"/>
        <v>491.88274269116357</v>
      </c>
      <c r="L45" s="414">
        <f t="shared" ca="1" si="9"/>
        <v>4543.7447116111744</v>
      </c>
      <c r="M45" s="417">
        <f t="shared" ca="1" si="10"/>
        <v>26.231630671632672</v>
      </c>
    </row>
    <row r="46" spans="1:13" x14ac:dyDescent="0.2">
      <c r="B46" s="426">
        <f t="shared" ca="1" si="0"/>
        <v>54</v>
      </c>
      <c r="C46" s="404">
        <f t="shared" ca="1" si="1"/>
        <v>8.4165623384160752E-4</v>
      </c>
      <c r="D46" s="401">
        <f ca="1">MpropuPlein+0.75*MasseSans</f>
        <v>5.0082500000000003</v>
      </c>
      <c r="E46" s="401">
        <f t="shared" ca="1" si="2"/>
        <v>4.4917500000000006</v>
      </c>
      <c r="F46" s="401">
        <f t="shared" ca="1" si="3"/>
        <v>3.9752500000000004</v>
      </c>
      <c r="G46" s="408">
        <f t="shared" ca="1" si="4"/>
        <v>117.83782478803214</v>
      </c>
      <c r="H46" s="404">
        <f t="shared" ca="1" si="5"/>
        <v>1.8737824541472864E-4</v>
      </c>
      <c r="I46" s="404">
        <f t="shared" ca="1" si="6"/>
        <v>2.1172410133742719E-4</v>
      </c>
      <c r="J46" s="404">
        <f t="shared" ca="1" si="7"/>
        <v>725.85450904018489</v>
      </c>
      <c r="K46" s="411">
        <f t="shared" ca="1" si="8"/>
        <v>387.00552417947853</v>
      </c>
      <c r="L46" s="414">
        <f t="shared" ca="1" si="9"/>
        <v>4133.0899183244219</v>
      </c>
      <c r="M46" s="417">
        <f t="shared" ca="1" si="10"/>
        <v>26.919051496198122</v>
      </c>
    </row>
    <row r="47" spans="1:13" x14ac:dyDescent="0.2">
      <c r="B47" s="426">
        <f t="shared" ca="1" si="0"/>
        <v>54</v>
      </c>
      <c r="C47" s="404">
        <f t="shared" ca="1" si="1"/>
        <v>8.4165623384160752E-4</v>
      </c>
      <c r="D47" s="401">
        <f ca="1">MpropuPlein+1*MasseSans</f>
        <v>6.1159999999999997</v>
      </c>
      <c r="E47" s="401">
        <f t="shared" ca="1" si="2"/>
        <v>5.5994999999999999</v>
      </c>
      <c r="F47" s="401">
        <f t="shared" ca="1" si="3"/>
        <v>5.0830000000000002</v>
      </c>
      <c r="G47" s="408">
        <f t="shared" ca="1" si="4"/>
        <v>92.585234751610585</v>
      </c>
      <c r="H47" s="404">
        <f t="shared" ca="1" si="5"/>
        <v>1.5030917650533219E-4</v>
      </c>
      <c r="I47" s="404">
        <f t="shared" ca="1" si="6"/>
        <v>1.6558257600661174E-4</v>
      </c>
      <c r="J47" s="404">
        <f t="shared" ca="1" si="7"/>
        <v>579.59829964280709</v>
      </c>
      <c r="K47" s="411">
        <f t="shared" ca="1" si="8"/>
        <v>313.83862212879154</v>
      </c>
      <c r="L47" s="414">
        <f t="shared" ca="1" si="9"/>
        <v>3536.6149199804549</v>
      </c>
      <c r="M47" s="417">
        <f t="shared" ca="1" si="10"/>
        <v>26.196782238058812</v>
      </c>
    </row>
    <row r="48" spans="1:13" x14ac:dyDescent="0.2">
      <c r="B48" s="426">
        <f t="shared" ca="1" si="0"/>
        <v>54</v>
      </c>
      <c r="C48" s="404">
        <f t="shared" ca="1" si="1"/>
        <v>8.4165623384160752E-4</v>
      </c>
      <c r="D48" s="401">
        <f ca="1">MpropuPlein+1.25*MasseSans</f>
        <v>7.2237500000000008</v>
      </c>
      <c r="E48" s="401">
        <f t="shared" ca="1" si="2"/>
        <v>6.707250000000001</v>
      </c>
      <c r="F48" s="401">
        <f t="shared" ca="1" si="3"/>
        <v>6.1907500000000013</v>
      </c>
      <c r="G48" s="408">
        <f t="shared" ca="1" si="4"/>
        <v>75.673934099913282</v>
      </c>
      <c r="H48" s="404">
        <f t="shared" ca="1" si="5"/>
        <v>1.2548454789095492E-4</v>
      </c>
      <c r="I48" s="404">
        <f t="shared" ca="1" si="6"/>
        <v>1.3595383981611394E-4</v>
      </c>
      <c r="J48" s="404">
        <f t="shared" ca="1" si="7"/>
        <v>478.01292371527347</v>
      </c>
      <c r="K48" s="411">
        <f t="shared" ca="1" si="8"/>
        <v>261.10367176403747</v>
      </c>
      <c r="L48" s="414">
        <f t="shared" ca="1" si="9"/>
        <v>2924.31640002718</v>
      </c>
      <c r="M48" s="417">
        <f t="shared" ca="1" si="10"/>
        <v>24.707481307640631</v>
      </c>
    </row>
    <row r="49" spans="2:13" x14ac:dyDescent="0.2">
      <c r="B49" s="426">
        <f t="shared" ca="1" si="0"/>
        <v>54</v>
      </c>
      <c r="C49" s="404">
        <f t="shared" ca="1" si="1"/>
        <v>8.4165623384160752E-4</v>
      </c>
      <c r="D49" s="401">
        <f ca="1">MpropuPlein+1.5*MasseSans</f>
        <v>8.3315000000000001</v>
      </c>
      <c r="E49" s="401">
        <f t="shared" ca="1" si="2"/>
        <v>7.8150000000000004</v>
      </c>
      <c r="F49" s="401">
        <f t="shared" ca="1" si="3"/>
        <v>7.2985000000000007</v>
      </c>
      <c r="G49" s="408">
        <f t="shared" ca="1" si="4"/>
        <v>63.556873575386234</v>
      </c>
      <c r="H49" s="404">
        <f t="shared" ca="1" si="5"/>
        <v>1.0769753472061515E-4</v>
      </c>
      <c r="I49" s="404">
        <f t="shared" ca="1" si="6"/>
        <v>1.1531907019820613E-4</v>
      </c>
      <c r="J49" s="404">
        <f t="shared" ca="1" si="7"/>
        <v>403.6798303792209</v>
      </c>
      <c r="K49" s="411">
        <f t="shared" ca="1" si="8"/>
        <v>221.68823234441047</v>
      </c>
      <c r="L49" s="414">
        <f t="shared" ca="1" si="9"/>
        <v>2380.7195720967452</v>
      </c>
      <c r="M49" s="417">
        <f t="shared" ca="1" si="10"/>
        <v>22.913026923448779</v>
      </c>
    </row>
    <row r="50" spans="2:13" x14ac:dyDescent="0.2">
      <c r="B50" s="426">
        <f t="shared" ca="1" si="0"/>
        <v>54</v>
      </c>
      <c r="C50" s="404">
        <f t="shared" ca="1" si="1"/>
        <v>8.4165623384160752E-4</v>
      </c>
      <c r="D50" s="401">
        <f ca="1">MpropuPlein+1.75*MasseSans</f>
        <v>9.4392499999999995</v>
      </c>
      <c r="E50" s="401">
        <f t="shared" ca="1" si="2"/>
        <v>8.9227499999999988</v>
      </c>
      <c r="F50" s="401">
        <f t="shared" ca="1" si="3"/>
        <v>8.40625</v>
      </c>
      <c r="G50" s="408">
        <f t="shared" ca="1" si="4"/>
        <v>54.448453614820934</v>
      </c>
      <c r="H50" s="404">
        <f t="shared" ca="1" si="5"/>
        <v>9.4326999393864856E-5</v>
      </c>
      <c r="I50" s="404">
        <f t="shared" ca="1" si="6"/>
        <v>1.0012267465773769E-4</v>
      </c>
      <c r="J50" s="404">
        <f t="shared" ca="1" si="7"/>
        <v>347.06471273257563</v>
      </c>
      <c r="K50" s="411">
        <f t="shared" ca="1" si="8"/>
        <v>191.26826372305382</v>
      </c>
      <c r="L50" s="414">
        <f t="shared" ca="1" si="9"/>
        <v>1931.4897111486348</v>
      </c>
      <c r="M50" s="417">
        <f t="shared" ca="1" si="10"/>
        <v>21.091612992500416</v>
      </c>
    </row>
    <row r="51" spans="2:13" x14ac:dyDescent="0.2">
      <c r="B51" s="427">
        <f t="shared" ca="1" si="0"/>
        <v>54</v>
      </c>
      <c r="C51" s="405">
        <f t="shared" ca="1" si="1"/>
        <v>8.4165623384160752E-4</v>
      </c>
      <c r="D51" s="402">
        <f ca="1">MpropuPlein+2*MasseSans</f>
        <v>10.547000000000001</v>
      </c>
      <c r="E51" s="402">
        <f t="shared" ca="1" si="2"/>
        <v>10.0305</v>
      </c>
      <c r="F51" s="402">
        <f t="shared" ca="1" si="3"/>
        <v>9.5140000000000011</v>
      </c>
      <c r="G51" s="409">
        <f t="shared" ca="1" si="4"/>
        <v>47.35186800175898</v>
      </c>
      <c r="H51" s="405">
        <f t="shared" ca="1" si="5"/>
        <v>8.3909698802812178E-5</v>
      </c>
      <c r="I51" s="405">
        <f t="shared" ca="1" si="6"/>
        <v>8.8465023527602204E-5</v>
      </c>
      <c r="J51" s="405">
        <f t="shared" ca="1" si="7"/>
        <v>302.56857187174455</v>
      </c>
      <c r="K51" s="412">
        <f t="shared" ca="1" si="8"/>
        <v>167.14976173001207</v>
      </c>
      <c r="L51" s="415">
        <f t="shared" ca="1" si="9"/>
        <v>1572.5745664543954</v>
      </c>
      <c r="M51" s="418">
        <f t="shared" ca="1" si="10"/>
        <v>19.381465620077478</v>
      </c>
    </row>
    <row r="52" spans="2:13" x14ac:dyDescent="0.2">
      <c r="B52" s="425">
        <f t="shared" ref="B52:B60" si="11">D_ref</f>
        <v>104</v>
      </c>
      <c r="C52" s="403">
        <f t="shared" si="1"/>
        <v>3.12186345172525E-3</v>
      </c>
      <c r="D52" s="400">
        <f ca="1">MpropuPlein+0*MasseSans</f>
        <v>1.6850000000000001</v>
      </c>
      <c r="E52" s="400">
        <f t="shared" ca="1" si="2"/>
        <v>1.1685000000000001</v>
      </c>
      <c r="F52" s="400">
        <f t="shared" ca="1" si="3"/>
        <v>0.65200000000000014</v>
      </c>
      <c r="G52" s="407">
        <f t="shared" ca="1" si="4"/>
        <v>480.87217115245477</v>
      </c>
      <c r="H52" s="403">
        <f t="shared" ca="1" si="5"/>
        <v>2.6716845971118952E-3</v>
      </c>
      <c r="I52" s="403">
        <f t="shared" ca="1" si="6"/>
        <v>4.7881341284129594E-3</v>
      </c>
      <c r="J52" s="403">
        <f t="shared" ca="1" si="7"/>
        <v>1263.7261629196619</v>
      </c>
      <c r="K52" s="410">
        <f t="shared" ca="1" si="8"/>
        <v>424.00255764491766</v>
      </c>
      <c r="L52" s="413">
        <f t="shared" ca="1" si="9"/>
        <v>1732.1543650816982</v>
      </c>
      <c r="M52" s="416">
        <f t="shared" ca="1" si="10"/>
        <v>10.347025133070924</v>
      </c>
    </row>
    <row r="53" spans="2:13" x14ac:dyDescent="0.2">
      <c r="B53" s="426">
        <f t="shared" si="11"/>
        <v>104</v>
      </c>
      <c r="C53" s="404">
        <f t="shared" si="1"/>
        <v>3.12186345172525E-3</v>
      </c>
      <c r="D53" s="401">
        <f ca="1">MpropuPlein+0.25*MasseSans</f>
        <v>2.7927499999999998</v>
      </c>
      <c r="E53" s="401">
        <f t="shared" ca="1" si="2"/>
        <v>2.2762500000000001</v>
      </c>
      <c r="F53" s="401">
        <f t="shared" ca="1" si="3"/>
        <v>1.7597499999999999</v>
      </c>
      <c r="G53" s="408">
        <f t="shared" ca="1" si="4"/>
        <v>242.0789036756259</v>
      </c>
      <c r="H53" s="404">
        <f t="shared" ca="1" si="5"/>
        <v>1.3714941028996155E-3</v>
      </c>
      <c r="I53" s="404">
        <f t="shared" ca="1" si="6"/>
        <v>1.7740380461572667E-3</v>
      </c>
      <c r="J53" s="404">
        <f t="shared" ca="1" si="7"/>
        <v>1014.4145713915796</v>
      </c>
      <c r="K53" s="411">
        <f t="shared" ca="1" si="8"/>
        <v>406.92113985336647</v>
      </c>
      <c r="L53" s="414">
        <f t="shared" ca="1" si="9"/>
        <v>1981.752730990152</v>
      </c>
      <c r="M53" s="417">
        <f t="shared" ca="1" si="10"/>
        <v>14.126915354355102</v>
      </c>
    </row>
    <row r="54" spans="2:13" x14ac:dyDescent="0.2">
      <c r="B54" s="426">
        <f t="shared" si="11"/>
        <v>104</v>
      </c>
      <c r="C54" s="404">
        <f t="shared" si="1"/>
        <v>3.12186345172525E-3</v>
      </c>
      <c r="D54" s="401">
        <f ca="1">MpropuPlein+0.5*MasseSans</f>
        <v>3.9005000000000001</v>
      </c>
      <c r="E54" s="401">
        <f t="shared" ca="1" si="2"/>
        <v>3.3840000000000003</v>
      </c>
      <c r="F54" s="401">
        <f t="shared" ca="1" si="3"/>
        <v>2.8675000000000002</v>
      </c>
      <c r="G54" s="408">
        <f t="shared" ca="1" si="4"/>
        <v>159.62324970202229</v>
      </c>
      <c r="H54" s="404">
        <f t="shared" ca="1" si="5"/>
        <v>9.2253648100627946E-4</v>
      </c>
      <c r="I54" s="404">
        <f t="shared" ca="1" si="6"/>
        <v>1.0887056501221446E-3</v>
      </c>
      <c r="J54" s="404">
        <f t="shared" ca="1" si="7"/>
        <v>808.79175113299686</v>
      </c>
      <c r="K54" s="411">
        <f t="shared" ca="1" si="8"/>
        <v>366.22377191207079</v>
      </c>
      <c r="L54" s="414">
        <f t="shared" ca="1" si="9"/>
        <v>2078.8064692576249</v>
      </c>
      <c r="M54" s="417">
        <f t="shared" ca="1" si="10"/>
        <v>16.335446782177762</v>
      </c>
    </row>
    <row r="55" spans="2:13" x14ac:dyDescent="0.2">
      <c r="B55" s="426">
        <f t="shared" si="11"/>
        <v>104</v>
      </c>
      <c r="C55" s="404">
        <f t="shared" si="1"/>
        <v>3.12186345172525E-3</v>
      </c>
      <c r="D55" s="401">
        <f ca="1">MpropuPlein+0.75*MasseSans</f>
        <v>5.0082500000000003</v>
      </c>
      <c r="E55" s="401">
        <f t="shared" ca="1" si="2"/>
        <v>4.4917500000000006</v>
      </c>
      <c r="F55" s="401">
        <f t="shared" ca="1" si="3"/>
        <v>3.9752500000000004</v>
      </c>
      <c r="G55" s="408">
        <f t="shared" ca="1" si="4"/>
        <v>117.83782478803214</v>
      </c>
      <c r="H55" s="404">
        <f t="shared" ca="1" si="5"/>
        <v>6.9502164005682632E-4</v>
      </c>
      <c r="I55" s="404">
        <f t="shared" ca="1" si="6"/>
        <v>7.8532506175089608E-4</v>
      </c>
      <c r="J55" s="404">
        <f t="shared" ca="1" si="7"/>
        <v>654.36439733431143</v>
      </c>
      <c r="K55" s="411">
        <f t="shared" ca="1" si="8"/>
        <v>318.23214973278778</v>
      </c>
      <c r="L55" s="414">
        <f t="shared" ca="1" si="9"/>
        <v>2060.8269164606763</v>
      </c>
      <c r="M55" s="417">
        <f t="shared" ca="1" si="10"/>
        <v>17.638165689172183</v>
      </c>
    </row>
    <row r="56" spans="2:13" x14ac:dyDescent="0.2">
      <c r="B56" s="426">
        <f t="shared" si="11"/>
        <v>104</v>
      </c>
      <c r="C56" s="404">
        <f t="shared" si="1"/>
        <v>3.12186345172525E-3</v>
      </c>
      <c r="D56" s="401">
        <f ca="1">MpropuPlein+1*MasseSans</f>
        <v>6.1159999999999997</v>
      </c>
      <c r="E56" s="401">
        <f t="shared" ca="1" si="2"/>
        <v>5.5994999999999999</v>
      </c>
      <c r="F56" s="401">
        <f t="shared" ca="1" si="3"/>
        <v>5.0830000000000002</v>
      </c>
      <c r="G56" s="408">
        <f t="shared" ca="1" si="4"/>
        <v>92.585234751610585</v>
      </c>
      <c r="H56" s="404">
        <f t="shared" ca="1" si="5"/>
        <v>5.5752539543267251E-4</v>
      </c>
      <c r="I56" s="404">
        <f t="shared" ca="1" si="6"/>
        <v>6.1417734639489469E-4</v>
      </c>
      <c r="J56" s="404">
        <f t="shared" ca="1" si="7"/>
        <v>540.25502002859878</v>
      </c>
      <c r="K56" s="411">
        <f t="shared" ca="1" si="8"/>
        <v>274.12763205937313</v>
      </c>
      <c r="L56" s="414">
        <f t="shared" ca="1" si="9"/>
        <v>1957.8321421176474</v>
      </c>
      <c r="M56" s="417">
        <f t="shared" ca="1" si="10"/>
        <v>18.261251504810097</v>
      </c>
    </row>
    <row r="57" spans="2:13" x14ac:dyDescent="0.2">
      <c r="B57" s="426">
        <f t="shared" si="11"/>
        <v>104</v>
      </c>
      <c r="C57" s="404">
        <f t="shared" si="1"/>
        <v>3.12186345172525E-3</v>
      </c>
      <c r="D57" s="401">
        <f ca="1">MpropuPlein+1.25*MasseSans</f>
        <v>7.2237500000000008</v>
      </c>
      <c r="E57" s="401">
        <f t="shared" ca="1" si="2"/>
        <v>6.707250000000001</v>
      </c>
      <c r="F57" s="401">
        <f t="shared" ca="1" si="3"/>
        <v>6.1907500000000013</v>
      </c>
      <c r="G57" s="408">
        <f t="shared" ca="1" si="4"/>
        <v>75.673934099913282</v>
      </c>
      <c r="H57" s="404">
        <f t="shared" ca="1" si="5"/>
        <v>4.6544611453654621E-4</v>
      </c>
      <c r="I57" s="404">
        <f t="shared" ca="1" si="6"/>
        <v>5.0427871448939943E-4</v>
      </c>
      <c r="J57" s="404">
        <f t="shared" ca="1" si="7"/>
        <v>454.68162572007361</v>
      </c>
      <c r="K57" s="411">
        <f t="shared" ca="1" si="8"/>
        <v>236.86752303205211</v>
      </c>
      <c r="L57" s="414">
        <f t="shared" ca="1" si="9"/>
        <v>1800.0639307962006</v>
      </c>
      <c r="M57" s="417">
        <f t="shared" ca="1" si="10"/>
        <v>18.356912329198764</v>
      </c>
    </row>
    <row r="58" spans="2:13" x14ac:dyDescent="0.2">
      <c r="B58" s="426">
        <f t="shared" si="11"/>
        <v>104</v>
      </c>
      <c r="C58" s="404">
        <f t="shared" si="1"/>
        <v>3.12186345172525E-3</v>
      </c>
      <c r="D58" s="401">
        <f ca="1">MpropuPlein+1.5*MasseSans</f>
        <v>8.3315000000000001</v>
      </c>
      <c r="E58" s="401">
        <f t="shared" ca="1" si="2"/>
        <v>7.8150000000000004</v>
      </c>
      <c r="F58" s="401">
        <f t="shared" ca="1" si="3"/>
        <v>7.2985000000000007</v>
      </c>
      <c r="G58" s="408">
        <f t="shared" ca="1" si="4"/>
        <v>63.556873575386234</v>
      </c>
      <c r="H58" s="404">
        <f t="shared" ca="1" si="5"/>
        <v>3.994706911996481E-4</v>
      </c>
      <c r="I58" s="404">
        <f t="shared" ca="1" si="6"/>
        <v>4.277404195006165E-4</v>
      </c>
      <c r="J58" s="404">
        <f t="shared" ca="1" si="7"/>
        <v>389.00150948846527</v>
      </c>
      <c r="K58" s="411">
        <f t="shared" ca="1" si="8"/>
        <v>206.15866748987341</v>
      </c>
      <c r="L58" s="414">
        <f t="shared" ca="1" si="9"/>
        <v>1614.5456034142069</v>
      </c>
      <c r="M58" s="417">
        <f t="shared" ca="1" si="10"/>
        <v>18.058484476278505</v>
      </c>
    </row>
    <row r="59" spans="2:13" x14ac:dyDescent="0.2">
      <c r="B59" s="426">
        <f t="shared" si="11"/>
        <v>104</v>
      </c>
      <c r="C59" s="404">
        <f t="shared" si="1"/>
        <v>3.12186345172525E-3</v>
      </c>
      <c r="D59" s="401">
        <f ca="1">MpropuPlein+1.75*MasseSans</f>
        <v>9.4392499999999995</v>
      </c>
      <c r="E59" s="401">
        <f t="shared" ca="1" si="2"/>
        <v>8.9227499999999988</v>
      </c>
      <c r="F59" s="401">
        <f t="shared" ca="1" si="3"/>
        <v>8.40625</v>
      </c>
      <c r="G59" s="408">
        <f t="shared" ca="1" si="4"/>
        <v>54.448453614820934</v>
      </c>
      <c r="H59" s="404">
        <f t="shared" ca="1" si="5"/>
        <v>3.4987682628396518E-4</v>
      </c>
      <c r="I59" s="404">
        <f t="shared" ca="1" si="6"/>
        <v>3.7137409091155389E-4</v>
      </c>
      <c r="J59" s="404">
        <f t="shared" ca="1" si="7"/>
        <v>337.38604109592552</v>
      </c>
      <c r="K59" s="411">
        <f t="shared" ca="1" si="8"/>
        <v>180.90166312340986</v>
      </c>
      <c r="L59" s="414">
        <f t="shared" ca="1" si="9"/>
        <v>1422.5099270984811</v>
      </c>
      <c r="M59" s="417">
        <f t="shared" ca="1" si="10"/>
        <v>17.487686797560126</v>
      </c>
    </row>
    <row r="60" spans="2:13" x14ac:dyDescent="0.2">
      <c r="B60" s="427">
        <f t="shared" si="11"/>
        <v>104</v>
      </c>
      <c r="C60" s="405">
        <f t="shared" si="1"/>
        <v>3.12186345172525E-3</v>
      </c>
      <c r="D60" s="402">
        <f ca="1">MpropuPlein+2*MasseSans</f>
        <v>10.547000000000001</v>
      </c>
      <c r="E60" s="402">
        <f t="shared" ca="1" si="2"/>
        <v>10.0305</v>
      </c>
      <c r="F60" s="402">
        <f t="shared" ca="1" si="3"/>
        <v>9.5140000000000011</v>
      </c>
      <c r="G60" s="409">
        <f t="shared" ca="1" si="4"/>
        <v>47.35186800175898</v>
      </c>
      <c r="H60" s="405">
        <f t="shared" ca="1" si="5"/>
        <v>3.1123707210261204E-4</v>
      </c>
      <c r="I60" s="405">
        <f t="shared" ca="1" si="6"/>
        <v>3.2813364008043406E-4</v>
      </c>
      <c r="J60" s="405">
        <f t="shared" ca="1" si="7"/>
        <v>295.94082978220348</v>
      </c>
      <c r="K60" s="412">
        <f t="shared" ca="1" si="8"/>
        <v>159.98969400982759</v>
      </c>
      <c r="L60" s="415">
        <f t="shared" ca="1" si="9"/>
        <v>1238.4247224180292</v>
      </c>
      <c r="M60" s="418">
        <f t="shared" ca="1" si="10"/>
        <v>16.749490029101892</v>
      </c>
    </row>
    <row r="61" spans="2:13" x14ac:dyDescent="0.2">
      <c r="B61" s="425">
        <f t="shared" ref="B61:B69" si="12">D_ref*1.5</f>
        <v>156</v>
      </c>
      <c r="C61" s="403">
        <f t="shared" si="1"/>
        <v>7.0241927663818107E-3</v>
      </c>
      <c r="D61" s="400">
        <f ca="1">MpropuPlein+0*MasseSans</f>
        <v>1.6850000000000001</v>
      </c>
      <c r="E61" s="400">
        <f t="shared" ca="1" si="2"/>
        <v>1.1685000000000001</v>
      </c>
      <c r="F61" s="400">
        <f t="shared" ca="1" si="3"/>
        <v>0.65200000000000014</v>
      </c>
      <c r="G61" s="407">
        <f t="shared" ca="1" si="4"/>
        <v>480.87217115245477</v>
      </c>
      <c r="H61" s="403">
        <f t="shared" ca="1" si="5"/>
        <v>6.0112903435017634E-3</v>
      </c>
      <c r="I61" s="403">
        <f t="shared" ca="1" si="6"/>
        <v>1.0773301788929155E-2</v>
      </c>
      <c r="J61" s="403">
        <f t="shared" ca="1" si="7"/>
        <v>900.06582779263226</v>
      </c>
      <c r="K61" s="410">
        <f t="shared" ca="1" si="8"/>
        <v>282.83075487995666</v>
      </c>
      <c r="L61" s="413">
        <f t="shared" ca="1" si="9"/>
        <v>1108.3088472586128</v>
      </c>
      <c r="M61" s="416">
        <f t="shared" ca="1" si="10"/>
        <v>8.0948698322266992</v>
      </c>
    </row>
    <row r="62" spans="2:13" x14ac:dyDescent="0.2">
      <c r="B62" s="426">
        <f t="shared" si="12"/>
        <v>156</v>
      </c>
      <c r="C62" s="404">
        <f t="shared" si="1"/>
        <v>7.0241927663818107E-3</v>
      </c>
      <c r="D62" s="401">
        <f ca="1">MpropuPlein+0.25*MasseSans</f>
        <v>2.7927499999999998</v>
      </c>
      <c r="E62" s="401">
        <f t="shared" ca="1" si="2"/>
        <v>2.2762500000000001</v>
      </c>
      <c r="F62" s="401">
        <f t="shared" ca="1" si="3"/>
        <v>1.7597499999999999</v>
      </c>
      <c r="G62" s="408">
        <f t="shared" ca="1" si="4"/>
        <v>242.0789036756259</v>
      </c>
      <c r="H62" s="404">
        <f t="shared" ca="1" si="5"/>
        <v>3.0858617315241343E-3</v>
      </c>
      <c r="I62" s="404">
        <f t="shared" ca="1" si="6"/>
        <v>3.9915856038538495E-3</v>
      </c>
      <c r="J62" s="404">
        <f t="shared" ca="1" si="7"/>
        <v>781.53900910628431</v>
      </c>
      <c r="K62" s="411">
        <f t="shared" ca="1" si="8"/>
        <v>278.95716805462189</v>
      </c>
      <c r="L62" s="414">
        <f t="shared" ca="1" si="9"/>
        <v>1218.2378567692895</v>
      </c>
      <c r="M62" s="417">
        <f t="shared" ca="1" si="10"/>
        <v>10.639223689553251</v>
      </c>
    </row>
    <row r="63" spans="2:13" x14ac:dyDescent="0.2">
      <c r="B63" s="426">
        <f t="shared" si="12"/>
        <v>156</v>
      </c>
      <c r="C63" s="404">
        <f t="shared" si="1"/>
        <v>7.0241927663818107E-3</v>
      </c>
      <c r="D63" s="401">
        <f ca="1">MpropuPlein+0.5*MasseSans</f>
        <v>3.9005000000000001</v>
      </c>
      <c r="E63" s="401">
        <f t="shared" ca="1" si="2"/>
        <v>3.3840000000000003</v>
      </c>
      <c r="F63" s="401">
        <f t="shared" ca="1" si="3"/>
        <v>2.8675000000000002</v>
      </c>
      <c r="G63" s="408">
        <f t="shared" ca="1" si="4"/>
        <v>159.62324970202229</v>
      </c>
      <c r="H63" s="404">
        <f t="shared" ca="1" si="5"/>
        <v>2.0757070822641282E-3</v>
      </c>
      <c r="I63" s="404">
        <f t="shared" ca="1" si="6"/>
        <v>2.4495877127748249E-3</v>
      </c>
      <c r="J63" s="404">
        <f t="shared" ca="1" si="7"/>
        <v>669.27310265764334</v>
      </c>
      <c r="K63" s="411">
        <f t="shared" ca="1" si="8"/>
        <v>268.55607111163459</v>
      </c>
      <c r="L63" s="414">
        <f t="shared" ca="1" si="9"/>
        <v>1270.3787501304641</v>
      </c>
      <c r="M63" s="417">
        <f t="shared" ca="1" si="10"/>
        <v>12.230153799652008</v>
      </c>
    </row>
    <row r="64" spans="2:13" x14ac:dyDescent="0.2">
      <c r="B64" s="426">
        <f t="shared" si="12"/>
        <v>156</v>
      </c>
      <c r="C64" s="404">
        <f t="shared" si="1"/>
        <v>7.0241927663818107E-3</v>
      </c>
      <c r="D64" s="401">
        <f ca="1">MpropuPlein+0.75*MasseSans</f>
        <v>5.0082500000000003</v>
      </c>
      <c r="E64" s="401">
        <f t="shared" ca="1" si="2"/>
        <v>4.4917500000000006</v>
      </c>
      <c r="F64" s="401">
        <f t="shared" ca="1" si="3"/>
        <v>3.9752500000000004</v>
      </c>
      <c r="G64" s="408">
        <f t="shared" ca="1" si="4"/>
        <v>117.83782478803214</v>
      </c>
      <c r="H64" s="404">
        <f t="shared" ca="1" si="5"/>
        <v>1.5637986901278589E-3</v>
      </c>
      <c r="I64" s="404">
        <f t="shared" ca="1" si="6"/>
        <v>1.7669813889395157E-3</v>
      </c>
      <c r="J64" s="404">
        <f t="shared" ca="1" si="7"/>
        <v>570.90407342096239</v>
      </c>
      <c r="K64" s="411">
        <f t="shared" ca="1" si="8"/>
        <v>250.43267086621776</v>
      </c>
      <c r="L64" s="414">
        <f t="shared" ca="1" si="9"/>
        <v>1280.9615950512371</v>
      </c>
      <c r="M64" s="417">
        <f t="shared" ca="1" si="10"/>
        <v>13.324308617888907</v>
      </c>
    </row>
    <row r="65" spans="2:13" x14ac:dyDescent="0.2">
      <c r="B65" s="426">
        <f t="shared" si="12"/>
        <v>156</v>
      </c>
      <c r="C65" s="404">
        <f t="shared" si="1"/>
        <v>7.0241927663818107E-3</v>
      </c>
      <c r="D65" s="401">
        <f ca="1">MpropuPlein+1*MasseSans</f>
        <v>6.1159999999999997</v>
      </c>
      <c r="E65" s="401">
        <f t="shared" ca="1" si="2"/>
        <v>5.5994999999999999</v>
      </c>
      <c r="F65" s="401">
        <f t="shared" ca="1" si="3"/>
        <v>5.0830000000000002</v>
      </c>
      <c r="G65" s="408">
        <f t="shared" ca="1" si="4"/>
        <v>92.585234751610585</v>
      </c>
      <c r="H65" s="404">
        <f t="shared" ca="1" si="5"/>
        <v>1.2544321397235129E-3</v>
      </c>
      <c r="I65" s="404">
        <f t="shared" ca="1" si="6"/>
        <v>1.3818990293885127E-3</v>
      </c>
      <c r="J65" s="404">
        <f t="shared" ca="1" si="7"/>
        <v>488.9282330427871</v>
      </c>
      <c r="K65" s="411">
        <f t="shared" ca="1" si="8"/>
        <v>228.38806833155272</v>
      </c>
      <c r="L65" s="414">
        <f t="shared" ca="1" si="9"/>
        <v>1256.7092000685959</v>
      </c>
      <c r="M65" s="417">
        <f t="shared" ca="1" si="10"/>
        <v>14.045654568975372</v>
      </c>
    </row>
    <row r="66" spans="2:13" x14ac:dyDescent="0.2">
      <c r="B66" s="426">
        <f t="shared" si="12"/>
        <v>156</v>
      </c>
      <c r="C66" s="404">
        <f t="shared" si="1"/>
        <v>7.0241927663818107E-3</v>
      </c>
      <c r="D66" s="401">
        <f ca="1">MpropuPlein+1.25*MasseSans</f>
        <v>7.2237500000000008</v>
      </c>
      <c r="E66" s="401">
        <f t="shared" ca="1" si="2"/>
        <v>6.707250000000001</v>
      </c>
      <c r="F66" s="401">
        <f t="shared" ca="1" si="3"/>
        <v>6.1907500000000013</v>
      </c>
      <c r="G66" s="408">
        <f t="shared" ca="1" si="4"/>
        <v>75.673934099913282</v>
      </c>
      <c r="H66" s="404">
        <f t="shared" ca="1" si="5"/>
        <v>1.0472537577072287E-3</v>
      </c>
      <c r="I66" s="404">
        <f t="shared" ca="1" si="6"/>
        <v>1.1346271076011483E-3</v>
      </c>
      <c r="J66" s="404">
        <f t="shared" ca="1" si="7"/>
        <v>421.96329004244524</v>
      </c>
      <c r="K66" s="411">
        <f t="shared" ca="1" si="8"/>
        <v>205.91569645672874</v>
      </c>
      <c r="L66" s="414">
        <f t="shared" ca="1" si="9"/>
        <v>1204.4468741183227</v>
      </c>
      <c r="M66" s="417">
        <f t="shared" ca="1" si="10"/>
        <v>14.458440754169525</v>
      </c>
    </row>
    <row r="67" spans="2:13" x14ac:dyDescent="0.2">
      <c r="B67" s="426">
        <f t="shared" si="12"/>
        <v>156</v>
      </c>
      <c r="C67" s="404">
        <f t="shared" si="1"/>
        <v>7.0241927663818107E-3</v>
      </c>
      <c r="D67" s="401">
        <f ca="1">MpropuPlein+1.5*MasseSans</f>
        <v>8.3315000000000001</v>
      </c>
      <c r="E67" s="401">
        <f t="shared" ca="1" si="2"/>
        <v>7.8150000000000004</v>
      </c>
      <c r="F67" s="401">
        <f t="shared" ca="1" si="3"/>
        <v>7.2985000000000007</v>
      </c>
      <c r="G67" s="408">
        <f t="shared" ca="1" si="4"/>
        <v>63.556873575386234</v>
      </c>
      <c r="H67" s="404">
        <f t="shared" ca="1" si="5"/>
        <v>8.9880905519920803E-4</v>
      </c>
      <c r="I67" s="404">
        <f t="shared" ca="1" si="6"/>
        <v>9.6241594387638698E-4</v>
      </c>
      <c r="J67" s="404">
        <f t="shared" ca="1" si="7"/>
        <v>367.39113114751837</v>
      </c>
      <c r="K67" s="411">
        <f t="shared" ca="1" si="8"/>
        <v>184.87897906609155</v>
      </c>
      <c r="L67" s="414">
        <f t="shared" ca="1" si="9"/>
        <v>1131.5762587256754</v>
      </c>
      <c r="M67" s="417">
        <f t="shared" ca="1" si="10"/>
        <v>14.611908760610573</v>
      </c>
    </row>
    <row r="68" spans="2:13" x14ac:dyDescent="0.2">
      <c r="B68" s="426">
        <f t="shared" si="12"/>
        <v>156</v>
      </c>
      <c r="C68" s="404">
        <f t="shared" si="1"/>
        <v>7.0241927663818107E-3</v>
      </c>
      <c r="D68" s="401">
        <f ca="1">MpropuPlein+1.75*MasseSans</f>
        <v>9.4392499999999995</v>
      </c>
      <c r="E68" s="401">
        <f t="shared" ca="1" si="2"/>
        <v>8.9227499999999988</v>
      </c>
      <c r="F68" s="401">
        <f t="shared" ca="1" si="3"/>
        <v>8.40625</v>
      </c>
      <c r="G68" s="408">
        <f t="shared" ca="1" si="4"/>
        <v>54.448453614820934</v>
      </c>
      <c r="H68" s="404">
        <f t="shared" ca="1" si="5"/>
        <v>7.8722285913892143E-4</v>
      </c>
      <c r="I68" s="404">
        <f t="shared" ca="1" si="6"/>
        <v>8.3559170455099611E-4</v>
      </c>
      <c r="J68" s="404">
        <f t="shared" ca="1" si="7"/>
        <v>322.64525248015042</v>
      </c>
      <c r="K68" s="411">
        <f t="shared" ca="1" si="8"/>
        <v>165.97633607021055</v>
      </c>
      <c r="L68" s="414">
        <f t="shared" ca="1" si="9"/>
        <v>1045.4324778287923</v>
      </c>
      <c r="M68" s="417">
        <f t="shared" ca="1" si="10"/>
        <v>14.551607379580817</v>
      </c>
    </row>
    <row r="69" spans="2:13" x14ac:dyDescent="0.2">
      <c r="B69" s="427">
        <f t="shared" si="12"/>
        <v>156</v>
      </c>
      <c r="C69" s="405">
        <f t="shared" si="1"/>
        <v>7.0241927663818107E-3</v>
      </c>
      <c r="D69" s="402">
        <f ca="1">MpropuPlein+2*MasseSans</f>
        <v>10.547000000000001</v>
      </c>
      <c r="E69" s="402">
        <f t="shared" ca="1" si="2"/>
        <v>10.0305</v>
      </c>
      <c r="F69" s="402">
        <f t="shared" ca="1" si="3"/>
        <v>9.5140000000000011</v>
      </c>
      <c r="G69" s="409">
        <f t="shared" ca="1" si="4"/>
        <v>47.35186800175898</v>
      </c>
      <c r="H69" s="405">
        <f t="shared" ca="1" si="5"/>
        <v>7.0028341223087693E-4</v>
      </c>
      <c r="I69" s="405">
        <f t="shared" ca="1" si="6"/>
        <v>7.3830069018097639E-4</v>
      </c>
      <c r="J69" s="405">
        <f t="shared" ca="1" si="7"/>
        <v>285.59806076876242</v>
      </c>
      <c r="K69" s="412">
        <f t="shared" ca="1" si="8"/>
        <v>149.30609677609067</v>
      </c>
      <c r="L69" s="415">
        <f t="shared" ca="1" si="9"/>
        <v>952.64707680815536</v>
      </c>
      <c r="M69" s="418">
        <f t="shared" ca="1" si="10"/>
        <v>14.321988510468342</v>
      </c>
    </row>
    <row r="73" spans="2:13" x14ac:dyDescent="0.2">
      <c r="B73" s="24" t="str">
        <f>IF(Lang="Français","Textes pour les graphiques :","Texts for graphics :")</f>
        <v>Textes pour les graphiques :</v>
      </c>
    </row>
    <row r="75" spans="2:13" x14ac:dyDescent="0.2">
      <c r="B75" t="str">
        <f>IF(Lang="Français","Masse totale",IF(Lang="English","Total Mass",""))</f>
        <v>Masse totale</v>
      </c>
    </row>
    <row r="76" spans="2:13" x14ac:dyDescent="0.2">
      <c r="B76" t="str">
        <f>IF(Lang="Français","Vitesse max",IF(Lang="English","Max Velocity",""))</f>
        <v>Vitesse max</v>
      </c>
    </row>
    <row r="77" spans="2:13" x14ac:dyDescent="0.2">
      <c r="B77" t="str">
        <f>Abaco!$B$76 &amp; " / " &amp; Abaco!$B$75</f>
        <v>Vitesse max / Masse totale</v>
      </c>
    </row>
    <row r="78" spans="2:13" x14ac:dyDescent="0.2">
      <c r="B78" t="str">
        <f>IF(Lang="Français","Altitude max",IF(Lang="English","Max Altitude",""))</f>
        <v>Altitude max</v>
      </c>
    </row>
    <row r="79" spans="2:13" x14ac:dyDescent="0.2">
      <c r="B79" t="str">
        <f>Abaco!$B$78 &amp; " / " &amp; Abaco!$B$75</f>
        <v>Altitude max / Masse totale</v>
      </c>
    </row>
    <row r="80" spans="2:13" x14ac:dyDescent="0.2">
      <c r="B80" t="str">
        <f>IF(Lang="Français","Temps de culmination",IF(Lang="English","Apogee time",""))</f>
        <v>Temps de culmination</v>
      </c>
    </row>
    <row r="81" spans="2:2" x14ac:dyDescent="0.2">
      <c r="B81" t="str">
        <f>Abaco!$B$80 &amp; " / " &amp; Abaco!$B$75</f>
        <v>Temps de culmination / Masse totale</v>
      </c>
    </row>
  </sheetData>
  <sheetProtection algorithmName="SHA-512" hashValue="+PTrTvch0rD/oo5wbJAiLSXEwsZuHYCw11E5jJpN7UFv8bqEgAVA+seu72dez5dZDB7fUdwejfBNAFZdr7g5pg==" saltValue="gnM8LKYZzdY29Fufgy5vJQ==" spinCount="100000" sheet="1"/>
  <mergeCells count="13">
    <mergeCell ref="C10:D10"/>
    <mergeCell ref="C9:D9"/>
    <mergeCell ref="C2:D3"/>
    <mergeCell ref="C4:D4"/>
    <mergeCell ref="C5:D5"/>
    <mergeCell ref="C7:D7"/>
    <mergeCell ref="C8:D8"/>
    <mergeCell ref="C11:D11"/>
    <mergeCell ref="C13:D13"/>
    <mergeCell ref="C15:D15"/>
    <mergeCell ref="C16:D16"/>
    <mergeCell ref="C17:D17"/>
    <mergeCell ref="C12:D12"/>
  </mergeCells>
  <dataValidations count="3">
    <dataValidation type="decimal" errorStyle="warning" showErrorMessage="1" errorTitle="Cx" error="Le Cx est souvent compris entre 0 et 1._x000a_Cx may be between 0 &amp; 1." sqref="C17:D17" xr:uid="{00000000-0002-0000-0500-000000000000}">
      <formula1>0</formula1>
      <formula2>1</formula2>
    </dataValidation>
    <dataValidation operator="greaterThanOrEqual" sqref="C11:D12" xr:uid="{00000000-0002-0000-0500-000001000000}"/>
    <dataValidation sqref="C13:D13" xr:uid="{00000000-0002-0000-0500-000002000000}"/>
  </dataValidations>
  <hyperlinks>
    <hyperlink ref="B13" location="Stabilito!C17" display="Stabilito!C17" xr:uid="{00000000-0004-0000-0500-000000000000}"/>
  </hyperlinks>
  <pageMargins left="0.70866141732283472" right="0.70866141732283472" top="0.74803149606299213" bottom="0.74803149606299213" header="0.31496062992125984" footer="0.31496062992125984"/>
  <pageSetup paperSize="9" scale="92" orientation="landscape" r:id="rId1"/>
  <drawing r:id="rId2"/>
  <legacyDrawing r:id="rId3"/>
  <oleObjects>
    <mc:AlternateContent xmlns:mc="http://schemas.openxmlformats.org/markup-compatibility/2006">
      <mc:Choice Requires="x14">
        <oleObject progId="Equation.3" shapeId="2604101" r:id="rId4">
          <objectPr defaultSize="0" autoPict="0" r:id="rId5">
            <anchor moveWithCells="1">
              <from>
                <xdr:col>8</xdr:col>
                <xdr:colOff>390525</xdr:colOff>
                <xdr:row>70</xdr:row>
                <xdr:rowOff>28575</xdr:rowOff>
              </from>
              <to>
                <xdr:col>12</xdr:col>
                <xdr:colOff>904875</xdr:colOff>
                <xdr:row>87</xdr:row>
                <xdr:rowOff>9525</xdr:rowOff>
              </to>
            </anchor>
          </objectPr>
        </oleObject>
      </mc:Choice>
      <mc:Fallback>
        <oleObject progId="Equation.3" shapeId="2604101" r:id="rId4"/>
      </mc:Fallback>
    </mc:AlternateContent>
  </oleObjects>
  <mc:AlternateContent xmlns:mc="http://schemas.openxmlformats.org/markup-compatibility/2006">
    <mc:Choice Requires="x14">
      <controls>
        <mc:AlternateContent xmlns:mc="http://schemas.openxmlformats.org/markup-compatibility/2006">
          <mc:Choice Requires="x14">
            <control shapeId="2604063" r:id="rId6" name="Spinner 31">
              <controlPr defaultSize="0" print="0" autoPict="0">
                <anchor moveWithCells="1" sizeWithCells="1">
                  <from>
                    <xdr:col>3</xdr:col>
                    <xdr:colOff>657225</xdr:colOff>
                    <xdr:row>9</xdr:row>
                    <xdr:rowOff>200025</xdr:rowOff>
                  </from>
                  <to>
                    <xdr:col>4</xdr:col>
                    <xdr:colOff>0</xdr:colOff>
                    <xdr:row>11</xdr:row>
                    <xdr:rowOff>0</xdr:rowOff>
                  </to>
                </anchor>
              </controlPr>
            </control>
          </mc:Choice>
        </mc:AlternateContent>
        <mc:AlternateContent xmlns:mc="http://schemas.openxmlformats.org/markup-compatibility/2006">
          <mc:Choice Requires="x14">
            <control shapeId="2604202" r:id="rId7" name="Spinner 170">
              <controlPr defaultSize="0" print="0" autoPict="0">
                <anchor moveWithCells="1" sizeWithCells="1">
                  <from>
                    <xdr:col>3</xdr:col>
                    <xdr:colOff>657225</xdr:colOff>
                    <xdr:row>11</xdr:row>
                    <xdr:rowOff>0</xdr:rowOff>
                  </from>
                  <to>
                    <xdr:col>4</xdr:col>
                    <xdr:colOff>0</xdr:colOff>
                    <xdr:row>12</xdr:row>
                    <xdr:rowOff>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pageSetUpPr fitToPage="1"/>
  </sheetPr>
  <dimension ref="C2:H61"/>
  <sheetViews>
    <sheetView showGridLines="0" topLeftCell="A31" workbookViewId="0">
      <selection activeCell="G46" sqref="G46"/>
    </sheetView>
  </sheetViews>
  <sheetFormatPr baseColWidth="10" defaultRowHeight="12.75" x14ac:dyDescent="0.2"/>
  <cols>
    <col min="1" max="1" width="2.140625" customWidth="1"/>
    <col min="2" max="2" width="16.140625" customWidth="1"/>
    <col min="3" max="4" width="13.5703125" customWidth="1"/>
  </cols>
  <sheetData>
    <row r="2" spans="3:8" x14ac:dyDescent="0.2">
      <c r="C2" s="598" t="s">
        <v>178</v>
      </c>
      <c r="D2" s="598"/>
    </row>
    <row r="3" spans="3:8" x14ac:dyDescent="0.2">
      <c r="C3" s="598"/>
      <c r="D3" s="598"/>
    </row>
    <row r="5" spans="3:8" x14ac:dyDescent="0.2">
      <c r="C5" s="13" t="str">
        <f>IF(Lang="Français","Stabilité de fusée à ailerons","Stability of finned rocket")</f>
        <v>Stabilité de fusée à ailerons</v>
      </c>
    </row>
    <row r="6" spans="3:8" x14ac:dyDescent="0.2">
      <c r="C6" s="2" t="str">
        <f>IF(Lang="Français","Calculs de Stabilité basés sur les équations de Barrowman","Stability calculs are based on Barrowman equations")</f>
        <v>Calculs de Stabilité basés sur les équations de Barrowman</v>
      </c>
    </row>
    <row r="7" spans="3:8" x14ac:dyDescent="0.2">
      <c r="C7" s="13" t="str">
        <f>IF(Lang="Français","Trajectographie de fusée","Rocket Trajectography")</f>
        <v>Trajectographie de fusée</v>
      </c>
    </row>
    <row r="8" spans="3:8" x14ac:dyDescent="0.2">
      <c r="C8" s="2" t="str">
        <f>IF(Lang="Français","Trajectoire dans un plan par calcul pas à pas","Trajectory in a plane, step by step computation")</f>
        <v>Trajectoire dans un plan par calcul pas à pas</v>
      </c>
    </row>
    <row r="9" spans="3:8" x14ac:dyDescent="0.2">
      <c r="C9" s="2"/>
    </row>
    <row r="10" spans="3:8" x14ac:dyDescent="0.2">
      <c r="C10" s="14" t="str">
        <f>IF(Lang="Français","Documentation et équations :","Documentation and equations are aviable in french:")</f>
        <v>Documentation et équations :</v>
      </c>
    </row>
    <row r="11" spans="3:8" x14ac:dyDescent="0.2">
      <c r="C11" t="str">
        <f>IF(Lang="Français","voir le dossier technique Planète-Sciences ''Le Vol de la Fusée, Stabilité &amp; Trajectographie''","dossier technique Planète-Sciences ''Le Vol de la Fusée, Stabilité &amp; Trajectographie''")</f>
        <v>voir le dossier technique Planète-Sciences ''Le Vol de la Fusée, Stabilité &amp; Trajectographie''</v>
      </c>
    </row>
    <row r="12" spans="3:8" x14ac:dyDescent="0.2">
      <c r="C12" t="str">
        <f>IF(Lang="Français","Néanmoins, les équations d'intégration du mouvement utilisées sont légèrement différentes !","")</f>
        <v>Néanmoins, les équations d'intégration du mouvement utilisées sont légèrement différentes !</v>
      </c>
    </row>
    <row r="13" spans="3:8" x14ac:dyDescent="0.2">
      <c r="C13" t="str">
        <f>IF(Lang="Français","Logiciels et dossier technique téléchargeables sur :","Softwares and french documentation can be downloaded at:")</f>
        <v>Logiciels et dossier technique téléchargeables sur :</v>
      </c>
      <c r="H13" s="15" t="s">
        <v>39</v>
      </c>
    </row>
    <row r="15" spans="3:8" x14ac:dyDescent="0.2">
      <c r="C15" s="14" t="str">
        <f>IF(Lang="Français","Pour les experts :","For experts:")</f>
        <v>Pour les experts :</v>
      </c>
    </row>
    <row r="16" spans="3:8" x14ac:dyDescent="0.2">
      <c r="C16" t="str">
        <f>IF(Lang="Français","Pour les curieux et les experts, vous pouvez déprotéger les feuilles de calcul (mot de passe : anstj),","Curious people can unlock excel sheets with this password : anstj")</f>
        <v>Pour les curieux et les experts, vous pouvez déprotéger les feuilles de calcul (mot de passe : anstj),</v>
      </c>
    </row>
    <row r="17" spans="3:8" x14ac:dyDescent="0.2">
      <c r="C17" t="str">
        <f>IF(Lang="Français","et faire vos modifications personnelles (ajout de moteur...).","and do your personal modification (adding a motor...)")</f>
        <v>et faire vos modifications personnelles (ajout de moteur...).</v>
      </c>
    </row>
    <row r="18" spans="3:8" x14ac:dyDescent="0.2">
      <c r="C18" t="s">
        <v>419</v>
      </c>
    </row>
    <row r="19" spans="3:8" x14ac:dyDescent="0.2">
      <c r="C19" t="str">
        <f>IF(Lang="Français","Merci néanmoins de diffuser uniquement la version officielle protégée (fichier initial).","Please avoid distributing unlocked version.")</f>
        <v>Merci néanmoins de diffuser uniquement la version officielle protégée (fichier initial).</v>
      </c>
    </row>
    <row r="20" spans="3:8" x14ac:dyDescent="0.2">
      <c r="C20" t="str">
        <f>IF(Lang="Français","Aucune Macro. Mise en forme conditionnelle, Noms de zone.","No macro. Conditionnal formating, named zones.")</f>
        <v>Aucune Macro. Mise en forme conditionnelle, Noms de zone.</v>
      </c>
    </row>
    <row r="21" spans="3:8" x14ac:dyDescent="0.2">
      <c r="C21" s="48" t="str">
        <f>IF(Lang="Français","Pour changer les choix des menus déroulants et les restrictions des cellules jaunes, cf. Données&gt; Validations…", "To change choices menu &amp; yellow cells restrictions, go to data validation.")</f>
        <v>Pour changer les choix des menus déroulants et les restrictions des cellules jaunes, cf. Données&gt; Validations…</v>
      </c>
    </row>
    <row r="22" spans="3:8" x14ac:dyDescent="0.2">
      <c r="C22" s="48" t="str">
        <f>IF(Lang="Français","Les unités sont réglés dans le Format de la cellule.","Units are set in cell number Format")</f>
        <v>Les unités sont réglés dans le Format de la cellule.</v>
      </c>
      <c r="H22" s="15" t="s">
        <v>37</v>
      </c>
    </row>
    <row r="23" spans="3:8" x14ac:dyDescent="0.2">
      <c r="C23" t="str">
        <f>IF(Lang="Français","Vous pouvez proposer vos améliorations en envoyant votre fichier à : ","Send all remarks and improvements proposals to:")</f>
        <v xml:space="preserve">Vous pouvez proposer vos améliorations en envoyant votre fichier à : </v>
      </c>
      <c r="H23" s="15"/>
    </row>
    <row r="25" spans="3:8" x14ac:dyDescent="0.2">
      <c r="C25" s="14" t="str">
        <f>IF(Lang="Français","Licence :","License:")</f>
        <v>Licence :</v>
      </c>
      <c r="D25" s="16"/>
    </row>
    <row r="26" spans="3:8" x14ac:dyDescent="0.2">
      <c r="C26" t="str">
        <f>IF(Lang="Français","Ce logiciel est placé sous la licence Creative Commons BY-SA","This software is placed under Creative Commons licence BY-SA")</f>
        <v>Ce logiciel est placé sous la licence Creative Commons BY-SA</v>
      </c>
      <c r="H26" s="68" t="s">
        <v>122</v>
      </c>
    </row>
    <row r="28" spans="3:8" x14ac:dyDescent="0.2">
      <c r="C28" s="14" t="str">
        <f>IF(Lang="Français","Compatibilité :","Compatibility:")</f>
        <v>Compatibilité :</v>
      </c>
    </row>
    <row r="29" spans="3:8" x14ac:dyDescent="0.2">
      <c r="C29" t="s">
        <v>152</v>
      </c>
    </row>
    <row r="30" spans="3:8" x14ac:dyDescent="0.2">
      <c r="C30" t="s">
        <v>301</v>
      </c>
    </row>
    <row r="31" spans="3:8" x14ac:dyDescent="0.2">
      <c r="C31" s="49" t="s">
        <v>110</v>
      </c>
    </row>
    <row r="33" spans="3:6" x14ac:dyDescent="0.2">
      <c r="C33" s="14" t="str">
        <f>IF(Lang="Français","Historique :","History:")</f>
        <v>Historique :</v>
      </c>
    </row>
    <row r="34" spans="3:6" x14ac:dyDescent="0.2">
      <c r="C34" t="s">
        <v>102</v>
      </c>
      <c r="D34" t="s">
        <v>42</v>
      </c>
      <c r="E34" s="47" t="s">
        <v>101</v>
      </c>
      <c r="F34" t="str">
        <f>IF(Lang="Français","Essais personnels, héritage d'une feuille de calcul de Vincent Girard, ESO","Personnel tests")</f>
        <v>Essais personnels, héritage d'une feuille de calcul de Vincent Girard, ESO</v>
      </c>
    </row>
    <row r="35" spans="3:6" x14ac:dyDescent="0.2">
      <c r="C35" t="s">
        <v>103</v>
      </c>
      <c r="D35" t="s">
        <v>42</v>
      </c>
      <c r="E35" s="16">
        <v>39483</v>
      </c>
      <c r="F35" t="str">
        <f>IF(Lang="Français","Equations de Barrowman généralisées (D_ref), masquage inter-ailerons, bilingue fr-en","Generalized Barrowman equations (D_ref), fin-fin interaction, english translation")</f>
        <v>Equations de Barrowman généralisées (D_ref), masquage inter-ailerons, bilingue fr-en</v>
      </c>
    </row>
    <row r="36" spans="3:6" x14ac:dyDescent="0.2">
      <c r="C36" t="s">
        <v>104</v>
      </c>
      <c r="D36" t="s">
        <v>42</v>
      </c>
      <c r="E36" s="16">
        <v>39507</v>
      </c>
      <c r="F36" t="str">
        <f>IF(Lang="Français","Schéma de la fusée, estimation analytique de la trajecto, diagramme des critères","Rocket schematic, analytical trajecto, criterions diagram")</f>
        <v>Schéma de la fusée, estimation analytique de la trajecto, diagramme des critères</v>
      </c>
    </row>
    <row r="37" spans="3:6" x14ac:dyDescent="0.2">
      <c r="C37" t="s">
        <v>105</v>
      </c>
      <c r="D37" t="s">
        <v>42</v>
      </c>
      <c r="E37" s="16">
        <v>39694</v>
      </c>
      <c r="F37" t="str">
        <f>IF(Lang="Français","Mise en forme","Formatting")</f>
        <v>Mise en forme</v>
      </c>
    </row>
    <row r="38" spans="3:6" x14ac:dyDescent="0.2">
      <c r="C38" t="s">
        <v>106</v>
      </c>
      <c r="D38" t="s">
        <v>42</v>
      </c>
      <c r="E38" s="16">
        <v>39643</v>
      </c>
      <c r="F38" t="str">
        <f>IF(Lang="Français","Essais personnels, héritage d'une feuille de calcul de Félicien Roux, ESO","Personal tests")</f>
        <v>Essais personnels, héritage d'une feuille de calcul de Félicien Roux, ESO</v>
      </c>
    </row>
    <row r="39" spans="3:6" x14ac:dyDescent="0.2">
      <c r="C39" t="s">
        <v>107</v>
      </c>
      <c r="D39" t="s">
        <v>42</v>
      </c>
      <c r="E39" s="16">
        <v>39755</v>
      </c>
      <c r="F39" t="str">
        <f>IF(Lang="Français","Réécriture équations, traduction, érgonomie","Equations, traduction, ergonomy")</f>
        <v>Réécriture équations, traduction, érgonomie</v>
      </c>
    </row>
    <row r="40" spans="3:6" x14ac:dyDescent="0.2">
      <c r="C40" t="s">
        <v>108</v>
      </c>
      <c r="D40" t="s">
        <v>42</v>
      </c>
      <c r="E40" s="16">
        <v>39756</v>
      </c>
      <c r="F40" t="str">
        <f>IF(Lang="Français","Conditions Initiales pour vol 2e étage, 1ère publication","Initial Conditions, 1st publication")</f>
        <v>Conditions Initiales pour vol 2e étage, 1ère publication</v>
      </c>
    </row>
    <row r="41" spans="3:6" x14ac:dyDescent="0.2">
      <c r="C41" t="s">
        <v>109</v>
      </c>
      <c r="D41" t="s">
        <v>42</v>
      </c>
      <c r="E41" s="16">
        <v>40658</v>
      </c>
      <c r="F41" t="s">
        <v>52</v>
      </c>
    </row>
    <row r="42" spans="3:6" x14ac:dyDescent="0.2">
      <c r="C42" t="s">
        <v>179</v>
      </c>
      <c r="D42" t="s">
        <v>42</v>
      </c>
      <c r="E42" s="16">
        <v>40868</v>
      </c>
      <c r="F42" t="str">
        <f>IF(Lang="Français","Fusion Stabilito+Trajecto, mise en forme, Ctrl, RC, H2O, Abaco","Merge Stabilito+Trajecto, formatting, Ctrl, RC, H2O, Abaco")</f>
        <v>Fusion Stabilito+Trajecto, mise en forme, Ctrl, RC, H2O, Abaco</v>
      </c>
    </row>
    <row r="43" spans="3:6" x14ac:dyDescent="0.2">
      <c r="C43" t="s">
        <v>327</v>
      </c>
      <c r="D43" t="s">
        <v>42</v>
      </c>
      <c r="E43" s="16">
        <v>41194</v>
      </c>
      <c r="F43" t="s">
        <v>331</v>
      </c>
    </row>
    <row r="44" spans="3:6" x14ac:dyDescent="0.2">
      <c r="C44" t="s">
        <v>328</v>
      </c>
      <c r="D44" t="s">
        <v>42</v>
      </c>
      <c r="E44" s="16">
        <v>41329</v>
      </c>
      <c r="F44" t="s">
        <v>332</v>
      </c>
    </row>
    <row r="45" spans="3:6" x14ac:dyDescent="0.2">
      <c r="C45" t="s">
        <v>416</v>
      </c>
      <c r="D45" t="s">
        <v>395</v>
      </c>
      <c r="E45" s="16">
        <v>41947</v>
      </c>
      <c r="F45" t="s">
        <v>415</v>
      </c>
    </row>
    <row r="46" spans="3:6" x14ac:dyDescent="0.2">
      <c r="C46" t="s">
        <v>420</v>
      </c>
      <c r="D46" t="s">
        <v>395</v>
      </c>
      <c r="E46" s="16">
        <v>41965</v>
      </c>
      <c r="F46" t="s">
        <v>418</v>
      </c>
    </row>
    <row r="47" spans="3:6" x14ac:dyDescent="0.2">
      <c r="C47" t="s">
        <v>541</v>
      </c>
      <c r="D47" t="s">
        <v>395</v>
      </c>
      <c r="E47" s="16">
        <v>43048</v>
      </c>
      <c r="F47" t="s">
        <v>542</v>
      </c>
    </row>
    <row r="48" spans="3:6" x14ac:dyDescent="0.2">
      <c r="C48" t="s">
        <v>545</v>
      </c>
      <c r="D48" t="s">
        <v>395</v>
      </c>
      <c r="E48" s="16">
        <v>44160</v>
      </c>
      <c r="F48" t="s">
        <v>546</v>
      </c>
    </row>
    <row r="49" spans="3:6" x14ac:dyDescent="0.2">
      <c r="C49" t="s">
        <v>554</v>
      </c>
      <c r="D49" t="s">
        <v>552</v>
      </c>
      <c r="E49" s="16">
        <v>45300</v>
      </c>
      <c r="F49" t="s">
        <v>553</v>
      </c>
    </row>
    <row r="50" spans="3:6" x14ac:dyDescent="0.2">
      <c r="C50" t="s">
        <v>556</v>
      </c>
      <c r="D50" t="s">
        <v>395</v>
      </c>
      <c r="E50" s="16">
        <v>45322</v>
      </c>
      <c r="F50" t="s">
        <v>561</v>
      </c>
    </row>
    <row r="51" spans="3:6" x14ac:dyDescent="0.2">
      <c r="C51" t="s">
        <v>565</v>
      </c>
      <c r="D51" t="s">
        <v>395</v>
      </c>
      <c r="E51" s="16">
        <v>45325</v>
      </c>
      <c r="F51" t="s">
        <v>564</v>
      </c>
    </row>
    <row r="52" spans="3:6" x14ac:dyDescent="0.2">
      <c r="E52" s="16"/>
    </row>
    <row r="53" spans="3:6" x14ac:dyDescent="0.2">
      <c r="C53" s="14" t="str">
        <f>IF(Lang="Français","Paramètres de référence :","Reference parameters:")</f>
        <v>Paramètres de référence :</v>
      </c>
    </row>
    <row r="54" spans="3:6" x14ac:dyDescent="0.2">
      <c r="C54" s="62" t="str">
        <f>IF(Lang="Français","Gravité g :","Gravity g")</f>
        <v>Gravité g :</v>
      </c>
      <c r="E54" s="62">
        <v>9.81</v>
      </c>
      <c r="F54" s="62" t="s">
        <v>7</v>
      </c>
    </row>
    <row r="55" spans="3:6" x14ac:dyDescent="0.2">
      <c r="C55" s="62" t="str">
        <f>IF(Lang="Français","Masse volumique de l'air ρ :","Air density ρ")</f>
        <v>Masse volumique de l'air ρ :</v>
      </c>
      <c r="E55" s="63">
        <v>1.2250000000000001</v>
      </c>
      <c r="F55" s="62" t="s">
        <v>8</v>
      </c>
    </row>
    <row r="56" spans="3:6" x14ac:dyDescent="0.2">
      <c r="C56" s="48"/>
    </row>
    <row r="57" spans="3:6" x14ac:dyDescent="0.2">
      <c r="C57" s="48"/>
    </row>
    <row r="58" spans="3:6" x14ac:dyDescent="0.2">
      <c r="C58" s="48"/>
    </row>
    <row r="59" spans="3:6" x14ac:dyDescent="0.2">
      <c r="C59" s="48"/>
    </row>
    <row r="60" spans="3:6" x14ac:dyDescent="0.2">
      <c r="C60" s="48"/>
    </row>
    <row r="61" spans="3:6" x14ac:dyDescent="0.2">
      <c r="C61" s="48"/>
    </row>
  </sheetData>
  <sheetProtection algorithmName="SHA-512" hashValue="dcP9v4DQ6JuvC6eLIBXnlatxcJ77hQrkAMZATd7/biqbQNTpo5JLWb/f1rwPyt3T541dwFzTLWfTsEIfUWsRvA==" saltValue="abKm4XUCT8zC5fp4rZeuTQ==" spinCount="100000" sheet="1" objects="1" scenarios="1"/>
  <mergeCells count="1">
    <mergeCell ref="C2:D3"/>
  </mergeCells>
  <phoneticPr fontId="8" type="noConversion"/>
  <hyperlinks>
    <hyperlink ref="H13" r:id="rId1" xr:uid="{00000000-0004-0000-0600-000000000000}"/>
    <hyperlink ref="H22" r:id="rId2" xr:uid="{00000000-0004-0000-0600-000001000000}"/>
    <hyperlink ref="H26" r:id="rId3" xr:uid="{00000000-0004-0000-0600-000002000000}"/>
  </hyperlinks>
  <pageMargins left="0.39370078740157483" right="0.39370078740157483" top="0.39370078740157483" bottom="0.39370078740157483" header="0" footer="0"/>
  <pageSetup scale="73" firstPageNumber="0" orientation="portrait" horizontalDpi="300" verticalDpi="300" r:id="rId4"/>
  <headerFooter alignWithMargins="0"/>
  <drawing r:id="rId5"/>
  <legacy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pageSetUpPr fitToPage="1"/>
  </sheetPr>
  <dimension ref="B1:U134"/>
  <sheetViews>
    <sheetView showGridLines="0" zoomScaleNormal="100" workbookViewId="0">
      <selection activeCell="L39" sqref="L39"/>
    </sheetView>
  </sheetViews>
  <sheetFormatPr baseColWidth="10" defaultColWidth="11.5703125" defaultRowHeight="12.75" x14ac:dyDescent="0.2"/>
  <cols>
    <col min="1" max="2" width="2.140625" customWidth="1"/>
    <col min="3" max="3" width="12.5703125" customWidth="1"/>
    <col min="4" max="4" width="21" customWidth="1"/>
    <col min="7" max="7" width="26.5703125" customWidth="1"/>
    <col min="8" max="9" width="6.85546875" customWidth="1"/>
    <col min="10" max="10" width="10" customWidth="1"/>
    <col min="11" max="11" width="13" customWidth="1"/>
    <col min="12" max="12" width="21.140625" customWidth="1"/>
    <col min="14" max="14" width="2.140625" customWidth="1"/>
    <col min="18" max="19" width="16.140625" customWidth="1"/>
  </cols>
  <sheetData>
    <row r="1" spans="2:21" ht="13.5" thickBot="1" x14ac:dyDescent="0.25">
      <c r="O1" s="6"/>
      <c r="P1" s="48"/>
      <c r="Q1" s="48"/>
      <c r="R1" s="48"/>
      <c r="S1" s="48"/>
      <c r="T1" s="48"/>
      <c r="U1" s="48"/>
    </row>
    <row r="2" spans="2:21" ht="13.5" thickBot="1" x14ac:dyDescent="0.25">
      <c r="B2" s="71"/>
      <c r="C2" s="72"/>
      <c r="D2" s="72"/>
      <c r="E2" s="72"/>
      <c r="F2" s="72"/>
      <c r="G2" s="72"/>
      <c r="H2" s="72"/>
      <c r="I2" s="72"/>
      <c r="J2" s="72"/>
      <c r="K2" s="72"/>
      <c r="L2" s="72"/>
      <c r="M2" s="72"/>
      <c r="N2" s="73"/>
      <c r="O2" s="6"/>
      <c r="P2" s="48"/>
      <c r="Q2" s="48"/>
      <c r="R2" s="48"/>
      <c r="S2" s="48"/>
      <c r="T2" s="48"/>
      <c r="U2" s="48"/>
    </row>
    <row r="3" spans="2:21" ht="15.75" customHeight="1" thickBot="1" x14ac:dyDescent="0.25">
      <c r="B3" s="74"/>
      <c r="D3" s="2" t="s">
        <v>428</v>
      </c>
      <c r="N3" s="75"/>
      <c r="O3" s="6"/>
      <c r="P3" s="273" t="s">
        <v>340</v>
      </c>
      <c r="Q3" s="441">
        <f>Long_ogive</f>
        <v>1</v>
      </c>
      <c r="R3" s="48"/>
      <c r="S3" s="48"/>
      <c r="T3" s="48"/>
      <c r="U3" s="48"/>
    </row>
    <row r="4" spans="2:21" ht="15.75" customHeight="1" x14ac:dyDescent="0.2">
      <c r="B4" s="74"/>
      <c r="D4" s="2" t="s">
        <v>563</v>
      </c>
      <c r="E4" t="str">
        <f>Matricule</f>
        <v>FX0</v>
      </c>
      <c r="N4" s="75"/>
      <c r="O4" s="6"/>
      <c r="P4" s="273"/>
      <c r="Q4" s="436"/>
      <c r="R4" s="48"/>
      <c r="S4" s="48"/>
      <c r="T4" s="48"/>
      <c r="U4" s="48"/>
    </row>
    <row r="5" spans="2:21" ht="15.75" customHeight="1" x14ac:dyDescent="0.2">
      <c r="B5" s="74"/>
      <c r="D5" t="s">
        <v>461</v>
      </c>
      <c r="E5" t="str">
        <f>Propu</f>
        <v>Barasinga (Pro54-5G C)</v>
      </c>
      <c r="G5" t="s">
        <v>458</v>
      </c>
      <c r="H5">
        <f>MasseSans</f>
        <v>4.431</v>
      </c>
      <c r="N5" s="75"/>
      <c r="O5" s="6"/>
      <c r="P5" s="273"/>
      <c r="Q5" s="436"/>
      <c r="R5" s="48"/>
      <c r="S5" s="48"/>
      <c r="T5" s="48"/>
      <c r="U5" s="48"/>
    </row>
    <row r="6" spans="2:21" x14ac:dyDescent="0.2">
      <c r="B6" s="74"/>
      <c r="D6" t="s">
        <v>454</v>
      </c>
      <c r="E6" s="2" t="str">
        <f>Trajecto!H34</f>
        <v>Brun/Orange…</v>
      </c>
      <c r="G6" t="s">
        <v>459</v>
      </c>
      <c r="H6">
        <f>D_ref</f>
        <v>104</v>
      </c>
      <c r="N6" s="75"/>
      <c r="O6" s="6"/>
      <c r="P6" s="273"/>
      <c r="Q6" s="436"/>
      <c r="R6" s="48"/>
      <c r="S6" s="48"/>
      <c r="T6" s="48"/>
      <c r="U6" s="48"/>
    </row>
    <row r="7" spans="2:21" x14ac:dyDescent="0.2">
      <c r="B7" s="74"/>
      <c r="D7" t="s">
        <v>456</v>
      </c>
      <c r="E7" s="2" t="str">
        <f>Trajecto!H35</f>
        <v>Rouge…</v>
      </c>
      <c r="G7" t="s">
        <v>5</v>
      </c>
      <c r="H7">
        <f>Cx</f>
        <v>0.6</v>
      </c>
      <c r="N7" s="75"/>
      <c r="O7" s="6"/>
      <c r="P7" s="273"/>
      <c r="Q7" s="436"/>
      <c r="R7" s="48"/>
      <c r="S7" s="48"/>
      <c r="T7" s="48"/>
      <c r="U7" s="48"/>
    </row>
    <row r="8" spans="2:21" x14ac:dyDescent="0.2">
      <c r="B8" s="74"/>
      <c r="D8" t="s">
        <v>457</v>
      </c>
      <c r="E8" s="2">
        <f>S_para</f>
        <v>0.48049999999999998</v>
      </c>
      <c r="G8" t="s">
        <v>460</v>
      </c>
      <c r="H8">
        <f>L_rampe</f>
        <v>4</v>
      </c>
      <c r="N8" s="75"/>
      <c r="O8" s="6"/>
      <c r="P8" s="273"/>
      <c r="Q8" s="436"/>
      <c r="R8" s="48"/>
      <c r="S8" s="48"/>
      <c r="T8" s="48"/>
      <c r="U8" s="48"/>
    </row>
    <row r="9" spans="2:21" x14ac:dyDescent="0.2">
      <c r="B9" s="74"/>
      <c r="D9" t="s">
        <v>455</v>
      </c>
      <c r="E9" s="2"/>
      <c r="G9" t="s">
        <v>146</v>
      </c>
      <c r="H9" s="532" t="str">
        <f>Forme_ogive</f>
        <v>Conique (droite)</v>
      </c>
      <c r="N9" s="75"/>
      <c r="O9" s="6"/>
      <c r="P9" s="273"/>
      <c r="Q9" s="436"/>
      <c r="R9" s="48"/>
      <c r="S9" s="48"/>
      <c r="T9" s="48"/>
      <c r="U9" s="48"/>
    </row>
    <row r="10" spans="2:21" x14ac:dyDescent="0.2">
      <c r="B10" s="74"/>
      <c r="F10" s="3"/>
      <c r="G10" s="6"/>
      <c r="N10" s="75"/>
      <c r="O10" s="521"/>
      <c r="P10" s="48"/>
      <c r="Q10" s="436"/>
      <c r="R10" s="48"/>
      <c r="S10" s="48"/>
      <c r="T10" s="48"/>
      <c r="U10" s="48"/>
    </row>
    <row r="11" spans="2:21" ht="13.5" thickBot="1" x14ac:dyDescent="0.25">
      <c r="B11" s="74"/>
      <c r="C11" s="12"/>
      <c r="D11" s="275" t="s">
        <v>453</v>
      </c>
      <c r="E11" s="243">
        <f>MasseSans</f>
        <v>4.431</v>
      </c>
      <c r="F11" s="246" t="s">
        <v>123</v>
      </c>
      <c r="G11" s="246" t="s">
        <v>125</v>
      </c>
      <c r="H11" s="672">
        <f ca="1">Vsortie_de_rampe</f>
        <v>100.8400272144367</v>
      </c>
      <c r="I11" s="673"/>
      <c r="J11" s="76"/>
      <c r="N11" s="75"/>
      <c r="P11" s="48"/>
      <c r="Q11" s="436"/>
      <c r="R11" s="48"/>
      <c r="S11" s="48"/>
      <c r="T11" s="48"/>
      <c r="U11" s="440">
        <f>IF(RIGHT(Nb_diam,1)=",", "", X_j)</f>
        <v>1</v>
      </c>
    </row>
    <row r="12" spans="2:21" ht="13.5" thickBot="1" x14ac:dyDescent="0.25">
      <c r="B12" s="74"/>
      <c r="C12" s="12"/>
      <c r="D12" s="276"/>
      <c r="E12" s="244"/>
      <c r="F12" s="6" t="s">
        <v>123</v>
      </c>
      <c r="G12" s="6" t="s">
        <v>126</v>
      </c>
      <c r="H12" s="674">
        <f>Finesse</f>
        <v>10.76923076923077</v>
      </c>
      <c r="I12" s="675"/>
      <c r="J12" s="76"/>
      <c r="N12" s="75"/>
      <c r="O12" s="6"/>
      <c r="P12" s="273" t="s">
        <v>341</v>
      </c>
      <c r="Q12" s="441">
        <f>D_og</f>
        <v>84</v>
      </c>
      <c r="R12" s="48"/>
      <c r="S12" s="48"/>
      <c r="T12" s="48"/>
      <c r="U12" s="436"/>
    </row>
    <row r="13" spans="2:21" x14ac:dyDescent="0.2">
      <c r="B13" s="74"/>
      <c r="C13" s="12"/>
      <c r="D13" s="276" t="s">
        <v>5</v>
      </c>
      <c r="E13" s="244">
        <f>Cx</f>
        <v>0.6</v>
      </c>
      <c r="F13" s="6" t="s">
        <v>123</v>
      </c>
      <c r="G13" s="6" t="s">
        <v>432</v>
      </c>
      <c r="H13" s="674">
        <f>Cn</f>
        <v>15.677184507305929</v>
      </c>
      <c r="I13" s="675"/>
      <c r="J13" s="76"/>
      <c r="N13" s="75"/>
      <c r="O13" s="6"/>
      <c r="P13" s="48"/>
      <c r="Q13" s="436"/>
      <c r="R13" s="48"/>
      <c r="S13" s="48"/>
      <c r="T13" s="48"/>
      <c r="U13" s="440">
        <f>IF(RIGHT(Nb_diam,1)=",", "", X_r)</f>
        <v>1070</v>
      </c>
    </row>
    <row r="14" spans="2:21" x14ac:dyDescent="0.2">
      <c r="B14" s="74"/>
      <c r="C14" s="12"/>
      <c r="D14" s="276" t="s">
        <v>143</v>
      </c>
      <c r="E14" s="244">
        <f>L_rampe</f>
        <v>4</v>
      </c>
      <c r="F14" s="6" t="s">
        <v>123</v>
      </c>
      <c r="G14" s="6" t="s">
        <v>127</v>
      </c>
      <c r="H14" s="247">
        <f ca="1">MS_min</f>
        <v>2.6384345508526477</v>
      </c>
      <c r="I14" s="254">
        <f ca="1">MS_max</f>
        <v>3.2765219566800132</v>
      </c>
      <c r="J14" s="76"/>
      <c r="K14" s="76"/>
      <c r="N14" s="75"/>
      <c r="P14" s="48"/>
      <c r="Q14" s="436"/>
      <c r="R14" s="48"/>
      <c r="S14" s="48"/>
      <c r="T14" s="48"/>
      <c r="U14" s="436"/>
    </row>
    <row r="15" spans="2:21" x14ac:dyDescent="0.2">
      <c r="B15" s="74"/>
      <c r="C15" s="12"/>
      <c r="D15" s="276" t="s">
        <v>144</v>
      </c>
      <c r="E15" s="244">
        <f>ep_ail</f>
        <v>3</v>
      </c>
      <c r="F15" s="6" t="s">
        <v>123</v>
      </c>
      <c r="G15" s="6" t="s">
        <v>124</v>
      </c>
      <c r="H15" s="247">
        <f ca="1">MS_Cn_min</f>
        <v>41.363225264167809</v>
      </c>
      <c r="I15" s="254">
        <f ca="1">MS_Cn_max</f>
        <v>51.366639257111615</v>
      </c>
      <c r="J15" s="76"/>
      <c r="K15" s="76"/>
      <c r="N15" s="75"/>
      <c r="P15" s="48"/>
      <c r="Q15" s="436"/>
      <c r="R15" s="48"/>
      <c r="S15" s="48"/>
      <c r="T15" s="48"/>
    </row>
    <row r="16" spans="2:21" x14ac:dyDescent="0.2">
      <c r="B16" s="74"/>
      <c r="C16" s="12"/>
      <c r="D16" s="276" t="s">
        <v>145</v>
      </c>
      <c r="E16" s="244">
        <f>Q_ail</f>
        <v>4</v>
      </c>
      <c r="F16" s="6" t="s">
        <v>128</v>
      </c>
      <c r="G16" s="6" t="s">
        <v>129</v>
      </c>
      <c r="H16" s="247">
        <f ca="1">V_para</f>
        <v>13.016517782506746</v>
      </c>
      <c r="I16" s="253">
        <f>V_satellite</f>
        <v>12.655562623057198</v>
      </c>
      <c r="J16" s="76"/>
      <c r="N16" s="75"/>
      <c r="P16" s="48"/>
      <c r="Q16" s="436"/>
      <c r="R16" s="48"/>
      <c r="S16" s="48"/>
      <c r="T16" s="48"/>
      <c r="U16" s="440">
        <f>IF(RIGHT(Nb_diam,1)=",", "", l_j)</f>
        <v>60</v>
      </c>
    </row>
    <row r="17" spans="2:21" x14ac:dyDescent="0.2">
      <c r="B17" s="74"/>
      <c r="C17" s="12"/>
      <c r="D17" s="276" t="s">
        <v>146</v>
      </c>
      <c r="E17" s="272" t="str">
        <f>Forme_ogive</f>
        <v>Conique (droite)</v>
      </c>
      <c r="F17" s="6" t="s">
        <v>130</v>
      </c>
      <c r="G17" s="6" t="s">
        <v>131</v>
      </c>
      <c r="H17" s="674">
        <f>T_para</f>
        <v>16.399999999999999</v>
      </c>
      <c r="I17" s="675"/>
      <c r="J17" s="258"/>
      <c r="N17" s="75"/>
      <c r="P17" s="434" t="s">
        <v>342</v>
      </c>
      <c r="Q17" s="440">
        <f>IF(RIGHT(Nb_diam,1)=",", "", D2j)</f>
        <v>104</v>
      </c>
      <c r="R17" s="48"/>
      <c r="S17" s="48"/>
      <c r="T17" s="48"/>
      <c r="U17" s="436"/>
    </row>
    <row r="18" spans="2:21" x14ac:dyDescent="0.2">
      <c r="B18" s="74"/>
      <c r="C18" s="12"/>
      <c r="D18" s="276" t="s">
        <v>148</v>
      </c>
      <c r="E18" s="244">
        <f ca="1">XpropuRef-Long_propu</f>
        <v>632</v>
      </c>
      <c r="F18" s="12" t="s">
        <v>130</v>
      </c>
      <c r="G18" s="12" t="s">
        <v>426</v>
      </c>
      <c r="H18" s="602">
        <f ca="1">T_para-Combustion-Depotage</f>
        <v>16.399999999999999</v>
      </c>
      <c r="I18" s="680"/>
      <c r="N18" s="75"/>
      <c r="P18" s="48"/>
      <c r="Q18" s="436"/>
      <c r="R18" s="48"/>
      <c r="S18" s="48"/>
    </row>
    <row r="19" spans="2:21" x14ac:dyDescent="0.2">
      <c r="B19" s="74"/>
      <c r="C19" s="531"/>
      <c r="D19" s="269"/>
      <c r="E19" s="271"/>
      <c r="F19" s="519" t="s">
        <v>132</v>
      </c>
      <c r="G19" s="274" t="s">
        <v>425</v>
      </c>
      <c r="H19" s="681">
        <f ca="1">Portee_balistique</f>
        <v>976.66817413190017</v>
      </c>
      <c r="I19" s="682"/>
      <c r="N19" s="75"/>
      <c r="P19" s="48"/>
      <c r="Q19" s="436"/>
      <c r="R19" s="48"/>
      <c r="S19" s="48"/>
      <c r="T19" s="48"/>
    </row>
    <row r="20" spans="2:21" x14ac:dyDescent="0.2">
      <c r="B20" s="74"/>
      <c r="C20" s="12"/>
      <c r="D20" s="6"/>
      <c r="E20" s="6"/>
      <c r="H20" s="518"/>
      <c r="I20" s="518"/>
      <c r="N20" s="75"/>
      <c r="P20" s="48"/>
      <c r="Q20" s="436"/>
      <c r="R20" s="48"/>
      <c r="S20" s="48"/>
      <c r="T20" s="48"/>
      <c r="U20" s="440">
        <f>IF(RIGHT(Nb_diam,1)=",", "", l_r)</f>
        <v>50</v>
      </c>
    </row>
    <row r="21" spans="2:21" x14ac:dyDescent="0.2">
      <c r="B21" s="74"/>
      <c r="C21" s="12"/>
      <c r="D21" s="6"/>
      <c r="E21" s="263"/>
      <c r="F21" s="3"/>
      <c r="G21" s="6"/>
      <c r="H21" s="518"/>
      <c r="I21" s="518"/>
      <c r="N21" s="75"/>
      <c r="O21" s="273"/>
      <c r="P21" s="436"/>
      <c r="Q21" s="48"/>
      <c r="R21" s="48"/>
      <c r="S21" s="48"/>
      <c r="T21" s="226"/>
      <c r="U21" s="436"/>
    </row>
    <row r="22" spans="2:21" x14ac:dyDescent="0.2">
      <c r="B22" s="74"/>
      <c r="C22" s="526" t="s">
        <v>452</v>
      </c>
      <c r="D22" s="526" t="s">
        <v>436</v>
      </c>
      <c r="E22" s="527"/>
      <c r="F22" s="528" t="s">
        <v>441</v>
      </c>
      <c r="G22" s="526" t="s">
        <v>446</v>
      </c>
      <c r="I22" s="529"/>
      <c r="J22" s="530" t="s">
        <v>156</v>
      </c>
      <c r="K22" s="526" t="s">
        <v>157</v>
      </c>
      <c r="N22" s="75"/>
      <c r="O22" s="273"/>
      <c r="P22" s="436"/>
      <c r="Q22" s="48"/>
      <c r="R22" s="48"/>
      <c r="S22" s="48"/>
      <c r="T22" s="226"/>
      <c r="U22" s="436"/>
    </row>
    <row r="23" spans="2:21" x14ac:dyDescent="0.2">
      <c r="B23" s="74"/>
      <c r="C23" s="526" t="s">
        <v>451</v>
      </c>
      <c r="D23" s="527">
        <f>XcgSans</f>
        <v>440</v>
      </c>
      <c r="E23" s="527" t="s">
        <v>38</v>
      </c>
      <c r="F23" s="528">
        <f>m_ail</f>
        <v>190</v>
      </c>
      <c r="G23" s="526">
        <f>m_can</f>
        <v>180</v>
      </c>
      <c r="I23" s="529" t="s">
        <v>447</v>
      </c>
      <c r="J23" s="528">
        <f>l_j</f>
        <v>60</v>
      </c>
      <c r="K23" s="526">
        <f>l_r</f>
        <v>50</v>
      </c>
      <c r="N23" s="75"/>
      <c r="O23" s="273"/>
      <c r="P23" s="436"/>
      <c r="Q23" s="48"/>
      <c r="R23" s="48"/>
      <c r="S23" s="48"/>
      <c r="T23" s="226"/>
      <c r="U23" s="436"/>
    </row>
    <row r="24" spans="2:21" x14ac:dyDescent="0.2">
      <c r="B24" s="74"/>
      <c r="C24" s="526" t="s">
        <v>439</v>
      </c>
      <c r="D24" s="526">
        <f>Long_tot</f>
        <v>1120</v>
      </c>
      <c r="E24" s="527" t="s">
        <v>442</v>
      </c>
      <c r="F24" s="528">
        <f>n_ail</f>
        <v>80</v>
      </c>
      <c r="G24" s="526">
        <f>n_can</f>
        <v>80</v>
      </c>
      <c r="I24" s="529" t="s">
        <v>448</v>
      </c>
      <c r="J24" s="528">
        <f>D1j</f>
        <v>84</v>
      </c>
      <c r="K24" s="526">
        <f>D1r</f>
        <v>104</v>
      </c>
      <c r="N24" s="75"/>
      <c r="O24" s="273"/>
      <c r="P24" s="436"/>
      <c r="Q24" s="48"/>
      <c r="R24" s="48"/>
      <c r="S24" s="48"/>
      <c r="T24" s="226"/>
      <c r="U24" s="436"/>
    </row>
    <row r="25" spans="2:21" x14ac:dyDescent="0.2">
      <c r="B25" s="74"/>
      <c r="C25" s="526" t="s">
        <v>440</v>
      </c>
      <c r="D25" s="526">
        <f>XpropuRef</f>
        <v>1120</v>
      </c>
      <c r="E25" s="527" t="s">
        <v>443</v>
      </c>
      <c r="F25" s="528">
        <f>p_ail</f>
        <v>180</v>
      </c>
      <c r="G25" s="526">
        <f>p_can</f>
        <v>160</v>
      </c>
      <c r="I25" s="529" t="s">
        <v>449</v>
      </c>
      <c r="J25" s="528">
        <f>D2j</f>
        <v>104</v>
      </c>
      <c r="K25" s="526">
        <f>D2r</f>
        <v>84</v>
      </c>
      <c r="N25" s="75"/>
      <c r="O25" s="273"/>
      <c r="P25" s="436"/>
      <c r="Q25" s="48"/>
      <c r="R25" s="48"/>
      <c r="S25" s="48"/>
      <c r="T25" s="226"/>
      <c r="U25" s="436"/>
    </row>
    <row r="26" spans="2:21" x14ac:dyDescent="0.2">
      <c r="B26" s="74"/>
      <c r="C26" s="526" t="s">
        <v>437</v>
      </c>
      <c r="D26" s="526">
        <f>D_ref</f>
        <v>104</v>
      </c>
      <c r="E26" s="527" t="s">
        <v>444</v>
      </c>
      <c r="F26" s="528">
        <f>E_ail</f>
        <v>145</v>
      </c>
      <c r="G26" s="526">
        <f>E_can</f>
        <v>110</v>
      </c>
      <c r="I26" s="529" t="s">
        <v>450</v>
      </c>
      <c r="J26" s="528">
        <f>X_j</f>
        <v>1</v>
      </c>
      <c r="K26" s="526">
        <f>X_r</f>
        <v>1070</v>
      </c>
      <c r="N26" s="75"/>
      <c r="O26" s="273"/>
      <c r="P26" s="436"/>
      <c r="Q26" s="48"/>
      <c r="R26" s="48"/>
      <c r="S26" s="48"/>
      <c r="T26" s="226"/>
      <c r="U26" s="436"/>
    </row>
    <row r="27" spans="2:21" x14ac:dyDescent="0.2">
      <c r="B27" s="74"/>
      <c r="C27" s="526" t="s">
        <v>438</v>
      </c>
      <c r="D27" s="526">
        <f>Long_ogive</f>
        <v>1</v>
      </c>
      <c r="E27" s="527" t="s">
        <v>445</v>
      </c>
      <c r="F27" s="528">
        <f>X_ail</f>
        <v>1040</v>
      </c>
      <c r="G27" s="526">
        <f>X_can</f>
        <v>1250</v>
      </c>
      <c r="H27" s="518"/>
      <c r="I27" s="3"/>
      <c r="J27" s="2"/>
      <c r="N27" s="75"/>
      <c r="O27" s="273"/>
      <c r="P27" s="436"/>
      <c r="Q27" s="48"/>
      <c r="R27" s="48"/>
      <c r="S27" s="48"/>
      <c r="T27" s="226"/>
      <c r="U27" s="436"/>
    </row>
    <row r="28" spans="2:21" ht="13.5" thickBot="1" x14ac:dyDescent="0.25">
      <c r="B28" s="74"/>
      <c r="E28" s="95"/>
      <c r="N28" s="75"/>
      <c r="O28" s="2"/>
      <c r="P28" s="6"/>
      <c r="Q28" s="2"/>
      <c r="R28" s="48"/>
      <c r="S28" s="48"/>
      <c r="T28" s="48"/>
      <c r="U28" s="436"/>
    </row>
    <row r="29" spans="2:21" ht="13.5" thickBot="1" x14ac:dyDescent="0.25">
      <c r="B29" s="74"/>
      <c r="C29" s="677" t="s">
        <v>141</v>
      </c>
      <c r="D29" s="677" t="s">
        <v>133</v>
      </c>
      <c r="E29" s="677" t="s">
        <v>134</v>
      </c>
      <c r="F29" s="677"/>
      <c r="G29" s="677"/>
      <c r="H29" s="678" t="s">
        <v>135</v>
      </c>
      <c r="I29" s="678"/>
      <c r="J29" s="678"/>
      <c r="K29" s="678"/>
      <c r="L29" s="677" t="s">
        <v>136</v>
      </c>
      <c r="M29" s="677" t="s">
        <v>137</v>
      </c>
      <c r="N29" s="75"/>
      <c r="O29" s="273" t="s">
        <v>429</v>
      </c>
      <c r="P29" s="441">
        <f>n_ail</f>
        <v>80</v>
      </c>
      <c r="Q29" s="2"/>
      <c r="R29" s="48"/>
      <c r="S29" s="48"/>
      <c r="T29" s="48"/>
      <c r="U29" s="12" t="s">
        <v>433</v>
      </c>
    </row>
    <row r="30" spans="2:21" ht="13.5" thickBot="1" x14ac:dyDescent="0.25">
      <c r="B30" s="74"/>
      <c r="C30" s="677"/>
      <c r="D30" s="677"/>
      <c r="E30" s="677"/>
      <c r="F30" s="677"/>
      <c r="G30" s="677"/>
      <c r="H30" s="678" t="s">
        <v>138</v>
      </c>
      <c r="I30" s="678"/>
      <c r="J30" s="69" t="s">
        <v>139</v>
      </c>
      <c r="K30" s="70" t="s">
        <v>140</v>
      </c>
      <c r="L30" s="677"/>
      <c r="M30" s="677"/>
      <c r="N30" s="75"/>
      <c r="P30" s="12"/>
      <c r="R30" s="48"/>
      <c r="S30" s="48"/>
      <c r="T30" s="226" t="s">
        <v>431</v>
      </c>
      <c r="U30" s="523">
        <f>[0]!p_can</f>
        <v>160</v>
      </c>
    </row>
    <row r="31" spans="2:21" ht="13.5" thickBot="1" x14ac:dyDescent="0.25">
      <c r="B31" s="74"/>
      <c r="C31" s="83">
        <f>Beta_rampe</f>
        <v>80</v>
      </c>
      <c r="D31" s="84">
        <f ca="1">Portee_balistique</f>
        <v>976.66817413190017</v>
      </c>
      <c r="E31" s="676">
        <f ca="1">T_para+Dt_para</f>
        <v>185.93166647626865</v>
      </c>
      <c r="F31" s="676"/>
      <c r="G31" s="676"/>
      <c r="H31" s="679">
        <f ca="1">Altitude_culmi</f>
        <v>2217.1304653508096</v>
      </c>
      <c r="I31" s="679"/>
      <c r="J31" s="85">
        <f ca="1">Temps_culmi</f>
        <v>17.79999999999994</v>
      </c>
      <c r="K31" s="86">
        <f ca="1">Vit_culmi</f>
        <v>22.506519519835731</v>
      </c>
      <c r="L31" s="84">
        <f ca="1">Acc_max</f>
        <v>130.04294260444212</v>
      </c>
      <c r="M31" s="86">
        <f ca="1">Vit_max</f>
        <v>304.56632264466219</v>
      </c>
      <c r="N31" s="75"/>
      <c r="O31" s="273" t="s">
        <v>435</v>
      </c>
      <c r="P31" s="441">
        <f>ep_ail</f>
        <v>3</v>
      </c>
      <c r="Q31" s="2"/>
      <c r="R31" s="48"/>
      <c r="S31" s="48"/>
      <c r="T31" s="226" t="s">
        <v>344</v>
      </c>
      <c r="U31" s="523">
        <f>[0]!m_can</f>
        <v>180</v>
      </c>
    </row>
    <row r="32" spans="2:21" ht="13.5" thickBot="1" x14ac:dyDescent="0.25">
      <c r="B32" s="74"/>
      <c r="C32" s="520"/>
      <c r="D32" s="242"/>
      <c r="E32" s="247"/>
      <c r="F32" s="247"/>
      <c r="G32" s="247"/>
      <c r="H32" s="283"/>
      <c r="I32" s="283"/>
      <c r="J32" s="247"/>
      <c r="K32" s="248"/>
      <c r="L32" s="242"/>
      <c r="M32" s="248"/>
      <c r="N32" s="75"/>
      <c r="O32" s="273" t="s">
        <v>434</v>
      </c>
      <c r="P32" s="522">
        <f>Q_ail</f>
        <v>4</v>
      </c>
      <c r="Q32" s="2"/>
      <c r="R32" s="48"/>
      <c r="S32" s="48"/>
      <c r="T32" s="226" t="s">
        <v>429</v>
      </c>
      <c r="U32" s="523">
        <f>[0]!n_can</f>
        <v>80</v>
      </c>
    </row>
    <row r="33" spans="2:21" ht="13.5" thickBot="1" x14ac:dyDescent="0.25">
      <c r="B33" s="74"/>
      <c r="D33" s="80"/>
      <c r="E33" s="81"/>
      <c r="F33" s="81"/>
      <c r="G33" s="81"/>
      <c r="H33" s="82"/>
      <c r="I33" s="82"/>
      <c r="J33" s="81"/>
      <c r="K33" s="76"/>
      <c r="L33" s="80"/>
      <c r="M33" s="76"/>
      <c r="N33" s="75"/>
      <c r="O33" s="2"/>
      <c r="Q33" s="2"/>
      <c r="R33" s="48"/>
      <c r="S33" s="48"/>
      <c r="T33" s="226" t="s">
        <v>430</v>
      </c>
      <c r="U33" s="523">
        <f>[0]!E_can</f>
        <v>110</v>
      </c>
    </row>
    <row r="34" spans="2:21" ht="13.5" thickBot="1" x14ac:dyDescent="0.25">
      <c r="B34" s="77"/>
      <c r="C34" s="78"/>
      <c r="D34" s="78"/>
      <c r="E34" s="78"/>
      <c r="F34" s="78"/>
      <c r="G34" s="78"/>
      <c r="H34" s="78"/>
      <c r="I34" s="78"/>
      <c r="J34" s="78"/>
      <c r="K34" s="78"/>
      <c r="L34" s="78"/>
      <c r="M34" s="78"/>
      <c r="N34" s="79"/>
      <c r="O34" s="2"/>
      <c r="P34" s="273" t="s">
        <v>430</v>
      </c>
      <c r="Q34" s="441">
        <f>E_ail</f>
        <v>145</v>
      </c>
      <c r="T34" s="226" t="s">
        <v>435</v>
      </c>
      <c r="U34" s="523">
        <f>[0]!ep_can</f>
        <v>4</v>
      </c>
    </row>
    <row r="35" spans="2:21" x14ac:dyDescent="0.2">
      <c r="O35" s="2"/>
      <c r="P35" s="6"/>
      <c r="Q35" s="6"/>
      <c r="T35" s="226" t="s">
        <v>434</v>
      </c>
      <c r="U35" s="523">
        <f>[0]!Q_can</f>
        <v>4</v>
      </c>
    </row>
    <row r="36" spans="2:21" ht="13.5" thickBot="1" x14ac:dyDescent="0.25">
      <c r="T36" s="2"/>
      <c r="U36" s="12"/>
    </row>
    <row r="37" spans="2:21" x14ac:dyDescent="0.2">
      <c r="B37" s="71"/>
      <c r="C37" s="72"/>
      <c r="D37" s="72"/>
      <c r="E37" s="72"/>
      <c r="F37" s="72"/>
      <c r="G37" s="72"/>
      <c r="H37" s="72"/>
      <c r="I37" s="72"/>
      <c r="J37" s="72"/>
      <c r="K37" s="72"/>
      <c r="L37" s="72"/>
      <c r="M37" s="72"/>
      <c r="N37" s="73"/>
      <c r="T37" s="2"/>
    </row>
    <row r="38" spans="2:21" x14ac:dyDescent="0.2">
      <c r="B38" s="74"/>
      <c r="D38" s="2" t="s">
        <v>195</v>
      </c>
      <c r="H38" s="273" t="s">
        <v>562</v>
      </c>
      <c r="I38" t="str">
        <f>Matricule</f>
        <v>FX0</v>
      </c>
      <c r="N38" s="75"/>
    </row>
    <row r="39" spans="2:21" x14ac:dyDescent="0.2">
      <c r="B39" s="74"/>
      <c r="D39" s="2"/>
      <c r="N39" s="75"/>
    </row>
    <row r="40" spans="2:21" x14ac:dyDescent="0.2">
      <c r="B40" s="74"/>
      <c r="D40" s="275" t="s">
        <v>149</v>
      </c>
      <c r="E40" s="246">
        <f>D_ref</f>
        <v>104</v>
      </c>
      <c r="F40" s="265"/>
      <c r="G40" s="265"/>
      <c r="H40" s="261" t="s">
        <v>198</v>
      </c>
      <c r="I40" s="261" t="s">
        <v>199</v>
      </c>
      <c r="J40" s="262" t="s">
        <v>200</v>
      </c>
      <c r="N40" s="75"/>
    </row>
    <row r="41" spans="2:21" x14ac:dyDescent="0.2">
      <c r="B41" s="74"/>
      <c r="D41" s="276" t="s">
        <v>147</v>
      </c>
      <c r="E41" s="6">
        <f>Long_ogive</f>
        <v>1</v>
      </c>
      <c r="F41" s="2"/>
      <c r="G41" s="2" t="s">
        <v>201</v>
      </c>
      <c r="H41" s="6">
        <f>MasseSans</f>
        <v>4.431</v>
      </c>
      <c r="I41" s="6">
        <f ca="1">MasseVide</f>
        <v>5.0830000000000002</v>
      </c>
      <c r="J41" s="244">
        <f ca="1">MassePlein</f>
        <v>6.1159999999999997</v>
      </c>
      <c r="N41" s="75"/>
    </row>
    <row r="42" spans="2:21" x14ac:dyDescent="0.2">
      <c r="B42" s="74"/>
      <c r="D42" s="276" t="s">
        <v>150</v>
      </c>
      <c r="E42" s="6">
        <f>X_ail-m_ail</f>
        <v>850</v>
      </c>
      <c r="F42" s="255"/>
      <c r="G42" s="255" t="s">
        <v>218</v>
      </c>
      <c r="H42" s="263">
        <f>XcgSans</f>
        <v>440</v>
      </c>
      <c r="I42" s="263">
        <f ca="1">XcgVide</f>
        <v>495.41294511115484</v>
      </c>
      <c r="J42" s="245">
        <f ca="1">XcgPlein</f>
        <v>561.77403531720086</v>
      </c>
      <c r="N42" s="75"/>
    </row>
    <row r="43" spans="2:21" x14ac:dyDescent="0.2">
      <c r="B43" s="74"/>
      <c r="D43" s="276" t="str">
        <f>IF(Lang="Français","Emplanture 'm'",IF(Lang="English","Root edge  'm'",""))</f>
        <v>Emplanture 'm'</v>
      </c>
      <c r="E43" s="244">
        <f>m_ail</f>
        <v>190</v>
      </c>
      <c r="N43" s="75"/>
    </row>
    <row r="44" spans="2:21" x14ac:dyDescent="0.2">
      <c r="B44" s="74"/>
      <c r="D44" s="276" t="str">
        <f>IF(Lang="Français","Saumon      'n'",IF(Lang="English","Tip edge    'n'",""))</f>
        <v>Saumon      'n'</v>
      </c>
      <c r="E44" s="244">
        <f>n_ail</f>
        <v>80</v>
      </c>
      <c r="F44" s="246" t="s">
        <v>202</v>
      </c>
      <c r="G44" s="246" t="s">
        <v>207</v>
      </c>
      <c r="H44" s="672">
        <f ca="1">Vsortie_de_rampe</f>
        <v>100.8400272144367</v>
      </c>
      <c r="I44" s="673"/>
      <c r="N44" s="75"/>
    </row>
    <row r="45" spans="2:21" x14ac:dyDescent="0.2">
      <c r="B45" s="74"/>
      <c r="D45" s="276" t="str">
        <f>IF(Lang="Français","Flèche        'p'",IF(Lang="English","Offset         'p'",""))</f>
        <v>Flèche        'p'</v>
      </c>
      <c r="E45" s="244">
        <f>p_ail</f>
        <v>180</v>
      </c>
      <c r="F45" s="6" t="s">
        <v>203</v>
      </c>
      <c r="G45" s="6" t="s">
        <v>208</v>
      </c>
      <c r="H45" s="674">
        <f>Finesse</f>
        <v>10.76923076923077</v>
      </c>
      <c r="I45" s="675"/>
      <c r="N45" s="75"/>
    </row>
    <row r="46" spans="2:21" x14ac:dyDescent="0.2">
      <c r="B46" s="74"/>
      <c r="D46" s="276" t="str">
        <f>IF(Lang="Français","Envergure   'E'",IF(Lang="English","Span          'E'",""))</f>
        <v>Envergure   'E'</v>
      </c>
      <c r="E46" s="244">
        <f>E_ail</f>
        <v>145</v>
      </c>
      <c r="F46" s="6" t="s">
        <v>204</v>
      </c>
      <c r="G46" s="6" t="s">
        <v>209</v>
      </c>
      <c r="H46" s="674">
        <f>Cn</f>
        <v>15.677184507305929</v>
      </c>
      <c r="I46" s="675"/>
      <c r="N46" s="75"/>
    </row>
    <row r="47" spans="2:21" x14ac:dyDescent="0.2">
      <c r="B47" s="74"/>
      <c r="D47" s="276" t="s">
        <v>144</v>
      </c>
      <c r="E47" s="244">
        <f>ep_ail</f>
        <v>3</v>
      </c>
      <c r="F47" s="6" t="s">
        <v>205</v>
      </c>
      <c r="G47" s="6" t="s">
        <v>210</v>
      </c>
      <c r="H47" s="247">
        <f ca="1">MS_min</f>
        <v>2.6384345508526477</v>
      </c>
      <c r="I47" s="254">
        <f ca="1">MS_max</f>
        <v>3.2765219566800132</v>
      </c>
      <c r="N47" s="75"/>
    </row>
    <row r="48" spans="2:21" x14ac:dyDescent="0.2">
      <c r="B48" s="74"/>
      <c r="D48" s="276" t="s">
        <v>145</v>
      </c>
      <c r="E48" s="244">
        <f>Q_ail</f>
        <v>4</v>
      </c>
      <c r="F48" s="274" t="s">
        <v>206</v>
      </c>
      <c r="G48" s="274" t="s">
        <v>211</v>
      </c>
      <c r="H48" s="256">
        <f ca="1">MS_Cn_min</f>
        <v>41.363225264167809</v>
      </c>
      <c r="I48" s="264">
        <f ca="1">MS_Cn_max</f>
        <v>51.366639257111615</v>
      </c>
      <c r="N48" s="75"/>
    </row>
    <row r="49" spans="2:14" x14ac:dyDescent="0.2">
      <c r="B49" s="74"/>
      <c r="D49" s="276" t="s">
        <v>148</v>
      </c>
      <c r="E49" s="244">
        <f ca="1">XpropuRef-Long_propu</f>
        <v>632</v>
      </c>
      <c r="N49" s="75"/>
    </row>
    <row r="50" spans="2:14" x14ac:dyDescent="0.2">
      <c r="B50" s="74"/>
      <c r="D50" s="276" t="s">
        <v>146</v>
      </c>
      <c r="E50" s="272" t="str">
        <f>Forme_ogive</f>
        <v>Conique (droite)</v>
      </c>
      <c r="F50" s="273" t="s">
        <v>183</v>
      </c>
      <c r="G50" s="275" t="s">
        <v>5</v>
      </c>
      <c r="H50" s="246">
        <f>Cx</f>
        <v>0.6</v>
      </c>
      <c r="I50" s="265"/>
      <c r="J50" s="266"/>
      <c r="N50" s="75"/>
    </row>
    <row r="51" spans="2:14" x14ac:dyDescent="0.2">
      <c r="B51" s="74"/>
      <c r="D51" s="276" t="s">
        <v>142</v>
      </c>
      <c r="E51" s="244">
        <f>Long_tot</f>
        <v>1120</v>
      </c>
      <c r="G51" s="276" t="s">
        <v>212</v>
      </c>
      <c r="H51" s="6">
        <f>Sref</f>
        <v>1.0234866535306801E-2</v>
      </c>
      <c r="J51" s="267"/>
      <c r="N51" s="75"/>
    </row>
    <row r="52" spans="2:14" x14ac:dyDescent="0.2">
      <c r="B52" s="74"/>
      <c r="D52" s="276" t="s">
        <v>196</v>
      </c>
      <c r="E52" s="244">
        <f>MAX(D_ref,D_ail,D_og,(RIGHT(Nb_diam,1)=",")*MAX(D1j,D1r,D2j,D2r))</f>
        <v>104</v>
      </c>
      <c r="G52" s="276" t="s">
        <v>213</v>
      </c>
      <c r="H52" s="6">
        <f>Beta_rampe</f>
        <v>80</v>
      </c>
      <c r="I52" s="6">
        <v>80</v>
      </c>
      <c r="J52" s="244">
        <v>90</v>
      </c>
      <c r="N52" s="75"/>
    </row>
    <row r="53" spans="2:14" x14ac:dyDescent="0.2">
      <c r="B53" s="74"/>
      <c r="D53" s="277" t="s">
        <v>197</v>
      </c>
      <c r="E53" s="260">
        <f>E_ail*2+D_ail</f>
        <v>394</v>
      </c>
      <c r="G53" s="278" t="s">
        <v>215</v>
      </c>
      <c r="H53" s="247">
        <f ca="1">Temps_culmi</f>
        <v>17.79999999999994</v>
      </c>
      <c r="I53" s="259"/>
      <c r="J53" s="268"/>
      <c r="N53" s="75"/>
    </row>
    <row r="54" spans="2:14" x14ac:dyDescent="0.2">
      <c r="B54" s="74"/>
      <c r="G54" s="278" t="s">
        <v>216</v>
      </c>
      <c r="H54" s="242">
        <f ca="1">Altitude_culmi</f>
        <v>2217.1304653508096</v>
      </c>
      <c r="I54" s="259"/>
      <c r="J54" s="268"/>
      <c r="N54" s="75"/>
    </row>
    <row r="55" spans="2:14" x14ac:dyDescent="0.2">
      <c r="B55" s="74"/>
      <c r="C55" s="275" t="s">
        <v>233</v>
      </c>
      <c r="D55" s="249" t="s">
        <v>60</v>
      </c>
      <c r="E55" s="243">
        <f>Long_tot</f>
        <v>1120</v>
      </c>
      <c r="G55" s="278" t="s">
        <v>217</v>
      </c>
      <c r="H55" s="248">
        <f ca="1">Vit_culmi</f>
        <v>22.506519519835731</v>
      </c>
      <c r="I55" s="259"/>
      <c r="J55" s="268"/>
      <c r="N55" s="75"/>
    </row>
    <row r="56" spans="2:14" x14ac:dyDescent="0.2">
      <c r="B56" s="74"/>
      <c r="C56" s="276"/>
      <c r="D56" s="2" t="s">
        <v>219</v>
      </c>
      <c r="E56" s="244">
        <f>MAX(D_ref,D_ail,D_og,(RIGHT(Nb_diam,1)=",")*MAX(D1j,D1r,D2j,D2r))</f>
        <v>104</v>
      </c>
      <c r="G56" s="278" t="s">
        <v>133</v>
      </c>
      <c r="H56" s="242">
        <f ca="1">Portee_balistique</f>
        <v>976.66817413190017</v>
      </c>
      <c r="I56" s="259"/>
      <c r="J56" s="268"/>
      <c r="N56" s="75"/>
    </row>
    <row r="57" spans="2:14" x14ac:dyDescent="0.2">
      <c r="B57" s="74"/>
      <c r="C57" s="276"/>
      <c r="D57" s="2" t="s">
        <v>220</v>
      </c>
      <c r="E57" s="244">
        <f>E_ail*2+D_ail</f>
        <v>394</v>
      </c>
      <c r="G57" s="278" t="s">
        <v>214</v>
      </c>
      <c r="H57" s="242">
        <f ca="1">T_balistique</f>
        <v>44.600000000000321</v>
      </c>
      <c r="I57" s="259"/>
      <c r="J57" s="268"/>
      <c r="N57" s="75"/>
    </row>
    <row r="58" spans="2:14" x14ac:dyDescent="0.2">
      <c r="B58" s="74"/>
      <c r="C58" s="276"/>
      <c r="D58" s="2" t="s">
        <v>221</v>
      </c>
      <c r="E58" s="244">
        <f ca="1">MassePlein</f>
        <v>6.1159999999999997</v>
      </c>
      <c r="G58" s="278" t="s">
        <v>137</v>
      </c>
      <c r="H58" s="248">
        <f ca="1">Vit_max</f>
        <v>304.56632264466219</v>
      </c>
      <c r="I58" s="259"/>
      <c r="J58" s="268"/>
      <c r="N58" s="75"/>
    </row>
    <row r="59" spans="2:14" x14ac:dyDescent="0.2">
      <c r="B59" s="74"/>
      <c r="C59" s="277" t="s">
        <v>234</v>
      </c>
      <c r="D59" s="255" t="s">
        <v>145</v>
      </c>
      <c r="E59" s="260">
        <f>Q_ail</f>
        <v>4</v>
      </c>
      <c r="G59" s="278" t="s">
        <v>136</v>
      </c>
      <c r="H59" s="242">
        <f ca="1">Acc_max</f>
        <v>130.04294260444212</v>
      </c>
      <c r="I59" s="259"/>
      <c r="J59" s="268"/>
      <c r="N59" s="75"/>
    </row>
    <row r="60" spans="2:14" x14ac:dyDescent="0.2">
      <c r="B60" s="74"/>
      <c r="C60" s="12"/>
      <c r="G60" s="269" t="s">
        <v>222</v>
      </c>
      <c r="H60" s="270"/>
      <c r="I60" s="270"/>
      <c r="J60" s="271"/>
      <c r="N60" s="75"/>
    </row>
    <row r="61" spans="2:14" x14ac:dyDescent="0.2">
      <c r="B61" s="74"/>
      <c r="C61" s="275"/>
      <c r="D61" s="249"/>
      <c r="E61" s="246" t="s">
        <v>226</v>
      </c>
      <c r="F61" s="243" t="s">
        <v>227</v>
      </c>
      <c r="G61" s="2"/>
      <c r="H61" s="2"/>
      <c r="I61" s="2"/>
      <c r="J61" s="2"/>
      <c r="K61" s="2"/>
      <c r="N61" s="75"/>
    </row>
    <row r="62" spans="2:14" x14ac:dyDescent="0.2">
      <c r="B62" s="74"/>
      <c r="C62" s="276" t="s">
        <v>235</v>
      </c>
      <c r="D62" s="2" t="s">
        <v>225</v>
      </c>
      <c r="E62" s="242">
        <f ca="1">2*Acc_max*MassePlein</f>
        <v>1590.6852739375358</v>
      </c>
      <c r="F62" s="280">
        <f ca="1">E62/9.81</f>
        <v>162.14936533512088</v>
      </c>
      <c r="H62" s="2"/>
      <c r="I62" s="2"/>
      <c r="J62" s="2"/>
      <c r="K62" s="2"/>
      <c r="N62" s="75"/>
    </row>
    <row r="63" spans="2:14" x14ac:dyDescent="0.2">
      <c r="B63" s="74"/>
      <c r="C63" s="276"/>
      <c r="D63" s="2" t="s">
        <v>223</v>
      </c>
      <c r="E63" s="242">
        <f ca="1">2*Acc_max*Masse_ail</f>
        <v>30.547087217783453</v>
      </c>
      <c r="F63" s="248">
        <f ca="1">E63/9.81</f>
        <v>3.1138722953907698</v>
      </c>
      <c r="G63" s="246" t="s">
        <v>229</v>
      </c>
      <c r="H63" s="288">
        <f>S_ail*(ep_ail/1000)*2000</f>
        <v>0.11745</v>
      </c>
      <c r="I63" s="2"/>
      <c r="J63" s="2"/>
      <c r="K63" s="2"/>
      <c r="N63" s="75"/>
    </row>
    <row r="64" spans="2:14" x14ac:dyDescent="0.2">
      <c r="B64" s="74"/>
      <c r="C64" s="277"/>
      <c r="D64" s="255" t="s">
        <v>224</v>
      </c>
      <c r="E64" s="263">
        <f ca="1">0.104*S_ail*Vit_max^2</f>
        <v>188.84212086562161</v>
      </c>
      <c r="F64" s="281">
        <f ca="1">E64/9.81</f>
        <v>19.249961352255006</v>
      </c>
      <c r="G64" s="274" t="s">
        <v>228</v>
      </c>
      <c r="H64" s="289">
        <f>(E_ail*(m_ail+n_ail)/2)/10^6</f>
        <v>1.9574999999999999E-2</v>
      </c>
      <c r="I64" s="2"/>
      <c r="J64" s="2"/>
      <c r="K64" s="2"/>
      <c r="N64" s="75"/>
    </row>
    <row r="65" spans="2:14" x14ac:dyDescent="0.2">
      <c r="B65" s="74"/>
      <c r="C65" s="282" t="s">
        <v>242</v>
      </c>
      <c r="D65" s="285" t="s">
        <v>240</v>
      </c>
      <c r="E65" s="286">
        <f ca="1">2*Acc_max*H65</f>
        <v>795.34263696876792</v>
      </c>
      <c r="F65" s="286">
        <f ca="1">E65/9.81</f>
        <v>81.074682667560438</v>
      </c>
      <c r="G65" s="287" t="s">
        <v>241</v>
      </c>
      <c r="H65" s="279">
        <f ca="1">E58/2</f>
        <v>3.0579999999999998</v>
      </c>
      <c r="I65" s="2"/>
      <c r="J65" s="2"/>
      <c r="K65" s="2"/>
      <c r="N65" s="75"/>
    </row>
    <row r="66" spans="2:14" x14ac:dyDescent="0.2">
      <c r="B66" s="74"/>
      <c r="C66" s="6"/>
      <c r="D66" s="2"/>
      <c r="E66" s="2"/>
      <c r="F66" s="2"/>
      <c r="G66" s="2"/>
      <c r="H66" s="2"/>
      <c r="I66" s="2"/>
      <c r="J66" s="2"/>
      <c r="K66" s="2"/>
      <c r="N66" s="75"/>
    </row>
    <row r="67" spans="2:14" x14ac:dyDescent="0.2">
      <c r="B67" s="74"/>
      <c r="F67" s="275" t="s">
        <v>232</v>
      </c>
      <c r="G67" s="249" t="s">
        <v>230</v>
      </c>
      <c r="H67" s="250">
        <f>T_para</f>
        <v>16.399999999999999</v>
      </c>
      <c r="I67" s="251">
        <f ca="1">Temps_culmi</f>
        <v>17.79999999999994</v>
      </c>
      <c r="J67" s="2"/>
      <c r="K67" s="2"/>
      <c r="N67" s="75"/>
    </row>
    <row r="68" spans="2:14" x14ac:dyDescent="0.2">
      <c r="B68" s="74"/>
      <c r="C68" s="6"/>
      <c r="D68" s="2"/>
      <c r="E68" s="2"/>
      <c r="F68" s="275" t="s">
        <v>231</v>
      </c>
      <c r="G68" s="249" t="s">
        <v>129</v>
      </c>
      <c r="H68" s="250">
        <f ca="1">V_para</f>
        <v>13.016517782506746</v>
      </c>
      <c r="I68" s="251">
        <f>V_satellite</f>
        <v>12.655562623057198</v>
      </c>
      <c r="J68" s="2"/>
      <c r="K68" s="2"/>
      <c r="N68" s="75"/>
    </row>
    <row r="69" spans="2:14" x14ac:dyDescent="0.2">
      <c r="B69" s="74"/>
      <c r="C69" s="6"/>
      <c r="D69" s="2"/>
      <c r="E69" s="2"/>
      <c r="F69" s="276"/>
      <c r="G69" s="2" t="s">
        <v>237</v>
      </c>
      <c r="H69" s="247">
        <f>S_para</f>
        <v>0.48049999999999998</v>
      </c>
      <c r="I69" s="253">
        <f>S_satellite</f>
        <v>0.1</v>
      </c>
      <c r="J69" s="2"/>
      <c r="K69" s="2"/>
      <c r="N69" s="75"/>
    </row>
    <row r="70" spans="2:14" x14ac:dyDescent="0.2">
      <c r="B70" s="74"/>
      <c r="C70" s="226"/>
      <c r="D70" s="2"/>
      <c r="F70" s="276"/>
      <c r="G70" s="2" t="s">
        <v>236</v>
      </c>
      <c r="H70" s="247">
        <f ca="1">V_ouverture</f>
        <v>27.11181737711048</v>
      </c>
      <c r="I70" s="253">
        <f ca="1">V_ouv_sat</f>
        <v>224.82071735532693</v>
      </c>
      <c r="N70" s="75"/>
    </row>
    <row r="71" spans="2:14" x14ac:dyDescent="0.2">
      <c r="B71" s="74"/>
      <c r="C71" s="226"/>
      <c r="F71" s="276"/>
      <c r="G71" s="2" t="s">
        <v>201</v>
      </c>
      <c r="H71" s="247">
        <f ca="1">m_vide</f>
        <v>5.0830000000000002</v>
      </c>
      <c r="I71" s="253">
        <f>m_satellite</f>
        <v>1</v>
      </c>
      <c r="N71" s="75"/>
    </row>
    <row r="72" spans="2:14" x14ac:dyDescent="0.2">
      <c r="B72" s="74"/>
      <c r="C72" s="226"/>
      <c r="F72" s="276"/>
      <c r="G72" s="2" t="s">
        <v>238</v>
      </c>
      <c r="H72" s="283">
        <f ca="1">1/2*Rho_moyen*S_para*V_ouverture^2</f>
        <v>216.32999785695444</v>
      </c>
      <c r="I72" s="284">
        <f ca="1">1/2*Rho_moyen*S_satellite*V_ouv_sat^2</f>
        <v>3095.841740820033</v>
      </c>
      <c r="N72" s="75"/>
    </row>
    <row r="73" spans="2:14" x14ac:dyDescent="0.2">
      <c r="B73" s="74"/>
      <c r="D73" s="2"/>
      <c r="F73" s="277"/>
      <c r="G73" s="255" t="s">
        <v>239</v>
      </c>
      <c r="H73" s="256">
        <f ca="1">H72/9.81</f>
        <v>22.051987549128892</v>
      </c>
      <c r="I73" s="257">
        <f ca="1">I72/9.81</f>
        <v>315.58019784098195</v>
      </c>
      <c r="N73" s="75"/>
    </row>
    <row r="74" spans="2:14" ht="13.5" thickBot="1" x14ac:dyDescent="0.25">
      <c r="B74" s="77"/>
      <c r="C74" s="78"/>
      <c r="D74" s="78"/>
      <c r="E74" s="78"/>
      <c r="F74" s="78"/>
      <c r="G74" s="78"/>
      <c r="H74" s="78"/>
      <c r="I74" s="78"/>
      <c r="J74" s="78"/>
      <c r="K74" s="78"/>
      <c r="L74" s="78"/>
      <c r="M74" s="78"/>
      <c r="N74" s="79"/>
    </row>
    <row r="76" spans="2:14" ht="13.5" thickBot="1" x14ac:dyDescent="0.25"/>
    <row r="77" spans="2:14" x14ac:dyDescent="0.2">
      <c r="B77" s="71"/>
      <c r="C77" s="72"/>
      <c r="D77" s="72"/>
      <c r="E77" s="72"/>
      <c r="F77" s="72"/>
      <c r="G77" s="72"/>
      <c r="H77" s="72"/>
      <c r="I77" s="72"/>
      <c r="J77" s="72"/>
      <c r="K77" s="72"/>
      <c r="L77" s="72"/>
      <c r="M77" s="72"/>
      <c r="N77" s="73"/>
    </row>
    <row r="78" spans="2:14" x14ac:dyDescent="0.2">
      <c r="B78" s="74"/>
      <c r="D78" s="2" t="s">
        <v>333</v>
      </c>
      <c r="N78" s="75"/>
    </row>
    <row r="79" spans="2:14" ht="12.75" customHeight="1" x14ac:dyDescent="0.25">
      <c r="B79" s="74"/>
      <c r="E79" s="48"/>
      <c r="F79" s="48"/>
      <c r="G79" s="435" t="s">
        <v>339</v>
      </c>
      <c r="I79" s="448"/>
      <c r="J79" s="48"/>
      <c r="K79" s="48"/>
      <c r="N79" s="75"/>
    </row>
    <row r="80" spans="2:14" x14ac:dyDescent="0.2">
      <c r="B80" s="74"/>
      <c r="C80" s="275" t="s">
        <v>334</v>
      </c>
      <c r="D80" s="243" t="str">
        <f>Nom</f>
        <v>SP02</v>
      </c>
      <c r="E80" s="48"/>
      <c r="F80" s="48"/>
      <c r="G80" s="48"/>
      <c r="H80" s="48"/>
      <c r="I80" s="48"/>
      <c r="J80" s="48"/>
      <c r="K80" s="48"/>
      <c r="N80" s="75"/>
    </row>
    <row r="81" spans="2:14" ht="13.5" thickBot="1" x14ac:dyDescent="0.25">
      <c r="B81" s="74"/>
      <c r="C81" s="276" t="s">
        <v>4</v>
      </c>
      <c r="D81" s="244" t="str">
        <f>Club</f>
        <v>L'AéroIPSA</v>
      </c>
      <c r="E81" s="48"/>
      <c r="F81" s="48"/>
      <c r="G81" s="48"/>
      <c r="H81" s="48"/>
      <c r="I81" s="48"/>
      <c r="J81" s="48"/>
      <c r="K81" s="48"/>
      <c r="N81" s="75"/>
    </row>
    <row r="82" spans="2:14" ht="13.5" thickBot="1" x14ac:dyDescent="0.25">
      <c r="B82" s="74"/>
      <c r="C82" s="432" t="s">
        <v>335</v>
      </c>
      <c r="D82" s="244" t="s">
        <v>14</v>
      </c>
      <c r="E82" s="273" t="s">
        <v>340</v>
      </c>
      <c r="F82" s="441">
        <f>Long_ogive</f>
        <v>1</v>
      </c>
      <c r="G82" s="48"/>
      <c r="H82" s="48"/>
      <c r="I82" s="48"/>
      <c r="J82" s="48"/>
      <c r="K82" s="48"/>
      <c r="N82" s="75"/>
    </row>
    <row r="83" spans="2:14" x14ac:dyDescent="0.2">
      <c r="B83" s="74"/>
      <c r="C83" s="277" t="s">
        <v>336</v>
      </c>
      <c r="D83" s="433">
        <f ca="1">TODAY()</f>
        <v>45968</v>
      </c>
      <c r="E83" s="48"/>
      <c r="F83" s="436"/>
      <c r="G83" s="48"/>
      <c r="H83" s="48"/>
      <c r="I83" s="48"/>
      <c r="J83" s="48"/>
      <c r="K83" s="48"/>
      <c r="N83" s="75"/>
    </row>
    <row r="84" spans="2:14" ht="13.5" thickBot="1" x14ac:dyDescent="0.25">
      <c r="B84" s="74"/>
      <c r="E84" s="48"/>
      <c r="F84" s="436"/>
      <c r="G84" s="48"/>
      <c r="H84" s="48"/>
      <c r="I84" s="48"/>
      <c r="J84" s="440">
        <f>IF(RIGHT(Nb_diam,1)=",", "", X_j)</f>
        <v>1</v>
      </c>
      <c r="K84" s="48"/>
      <c r="N84" s="75"/>
    </row>
    <row r="85" spans="2:14" ht="13.5" thickBot="1" x14ac:dyDescent="0.25">
      <c r="B85" s="74"/>
      <c r="C85" s="275" t="s">
        <v>337</v>
      </c>
      <c r="D85" s="243" t="str">
        <f>Propu</f>
        <v>Barasinga (Pro54-5G C)</v>
      </c>
      <c r="E85" s="273" t="s">
        <v>341</v>
      </c>
      <c r="F85" s="441">
        <f>D_og</f>
        <v>84</v>
      </c>
      <c r="G85" s="48"/>
      <c r="H85" s="48"/>
      <c r="I85" s="48"/>
      <c r="J85" s="436"/>
      <c r="K85" s="48"/>
      <c r="N85" s="75"/>
    </row>
    <row r="86" spans="2:14" x14ac:dyDescent="0.2">
      <c r="B86" s="74"/>
      <c r="C86" s="277" t="s">
        <v>338</v>
      </c>
      <c r="D86" s="260" t="s">
        <v>14</v>
      </c>
      <c r="E86" s="48"/>
      <c r="F86" s="436"/>
      <c r="G86" s="48"/>
      <c r="H86" s="48"/>
      <c r="I86" s="48"/>
      <c r="J86" s="440">
        <f>IF(RIGHT(Nb_diam,1)=",", "", X_r)</f>
        <v>1070</v>
      </c>
      <c r="K86" s="48"/>
      <c r="N86" s="75"/>
    </row>
    <row r="87" spans="2:14" x14ac:dyDescent="0.2">
      <c r="B87" s="74"/>
      <c r="E87" s="48"/>
      <c r="F87" s="436"/>
      <c r="G87" s="48"/>
      <c r="H87" s="48"/>
      <c r="I87" s="48"/>
      <c r="J87" s="436"/>
      <c r="K87" s="48"/>
      <c r="N87" s="75"/>
    </row>
    <row r="88" spans="2:14" x14ac:dyDescent="0.2">
      <c r="B88" s="74"/>
      <c r="E88" s="48"/>
      <c r="F88" s="436"/>
      <c r="G88" s="48"/>
      <c r="H88" s="48"/>
      <c r="I88" s="48"/>
      <c r="J88" s="440">
        <f>IF(RIGHT(Nb_diam,1)=",", "", l_j)</f>
        <v>60</v>
      </c>
      <c r="K88" s="48"/>
      <c r="N88" s="75"/>
    </row>
    <row r="89" spans="2:14" ht="13.5" thickBot="1" x14ac:dyDescent="0.25">
      <c r="B89" s="74"/>
      <c r="E89" s="48"/>
      <c r="F89" s="436"/>
      <c r="G89" s="48"/>
      <c r="H89" s="48"/>
      <c r="I89" s="48"/>
      <c r="J89" s="436"/>
      <c r="K89" s="48"/>
      <c r="N89" s="75"/>
    </row>
    <row r="90" spans="2:14" ht="13.5" thickBot="1" x14ac:dyDescent="0.25">
      <c r="B90" s="74"/>
      <c r="E90" s="434" t="s">
        <v>342</v>
      </c>
      <c r="F90" s="440">
        <f>IF(RIGHT(Nb_diam,1)=",", "", D2j)</f>
        <v>104</v>
      </c>
      <c r="G90" s="48"/>
      <c r="H90" s="48"/>
      <c r="I90" s="48"/>
      <c r="J90" s="441">
        <f>X_ail-m_ail</f>
        <v>850</v>
      </c>
      <c r="K90" s="2"/>
      <c r="N90" s="75"/>
    </row>
    <row r="91" spans="2:14" x14ac:dyDescent="0.2">
      <c r="B91" s="74"/>
      <c r="E91" s="48"/>
      <c r="F91" s="436"/>
      <c r="G91" s="48"/>
      <c r="H91" s="48"/>
      <c r="I91" s="48"/>
      <c r="J91" s="436"/>
      <c r="K91" s="48"/>
      <c r="N91" s="75"/>
    </row>
    <row r="92" spans="2:14" x14ac:dyDescent="0.2">
      <c r="B92" s="74"/>
      <c r="E92" s="48"/>
      <c r="F92" s="436"/>
      <c r="G92" s="48"/>
      <c r="H92" s="48"/>
      <c r="I92" s="48"/>
      <c r="J92" s="440">
        <f>IF(RIGHT(Nb_diam,1)=",", "", l_r)</f>
        <v>50</v>
      </c>
      <c r="K92" s="48"/>
      <c r="N92" s="75"/>
    </row>
    <row r="93" spans="2:14" x14ac:dyDescent="0.2">
      <c r="B93" s="74"/>
      <c r="E93" s="48"/>
      <c r="F93" s="436"/>
      <c r="G93" s="48"/>
      <c r="H93" s="48"/>
      <c r="I93" s="48"/>
      <c r="J93" s="436"/>
      <c r="K93" s="48"/>
      <c r="N93" s="75"/>
    </row>
    <row r="94" spans="2:14" x14ac:dyDescent="0.2">
      <c r="B94" s="74"/>
      <c r="E94" s="434" t="s">
        <v>343</v>
      </c>
      <c r="F94" s="440">
        <f>IF(RIGHT(Nb_diam,1)=",", "", D2r)</f>
        <v>84</v>
      </c>
      <c r="G94" s="48"/>
      <c r="H94" s="48"/>
      <c r="I94" s="48"/>
      <c r="J94" s="436"/>
      <c r="K94" s="48"/>
      <c r="N94" s="75"/>
    </row>
    <row r="95" spans="2:14" x14ac:dyDescent="0.2">
      <c r="B95" s="74"/>
      <c r="E95" s="48"/>
      <c r="F95" s="436"/>
      <c r="G95" s="48"/>
      <c r="H95" s="48"/>
      <c r="I95" s="48"/>
      <c r="J95" s="436"/>
      <c r="K95" s="48"/>
      <c r="N95" s="75"/>
    </row>
    <row r="96" spans="2:14" ht="13.5" thickBot="1" x14ac:dyDescent="0.25">
      <c r="B96" s="74"/>
      <c r="E96" s="48"/>
      <c r="F96" s="436"/>
      <c r="G96" s="48"/>
      <c r="H96" s="48"/>
      <c r="I96" s="48"/>
      <c r="J96" s="436"/>
      <c r="K96" s="48"/>
      <c r="N96" s="75"/>
    </row>
    <row r="97" spans="2:14" ht="13.5" thickBot="1" x14ac:dyDescent="0.25">
      <c r="B97" s="74"/>
      <c r="E97" s="273" t="s">
        <v>344</v>
      </c>
      <c r="F97" s="441">
        <f>m_ail</f>
        <v>190</v>
      </c>
      <c r="G97" s="48"/>
      <c r="H97" s="48"/>
      <c r="I97" s="48"/>
      <c r="J97" s="441">
        <f>p_ail</f>
        <v>180</v>
      </c>
      <c r="K97" s="2"/>
      <c r="N97" s="75"/>
    </row>
    <row r="98" spans="2:14" x14ac:dyDescent="0.2">
      <c r="B98" s="74"/>
      <c r="E98" s="48"/>
      <c r="F98" s="48"/>
      <c r="G98" s="48"/>
      <c r="H98" s="48"/>
      <c r="I98" s="48"/>
      <c r="J98" s="436"/>
      <c r="K98" s="48"/>
      <c r="N98" s="75"/>
    </row>
    <row r="99" spans="2:14" x14ac:dyDescent="0.2">
      <c r="B99" s="74"/>
      <c r="E99" s="48"/>
      <c r="F99" s="48"/>
      <c r="G99" s="48"/>
      <c r="H99" s="48"/>
      <c r="I99" s="48"/>
      <c r="J99" s="436"/>
      <c r="K99" s="48"/>
      <c r="N99" s="75"/>
    </row>
    <row r="100" spans="2:14" ht="13.5" thickBot="1" x14ac:dyDescent="0.25">
      <c r="B100" s="74"/>
      <c r="D100" s="429" t="s">
        <v>346</v>
      </c>
      <c r="E100" s="246">
        <f>Q_ail</f>
        <v>4</v>
      </c>
      <c r="F100" s="430"/>
      <c r="G100" s="48"/>
      <c r="H100" s="48"/>
      <c r="I100" s="48"/>
      <c r="J100" s="436"/>
      <c r="K100" s="48"/>
      <c r="N100" s="75"/>
    </row>
    <row r="101" spans="2:14" ht="13.5" thickBot="1" x14ac:dyDescent="0.25">
      <c r="B101" s="74"/>
      <c r="D101" s="437" t="s">
        <v>350</v>
      </c>
      <c r="E101" s="6">
        <f ca="1">XpropuRef-Long_propu</f>
        <v>632</v>
      </c>
      <c r="F101" s="252"/>
      <c r="G101" s="48"/>
      <c r="H101" s="48"/>
      <c r="I101" s="48"/>
      <c r="J101" s="441">
        <f>n_ail</f>
        <v>80</v>
      </c>
      <c r="K101" s="2"/>
      <c r="N101" s="75"/>
    </row>
    <row r="102" spans="2:14" x14ac:dyDescent="0.2">
      <c r="B102" s="74"/>
      <c r="D102" s="437" t="s">
        <v>347</v>
      </c>
      <c r="E102" s="6">
        <f>IF(LEFT(Forme_ogive,4)="Ogiv",1,0)</f>
        <v>0</v>
      </c>
      <c r="F102" s="252" t="s">
        <v>348</v>
      </c>
      <c r="G102" s="48"/>
      <c r="H102" s="48"/>
      <c r="I102" s="48"/>
      <c r="J102" s="436"/>
      <c r="K102" s="48"/>
      <c r="N102" s="75"/>
    </row>
    <row r="103" spans="2:14" x14ac:dyDescent="0.2">
      <c r="B103" s="74"/>
      <c r="D103" s="437"/>
      <c r="E103" s="6">
        <f>IF(LEFT(Forme_ogive,3)="Con",1,0)</f>
        <v>1</v>
      </c>
      <c r="F103" s="252" t="s">
        <v>159</v>
      </c>
      <c r="G103" s="48"/>
      <c r="H103" s="48"/>
      <c r="I103" s="48"/>
      <c r="J103" s="436"/>
      <c r="K103" s="48"/>
      <c r="N103" s="75"/>
    </row>
    <row r="104" spans="2:14" ht="13.5" thickBot="1" x14ac:dyDescent="0.25">
      <c r="B104" s="74"/>
      <c r="D104" s="431"/>
      <c r="E104" s="274">
        <f>IF(LEFT(Forme_ogive,5)="Parab",1,0)</f>
        <v>0</v>
      </c>
      <c r="F104" s="289" t="s">
        <v>349</v>
      </c>
      <c r="G104" s="48"/>
      <c r="H104" s="48"/>
      <c r="I104" s="48"/>
      <c r="J104" s="12" t="s">
        <v>345</v>
      </c>
      <c r="K104" s="48"/>
      <c r="N104" s="75"/>
    </row>
    <row r="105" spans="2:14" ht="13.5" thickBot="1" x14ac:dyDescent="0.25">
      <c r="B105" s="74"/>
      <c r="D105" s="2"/>
      <c r="E105" s="2"/>
      <c r="F105" s="2"/>
      <c r="G105" s="273"/>
      <c r="H105" s="441">
        <f>E_ail</f>
        <v>145</v>
      </c>
      <c r="I105" s="273"/>
      <c r="J105" s="441">
        <f>ep_ail</f>
        <v>3</v>
      </c>
      <c r="K105" s="48"/>
      <c r="N105" s="75"/>
    </row>
    <row r="106" spans="2:14" x14ac:dyDescent="0.2">
      <c r="B106" s="74"/>
      <c r="D106" s="429"/>
      <c r="E106" s="246" t="s">
        <v>354</v>
      </c>
      <c r="F106" s="243" t="s">
        <v>353</v>
      </c>
      <c r="N106" s="75"/>
    </row>
    <row r="107" spans="2:14" x14ac:dyDescent="0.2">
      <c r="B107" s="74"/>
      <c r="D107" s="437" t="s">
        <v>351</v>
      </c>
      <c r="E107" s="6">
        <f>MasseSans</f>
        <v>4.431</v>
      </c>
      <c r="F107" s="244">
        <f ca="1">MassePlein</f>
        <v>6.1159999999999997</v>
      </c>
      <c r="N107" s="75"/>
    </row>
    <row r="108" spans="2:14" x14ac:dyDescent="0.2">
      <c r="B108" s="74"/>
      <c r="D108" s="431" t="s">
        <v>352</v>
      </c>
      <c r="E108" s="274">
        <f>XcgSans</f>
        <v>440</v>
      </c>
      <c r="F108" s="260">
        <f ca="1">XcgPlein</f>
        <v>561.77403531720086</v>
      </c>
      <c r="N108" s="75"/>
    </row>
    <row r="109" spans="2:14" x14ac:dyDescent="0.2">
      <c r="B109" s="74"/>
      <c r="N109" s="75"/>
    </row>
    <row r="110" spans="2:14" x14ac:dyDescent="0.2">
      <c r="B110" s="74"/>
      <c r="D110" s="438" t="s">
        <v>355</v>
      </c>
      <c r="E110" s="439">
        <f ca="1">MasseVide</f>
        <v>5.0830000000000002</v>
      </c>
      <c r="G110" s="429" t="s">
        <v>356</v>
      </c>
      <c r="H110" s="265"/>
      <c r="I110" s="265"/>
      <c r="J110" s="266"/>
      <c r="N110" s="75"/>
    </row>
    <row r="111" spans="2:14" x14ac:dyDescent="0.2">
      <c r="B111" s="74"/>
      <c r="G111" s="276" t="s">
        <v>213</v>
      </c>
      <c r="H111" s="6">
        <f>Beta_rampe</f>
        <v>80</v>
      </c>
      <c r="I111" s="6">
        <v>80</v>
      </c>
      <c r="J111" s="244">
        <v>90</v>
      </c>
      <c r="N111" s="75"/>
    </row>
    <row r="112" spans="2:14" x14ac:dyDescent="0.2">
      <c r="B112" s="74"/>
      <c r="G112" s="278" t="s">
        <v>215</v>
      </c>
      <c r="H112" s="247">
        <f ca="1">Temps_culmi</f>
        <v>17.79999999999994</v>
      </c>
      <c r="I112" s="259"/>
      <c r="J112" s="268"/>
      <c r="N112" s="75"/>
    </row>
    <row r="113" spans="2:14" ht="12.75" customHeight="1" x14ac:dyDescent="0.25">
      <c r="B113" s="74"/>
      <c r="D113" s="435" t="s">
        <v>357</v>
      </c>
      <c r="E113" s="48"/>
      <c r="G113" s="278" t="s">
        <v>216</v>
      </c>
      <c r="H113" s="242">
        <f ca="1">Altitude_culmi</f>
        <v>2217.1304653508096</v>
      </c>
      <c r="I113" s="259"/>
      <c r="J113" s="268"/>
      <c r="N113" s="75"/>
    </row>
    <row r="114" spans="2:14" ht="12.75" customHeight="1" x14ac:dyDescent="0.25">
      <c r="B114" s="74"/>
      <c r="D114" s="48"/>
      <c r="E114" s="48"/>
      <c r="F114" s="435"/>
      <c r="G114" s="278" t="s">
        <v>217</v>
      </c>
      <c r="H114" s="248">
        <f ca="1">Vit_culmi</f>
        <v>22.506519519835731</v>
      </c>
      <c r="I114" s="259"/>
      <c r="J114" s="268"/>
      <c r="N114" s="75"/>
    </row>
    <row r="115" spans="2:14" x14ac:dyDescent="0.2">
      <c r="B115" s="74"/>
      <c r="C115" s="429" t="s">
        <v>358</v>
      </c>
      <c r="D115" s="249"/>
      <c r="E115" s="446">
        <v>0.1</v>
      </c>
      <c r="G115" s="278" t="s">
        <v>133</v>
      </c>
      <c r="H115" s="242">
        <f ca="1">Portee_balistique</f>
        <v>976.66817413190017</v>
      </c>
      <c r="I115" s="259"/>
      <c r="J115" s="268"/>
      <c r="N115" s="75"/>
    </row>
    <row r="116" spans="2:14" ht="12.75" customHeight="1" x14ac:dyDescent="0.2">
      <c r="B116" s="74"/>
      <c r="C116" s="431" t="s">
        <v>359</v>
      </c>
      <c r="D116" s="255"/>
      <c r="E116" s="447">
        <f>E_ail*(m_ail+n_ail)/2</f>
        <v>19575</v>
      </c>
      <c r="G116" s="278" t="s">
        <v>137</v>
      </c>
      <c r="H116" s="248">
        <f ca="1">Vit_max</f>
        <v>304.56632264466219</v>
      </c>
      <c r="I116" s="259"/>
      <c r="J116" s="268"/>
      <c r="N116" s="75"/>
    </row>
    <row r="117" spans="2:14" ht="12.75" customHeight="1" x14ac:dyDescent="0.2">
      <c r="B117" s="74"/>
      <c r="D117" s="48"/>
      <c r="E117" s="48"/>
      <c r="F117" s="48"/>
      <c r="G117" s="278" t="s">
        <v>136</v>
      </c>
      <c r="H117" s="242">
        <f ca="1">Acc_max</f>
        <v>130.04294260444212</v>
      </c>
      <c r="I117" s="259"/>
      <c r="J117" s="268"/>
      <c r="N117" s="75"/>
    </row>
    <row r="118" spans="2:14" x14ac:dyDescent="0.2">
      <c r="B118" s="74"/>
      <c r="C118" s="429" t="s">
        <v>360</v>
      </c>
      <c r="D118" s="249"/>
      <c r="E118" s="457"/>
      <c r="F118" s="458">
        <f>J90/100</f>
        <v>8.5</v>
      </c>
      <c r="G118" s="276" t="s">
        <v>5</v>
      </c>
      <c r="H118" s="6">
        <f>Cx</f>
        <v>0.6</v>
      </c>
      <c r="I118" s="259"/>
      <c r="J118" s="268"/>
      <c r="N118" s="75"/>
    </row>
    <row r="119" spans="2:14" x14ac:dyDescent="0.2">
      <c r="B119" s="74"/>
      <c r="C119" s="437" t="s">
        <v>361</v>
      </c>
      <c r="D119" s="2"/>
      <c r="E119" s="459">
        <f ca="1">2*Acc_max*MasseSans</f>
        <v>1152.4405573605661</v>
      </c>
      <c r="F119" s="460">
        <f ca="1">E119/g</f>
        <v>117.47610166774373</v>
      </c>
      <c r="G119" s="269" t="s">
        <v>222</v>
      </c>
      <c r="H119" s="270"/>
      <c r="I119" s="270"/>
      <c r="J119" s="271"/>
      <c r="N119" s="75"/>
    </row>
    <row r="120" spans="2:14" x14ac:dyDescent="0.2">
      <c r="B120" s="74"/>
      <c r="C120" s="437" t="s">
        <v>362</v>
      </c>
      <c r="D120" s="2"/>
      <c r="E120" s="459">
        <f ca="1">2*Acc_max*E115</f>
        <v>26.008588520888424</v>
      </c>
      <c r="F120" s="460">
        <f ca="1">E120/g</f>
        <v>2.6512322651262408</v>
      </c>
      <c r="N120" s="75"/>
    </row>
    <row r="121" spans="2:14" x14ac:dyDescent="0.2">
      <c r="B121" s="74"/>
      <c r="C121" s="431" t="s">
        <v>363</v>
      </c>
      <c r="D121" s="255"/>
      <c r="E121" s="452">
        <f ca="1">0.104*E116/1000000*Vit_max^2</f>
        <v>188.84212086562161</v>
      </c>
      <c r="F121" s="453">
        <f ca="1">E121/g</f>
        <v>19.249961352255006</v>
      </c>
      <c r="G121" s="48"/>
      <c r="H121" s="48"/>
      <c r="I121" s="48"/>
      <c r="J121" s="48"/>
      <c r="N121" s="75"/>
    </row>
    <row r="122" spans="2:14" ht="12.75" customHeight="1" x14ac:dyDescent="0.2">
      <c r="B122" s="74"/>
      <c r="H122" s="48"/>
      <c r="I122" s="48"/>
      <c r="J122" s="48"/>
      <c r="N122" s="75"/>
    </row>
    <row r="123" spans="2:14" ht="12.75" customHeight="1" x14ac:dyDescent="0.25">
      <c r="B123" s="74"/>
      <c r="G123" s="435"/>
      <c r="H123" s="435"/>
      <c r="I123" s="435"/>
      <c r="J123" s="48"/>
      <c r="N123" s="75"/>
    </row>
    <row r="124" spans="2:14" ht="12.75" customHeight="1" x14ac:dyDescent="0.25">
      <c r="B124" s="74"/>
      <c r="C124" s="48"/>
      <c r="D124" s="435" t="s">
        <v>364</v>
      </c>
      <c r="E124" s="448"/>
      <c r="J124" s="48"/>
      <c r="K124" s="48"/>
      <c r="N124" s="75"/>
    </row>
    <row r="125" spans="2:14" x14ac:dyDescent="0.2">
      <c r="B125" s="74"/>
      <c r="C125" s="445" t="s">
        <v>365</v>
      </c>
      <c r="J125" s="48"/>
      <c r="K125" s="48"/>
      <c r="N125" s="75"/>
    </row>
    <row r="126" spans="2:14" x14ac:dyDescent="0.2">
      <c r="B126" s="74"/>
      <c r="C126" s="429" t="s">
        <v>366</v>
      </c>
      <c r="D126" s="249"/>
      <c r="E126" s="449">
        <v>4</v>
      </c>
      <c r="G126" s="48"/>
      <c r="J126" s="48"/>
      <c r="N126" s="75"/>
    </row>
    <row r="127" spans="2:14" x14ac:dyDescent="0.2">
      <c r="B127" s="74"/>
      <c r="C127" s="431" t="s">
        <v>367</v>
      </c>
      <c r="D127" s="255"/>
      <c r="E127" s="456">
        <f>S_para</f>
        <v>0.48049999999999998</v>
      </c>
      <c r="G127" s="48"/>
      <c r="J127" s="48"/>
      <c r="N127" s="75"/>
    </row>
    <row r="128" spans="2:14" x14ac:dyDescent="0.2">
      <c r="B128" s="74"/>
      <c r="C128" s="670" t="s">
        <v>368</v>
      </c>
      <c r="D128" s="671"/>
      <c r="E128" s="450">
        <f ca="1">0.5*Rho_moyen*S_para*Vit_culmi^2</f>
        <v>149.07889466629319</v>
      </c>
      <c r="F128" s="451">
        <f ca="1">E128/g</f>
        <v>15.196625348245993</v>
      </c>
      <c r="H128" s="48"/>
      <c r="I128" s="48"/>
      <c r="J128" s="48"/>
      <c r="K128" s="48"/>
      <c r="N128" s="75"/>
    </row>
    <row r="129" spans="2:14" x14ac:dyDescent="0.2">
      <c r="B129" s="74"/>
      <c r="C129" s="668" t="s">
        <v>369</v>
      </c>
      <c r="D129" s="669"/>
      <c r="E129" s="452">
        <f ca="1">E128/E126*2</f>
        <v>74.539447333146597</v>
      </c>
      <c r="F129" s="453">
        <f ca="1">E129/g</f>
        <v>7.5983126741229965</v>
      </c>
      <c r="H129" s="48"/>
      <c r="I129" s="48"/>
      <c r="J129" s="48"/>
      <c r="K129" s="48"/>
      <c r="N129" s="75"/>
    </row>
    <row r="130" spans="2:14" x14ac:dyDescent="0.2">
      <c r="B130" s="74"/>
      <c r="C130" s="47"/>
      <c r="D130" s="47"/>
      <c r="E130" s="443"/>
      <c r="F130" s="444"/>
      <c r="H130" s="48"/>
      <c r="I130" s="48"/>
      <c r="J130" s="48"/>
      <c r="K130" s="48"/>
      <c r="N130" s="75"/>
    </row>
    <row r="131" spans="2:14" x14ac:dyDescent="0.2">
      <c r="B131" s="74"/>
      <c r="C131" s="445" t="s">
        <v>370</v>
      </c>
      <c r="D131" s="48"/>
      <c r="E131" s="48"/>
      <c r="F131" s="48"/>
      <c r="G131" s="48"/>
      <c r="H131" s="48"/>
      <c r="I131" s="48"/>
      <c r="J131" s="48"/>
      <c r="K131" s="48"/>
      <c r="N131" s="75"/>
    </row>
    <row r="132" spans="2:14" x14ac:dyDescent="0.2">
      <c r="B132" s="74"/>
      <c r="C132" s="670" t="s">
        <v>371</v>
      </c>
      <c r="D132" s="671"/>
      <c r="E132" s="454">
        <v>1</v>
      </c>
      <c r="F132" s="48"/>
      <c r="G132" s="48"/>
      <c r="H132" s="48"/>
      <c r="I132" s="48"/>
      <c r="J132" s="442"/>
      <c r="K132" s="48"/>
      <c r="N132" s="75"/>
    </row>
    <row r="133" spans="2:14" x14ac:dyDescent="0.2">
      <c r="B133" s="74"/>
      <c r="C133" s="668" t="s">
        <v>372</v>
      </c>
      <c r="D133" s="669"/>
      <c r="E133" s="455">
        <f ca="1">2*E132*Acc_max/g</f>
        <v>26.512322651262409</v>
      </c>
      <c r="F133" s="48"/>
      <c r="G133" s="48"/>
      <c r="H133" s="48"/>
      <c r="I133" s="48"/>
      <c r="J133" s="48"/>
      <c r="K133" s="48"/>
      <c r="N133" s="75"/>
    </row>
    <row r="134" spans="2:14" ht="13.5" thickBot="1" x14ac:dyDescent="0.25">
      <c r="B134" s="77"/>
      <c r="C134" s="461"/>
      <c r="D134" s="461"/>
      <c r="E134" s="461"/>
      <c r="F134" s="461"/>
      <c r="G134" s="461"/>
      <c r="H134" s="461"/>
      <c r="I134" s="461"/>
      <c r="J134" s="461"/>
      <c r="K134" s="461"/>
      <c r="L134" s="78"/>
      <c r="M134" s="78"/>
      <c r="N134" s="79"/>
    </row>
  </sheetData>
  <sheetProtection algorithmName="SHA-512" hashValue="hPW55fXgN2sF0rdmrUjeSRNNiQdOIANll77I7z4pOMGhgAMnv3SeC70tlG1ZvqBw5PTm8+/9RK5zYBPb8YMDZQ==" saltValue="649bwDB7J1RR5Eo9ArOefA==" spinCount="100000" sheet="1" objects="1" scenarios="1"/>
  <mergeCells count="22">
    <mergeCell ref="H11:I11"/>
    <mergeCell ref="H12:I12"/>
    <mergeCell ref="H13:I13"/>
    <mergeCell ref="H29:K29"/>
    <mergeCell ref="C29:C30"/>
    <mergeCell ref="D29:D30"/>
    <mergeCell ref="H17:I17"/>
    <mergeCell ref="H18:I18"/>
    <mergeCell ref="H19:I19"/>
    <mergeCell ref="E29:G30"/>
    <mergeCell ref="E31:G31"/>
    <mergeCell ref="M29:M30"/>
    <mergeCell ref="H30:I30"/>
    <mergeCell ref="L29:L30"/>
    <mergeCell ref="H31:I31"/>
    <mergeCell ref="C133:D133"/>
    <mergeCell ref="C128:D128"/>
    <mergeCell ref="C129:D129"/>
    <mergeCell ref="C132:D132"/>
    <mergeCell ref="H44:I44"/>
    <mergeCell ref="H45:I45"/>
    <mergeCell ref="H46:I46"/>
  </mergeCells>
  <phoneticPr fontId="8" type="noConversion"/>
  <conditionalFormatting sqref="D18:E18">
    <cfRule type="expression" dxfId="2" priority="2" stopIfTrue="1">
      <formula>IF(Propu="Cariacou",0,1)</formula>
    </cfRule>
  </conditionalFormatting>
  <conditionalFormatting sqref="F18:I19">
    <cfRule type="expression" dxfId="1" priority="1" stopIfTrue="1">
      <formula>IF(Propu="Cariacou",1,0)</formula>
    </cfRule>
  </conditionalFormatting>
  <conditionalFormatting sqref="I16 I68:I73">
    <cfRule type="expression" dxfId="0" priority="6" stopIfTrue="1">
      <formula>Nb_sat="0 satellite"</formula>
    </cfRule>
  </conditionalFormatting>
  <pageMargins left="0.39370078740157483" right="0.39370078740157483" top="0.39370078740157483" bottom="0.39370078740157483" header="0" footer="0"/>
  <pageSetup paperSize="9" scale="61" orientation="portrait" r:id="rId1"/>
  <ignoredErrors>
    <ignoredError sqref="H65 H63" unlockedFormula="1"/>
  </ignoredErrors>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8</vt:i4>
      </vt:variant>
      <vt:variant>
        <vt:lpstr>Plages nommées</vt:lpstr>
      </vt:variant>
      <vt:variant>
        <vt:i4>216</vt:i4>
      </vt:variant>
    </vt:vector>
  </HeadingPairs>
  <TitlesOfParts>
    <vt:vector size="224" baseType="lpstr">
      <vt:lpstr>Stabilito</vt:lpstr>
      <vt:lpstr>Trajecto</vt:lpstr>
      <vt:lpstr>Courbes</vt:lpstr>
      <vt:lpstr>Propu</vt:lpstr>
      <vt:lpstr>Calculs</vt:lpstr>
      <vt:lpstr>Abaco</vt:lpstr>
      <vt:lpstr>Info</vt:lpstr>
      <vt:lpstr>Controle</vt:lpstr>
      <vt:lpstr>a_prop</vt:lpstr>
      <vt:lpstr>Acc_max</vt:lpstr>
      <vt:lpstr>acc_x</vt:lpstr>
      <vt:lpstr>acc_xz</vt:lpstr>
      <vt:lpstr>acc_z</vt:lpstr>
      <vt:lpstr>Alt_para</vt:lpstr>
      <vt:lpstr>alt_prop</vt:lpstr>
      <vt:lpstr>Alt_rampe</vt:lpstr>
      <vt:lpstr>Alt_sat</vt:lpstr>
      <vt:lpstr>Altitude_culmi</vt:lpstr>
      <vt:lpstr>b_bal</vt:lpstr>
      <vt:lpstr>b_prop</vt:lpstr>
      <vt:lpstr>Beta</vt:lpstr>
      <vt:lpstr>Beta_rampe</vt:lpstr>
      <vt:lpstr>BetaD</vt:lpstr>
      <vt:lpstr>CdP</vt:lpstr>
      <vt:lpstr>CdP_P</vt:lpstr>
      <vt:lpstr>CdP_t</vt:lpstr>
      <vt:lpstr>Club</vt:lpstr>
      <vt:lpstr>Cn</vt:lpstr>
      <vt:lpstr>Cn0</vt:lpstr>
      <vt:lpstr>Stabilito!Cnai</vt:lpstr>
      <vt:lpstr>Cnai0</vt:lpstr>
      <vt:lpstr>Stabilito!Cnail</vt:lpstr>
      <vt:lpstr>Stabilito!Cnc</vt:lpstr>
      <vt:lpstr>Stabilito!Cni</vt:lpstr>
      <vt:lpstr>Cni0</vt:lpstr>
      <vt:lpstr>Stabilito!Cnj</vt:lpstr>
      <vt:lpstr>Stabilito!Cno</vt:lpstr>
      <vt:lpstr>Stabilito!Cnr</vt:lpstr>
      <vt:lpstr>Combustion</vt:lpstr>
      <vt:lpstr>Stabilito!CritCnmax</vt:lpstr>
      <vt:lpstr>Stabilito!CritCnmin</vt:lpstr>
      <vt:lpstr>Stabilito!CritFinessemax</vt:lpstr>
      <vt:lpstr>Stabilito!CritFinessemin</vt:lpstr>
      <vt:lpstr>Stabilito!CritMsCnmax</vt:lpstr>
      <vt:lpstr>Stabilito!CritMsCnmin</vt:lpstr>
      <vt:lpstr>Stabilito!CritMsmax</vt:lpstr>
      <vt:lpstr>Stabilito!CritMsmin</vt:lpstr>
      <vt:lpstr>Cx</vt:lpstr>
      <vt:lpstr>Cx_para</vt:lpstr>
      <vt:lpstr>Cx_satellite</vt:lpstr>
      <vt:lpstr>D_ail</vt:lpstr>
      <vt:lpstr>Stabilito!D_can</vt:lpstr>
      <vt:lpstr>Stabilito!D_int</vt:lpstr>
      <vt:lpstr>D_og</vt:lpstr>
      <vt:lpstr>D_ref</vt:lpstr>
      <vt:lpstr>D_var</vt:lpstr>
      <vt:lpstr>D1j</vt:lpstr>
      <vt:lpstr>D1r</vt:lpstr>
      <vt:lpstr>D2j</vt:lpstr>
      <vt:lpstr>D2r</vt:lpstr>
      <vt:lpstr>Débit</vt:lpstr>
      <vt:lpstr>Depotage</vt:lpstr>
      <vt:lpstr>Diam_propu</vt:lpstr>
      <vt:lpstr>Dt_para</vt:lpstr>
      <vt:lpstr>Dt_satellite</vt:lpstr>
      <vt:lpstr>Dx_para</vt:lpstr>
      <vt:lpstr>Dx_sat</vt:lpstr>
      <vt:lpstr>E_ail</vt:lpstr>
      <vt:lpstr>E_can</vt:lpstr>
      <vt:lpstr>Stabilito!E_int</vt:lpstr>
      <vt:lpstr>ep_ail</vt:lpstr>
      <vt:lpstr>ep_can</vt:lpstr>
      <vt:lpstr>Stabilito!ep_int</vt:lpstr>
      <vt:lpstr>Event</vt:lpstr>
      <vt:lpstr>Event_para</vt:lpstr>
      <vt:lpstr>Event_sat</vt:lpstr>
      <vt:lpstr>Stabilito!f_ail</vt:lpstr>
      <vt:lpstr>Stabilito!f_can</vt:lpstr>
      <vt:lpstr>Stabilito!f_int</vt:lpstr>
      <vt:lpstr>Finesse</vt:lpstr>
      <vt:lpstr>Forme_ogive</vt:lpstr>
      <vt:lpstr>g</vt:lpstr>
      <vt:lpstr>i_P</vt:lpstr>
      <vt:lpstr>I_total</vt:lpstr>
      <vt:lpstr>ISP</vt:lpstr>
      <vt:lpstr>l_j</vt:lpstr>
      <vt:lpstr>l_r</vt:lpstr>
      <vt:lpstr>L_rampe</vt:lpstr>
      <vt:lpstr>Lang</vt:lpstr>
      <vt:lpstr>Liste_µfu</vt:lpstr>
      <vt:lpstr>Liste_fusex</vt:lpstr>
      <vt:lpstr>Liste_H2O</vt:lpstr>
      <vt:lpstr>Liste_minif</vt:lpstr>
      <vt:lpstr>Liste_minifT</vt:lpstr>
      <vt:lpstr>Liste_propu</vt:lpstr>
      <vt:lpstr>Liste_RC</vt:lpstr>
      <vt:lpstr>Liste_Type_para</vt:lpstr>
      <vt:lpstr>Long_ogive</vt:lpstr>
      <vt:lpstr>Long_propu</vt:lpstr>
      <vt:lpstr>Long_tot</vt:lpstr>
      <vt:lpstr>m</vt:lpstr>
      <vt:lpstr>m_ail</vt:lpstr>
      <vt:lpstr>m_bal</vt:lpstr>
      <vt:lpstr>m_can</vt:lpstr>
      <vt:lpstr>Stabilito!m_int</vt:lpstr>
      <vt:lpstr>m_poudre</vt:lpstr>
      <vt:lpstr>m_prop</vt:lpstr>
      <vt:lpstr>m_satellite</vt:lpstr>
      <vt:lpstr>m_tot</vt:lpstr>
      <vt:lpstr>m_var</vt:lpstr>
      <vt:lpstr>m_vide</vt:lpstr>
      <vt:lpstr>Masse_ail</vt:lpstr>
      <vt:lpstr>MassePlein</vt:lpstr>
      <vt:lpstr>MasseSans</vt:lpstr>
      <vt:lpstr>MasseVide</vt:lpstr>
      <vt:lpstr>Matricule</vt:lpstr>
      <vt:lpstr>Menu_Empennage</vt:lpstr>
      <vt:lpstr>Menu_Lang</vt:lpstr>
      <vt:lpstr>Menu_Ogive</vt:lpstr>
      <vt:lpstr>Menu_sat</vt:lpstr>
      <vt:lpstr>Menu_Transitions</vt:lpstr>
      <vt:lpstr>Menu_Type</vt:lpstr>
      <vt:lpstr>Menu_with_motor</vt:lpstr>
      <vt:lpstr>MpropuPlein</vt:lpstr>
      <vt:lpstr>MpropuVide</vt:lpstr>
      <vt:lpstr>MS_Cn_max</vt:lpstr>
      <vt:lpstr>MS_Cn_min</vt:lpstr>
      <vt:lpstr>MS_max</vt:lpstr>
      <vt:lpstr>MS_min</vt:lpstr>
      <vt:lpstr>n_ail</vt:lpstr>
      <vt:lpstr>n_can</vt:lpstr>
      <vt:lpstr>Stabilito!n_int</vt:lpstr>
      <vt:lpstr>Nb_diam</vt:lpstr>
      <vt:lpstr>Nb_sat</vt:lpstr>
      <vt:lpstr>Nom</vt:lpstr>
      <vt:lpstr>p_ail</vt:lpstr>
      <vt:lpstr>p_can</vt:lpstr>
      <vt:lpstr>Stabilito!p_int</vt:lpstr>
      <vt:lpstr>pas</vt:lpstr>
      <vt:lpstr>Poids</vt:lpstr>
      <vt:lpstr>Portee_balistique</vt:lpstr>
      <vt:lpstr>pos_x</vt:lpstr>
      <vt:lpstr>pos_xz</vt:lpstr>
      <vt:lpstr>pos_z</vt:lpstr>
      <vt:lpstr>pos_z_montant</vt:lpstr>
      <vt:lpstr>Poussee</vt:lpstr>
      <vt:lpstr>Propu</vt:lpstr>
      <vt:lpstr>Q_ail</vt:lpstr>
      <vt:lpstr>Q_can</vt:lpstr>
      <vt:lpstr>Stabilito!Q_int</vt:lpstr>
      <vt:lpstr>Q_var</vt:lpstr>
      <vt:lpstr>R_rampe</vt:lpstr>
      <vt:lpstr>Rho</vt:lpstr>
      <vt:lpstr>Rho_moyen</vt:lpstr>
      <vt:lpstr>S_ail</vt:lpstr>
      <vt:lpstr>S_para</vt:lpstr>
      <vt:lpstr>S_para_croix</vt:lpstr>
      <vt:lpstr>S_para_rond</vt:lpstr>
      <vt:lpstr>S_satellite</vt:lpstr>
      <vt:lpstr>Sref</vt:lpstr>
      <vt:lpstr>sS</vt:lpstr>
      <vt:lpstr>t</vt:lpstr>
      <vt:lpstr>T_balistique</vt:lpstr>
      <vt:lpstr>T_ini</vt:lpstr>
      <vt:lpstr>T_para</vt:lpstr>
      <vt:lpstr>T_satellite</vt:lpstr>
      <vt:lpstr>Temps_culmi</vt:lpstr>
      <vt:lpstr>Temps_fin_propu</vt:lpstr>
      <vt:lpstr>Trainee</vt:lpstr>
      <vt:lpstr>tT_fus</vt:lpstr>
      <vt:lpstr>tT_sat</vt:lpstr>
      <vt:lpstr>Type_fusee</vt:lpstr>
      <vt:lpstr>Abaco!Type_masquage</vt:lpstr>
      <vt:lpstr>Stabilito!Type_masquage</vt:lpstr>
      <vt:lpstr>Type_propu</vt:lpstr>
      <vt:lpstr>V_ini</vt:lpstr>
      <vt:lpstr>V_ouv_sat</vt:lpstr>
      <vt:lpstr>V_ouverture</vt:lpstr>
      <vt:lpstr>V_para</vt:lpstr>
      <vt:lpstr>V_prop</vt:lpstr>
      <vt:lpstr>V_satellite</vt:lpstr>
      <vt:lpstr>V_vent</vt:lpstr>
      <vt:lpstr>V_vent_sat</vt:lpstr>
      <vt:lpstr>Stabilito!Version</vt:lpstr>
      <vt:lpstr>Trajecto!Version</vt:lpstr>
      <vt:lpstr>Vit_culmi</vt:lpstr>
      <vt:lpstr>Vit_max</vt:lpstr>
      <vt:lpstr>vit_x</vt:lpstr>
      <vt:lpstr>vit_xz</vt:lpstr>
      <vt:lpstr>vit_z</vt:lpstr>
      <vt:lpstr>Vsortie_de_rampe</vt:lpstr>
      <vt:lpstr>X_ail</vt:lpstr>
      <vt:lpstr>X_can</vt:lpstr>
      <vt:lpstr>X_culmi</vt:lpstr>
      <vt:lpstr>X_ini</vt:lpstr>
      <vt:lpstr>Stabilito!X_int</vt:lpstr>
      <vt:lpstr>X_j</vt:lpstr>
      <vt:lpstr>X_para</vt:lpstr>
      <vt:lpstr>X_r</vt:lpstr>
      <vt:lpstr>X_satellite</vt:lpstr>
      <vt:lpstr>XcgPlein</vt:lpstr>
      <vt:lpstr>XcgSans</vt:lpstr>
      <vt:lpstr>XcgVide</vt:lpstr>
      <vt:lpstr>Stabilito!XCp</vt:lpstr>
      <vt:lpstr>XCp0</vt:lpstr>
      <vt:lpstr>Stabilito!XCpa</vt:lpstr>
      <vt:lpstr>Stabilito!XCpai</vt:lpstr>
      <vt:lpstr>XCpai0</vt:lpstr>
      <vt:lpstr>Stabilito!XCpc</vt:lpstr>
      <vt:lpstr>Stabilito!XCpi</vt:lpstr>
      <vt:lpstr>XCpi0</vt:lpstr>
      <vt:lpstr>Stabilito!XCpj</vt:lpstr>
      <vt:lpstr>Stabilito!XCpo</vt:lpstr>
      <vt:lpstr>Stabilito!XCpr</vt:lpstr>
      <vt:lpstr>XpropuPlein</vt:lpstr>
      <vt:lpstr>XpropuRef</vt:lpstr>
      <vt:lpstr>XpropuVide</vt:lpstr>
      <vt:lpstr>Z_ini</vt:lpstr>
      <vt:lpstr>Abaco!Zone_d_impression</vt:lpstr>
      <vt:lpstr>Courbes!Zone_d_impression</vt:lpstr>
      <vt:lpstr>Stabilito!Zone_d_impression</vt:lpstr>
      <vt:lpstr>Trajecto!Zone_d_impression</vt:lpstr>
      <vt:lpstr>zZ_fus</vt:lpstr>
      <vt:lpstr>zZ_sat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StabTraj</dc:title>
  <dc:creator>Léo Côme;Sylvain Besson</dc:creator>
  <cp:lastModifiedBy>Alexis Paillard</cp:lastModifiedBy>
  <cp:lastPrinted>2011-11-08T21:12:34Z</cp:lastPrinted>
  <dcterms:created xsi:type="dcterms:W3CDTF">2008-11-03T20:48:06Z</dcterms:created>
  <dcterms:modified xsi:type="dcterms:W3CDTF">2025-11-07T11:32:50Z</dcterms:modified>
</cp:coreProperties>
</file>